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<sst xmlns="http://schemas.openxmlformats.org/spreadsheetml/2006/main" count="728" uniqueCount="330">
  <si>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</si>
  <si>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</si>
  <si>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</si>
  <si>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</si>
  <si>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</si>
  <si>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</si>
  <si>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</si>
  <si>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</si>
  <si>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</si>
  <si>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</si>
  <si>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</si>
  <si>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</si>
  <si>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</si>
  <si>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</si>
  <si>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</si>
  <si>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</si>
  <si>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</si>
  <si>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</si>
  <si>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</si>
  <si>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</si>
  <si>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</si>
  <si>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</si>
  <si>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</si>
  <si>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</si>
  <si>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</si>
  <si>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</si>
  <si>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</si>
  <si>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</si>
  <si>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</si>
  <si>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</si>
  <si>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</si>
  <si>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</si>
  <si>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</si>
  <si>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</si>
  <si>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</si>
  <si>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</si>
  <si>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</si>
  <si>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</si>
  <si>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</si>
  <si>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</si>
  <si>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</si>
  <si>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</si>
  <si>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</si>
  <si>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</si>
  <si>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</si>
  <si>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</si>
  <si>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</si>
  <si>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</si>
  <si>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</si>
  <si>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</si>
  <si>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</si>
  <si>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</si>
  <si>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</si>
  <si>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</si>
  <si>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</si>
  <si>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</si>
  <si>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</si>
  <si>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</si>
  <si>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</si>
  <si>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</si>
  <si>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</si>
  <si>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Objekt</t>
  </si>
  <si>
    <t>Kód</t>
  </si>
  <si>
    <t>979011111R00</t>
  </si>
  <si>
    <t>979083116R00</t>
  </si>
  <si>
    <t>979990105R00</t>
  </si>
  <si>
    <t>01</t>
  </si>
  <si>
    <t>998011003R00</t>
  </si>
  <si>
    <t>216904391R00</t>
  </si>
  <si>
    <t>311230052RAJ</t>
  </si>
  <si>
    <t>347016133R00</t>
  </si>
  <si>
    <t>602021103R00</t>
  </si>
  <si>
    <t>602021115RT1</t>
  </si>
  <si>
    <t>602021121RT2</t>
  </si>
  <si>
    <t>602021151RT1</t>
  </si>
  <si>
    <t>61</t>
  </si>
  <si>
    <t>612420010RA0</t>
  </si>
  <si>
    <t>612420016RA0</t>
  </si>
  <si>
    <t>94</t>
  </si>
  <si>
    <t>941955002R00</t>
  </si>
  <si>
    <t>941955004R00</t>
  </si>
  <si>
    <t>96</t>
  </si>
  <si>
    <t>962031132R00</t>
  </si>
  <si>
    <t>968061125R00</t>
  </si>
  <si>
    <t>968062455R00</t>
  </si>
  <si>
    <t>97</t>
  </si>
  <si>
    <t>978013191R00</t>
  </si>
  <si>
    <t>978023411R00</t>
  </si>
  <si>
    <t>978059531R00</t>
  </si>
  <si>
    <t>767</t>
  </si>
  <si>
    <t>767585112R00</t>
  </si>
  <si>
    <t>775</t>
  </si>
  <si>
    <t>775591900R00</t>
  </si>
  <si>
    <t>775599130R00</t>
  </si>
  <si>
    <t>775599151R00</t>
  </si>
  <si>
    <t>776</t>
  </si>
  <si>
    <t>776101115R00</t>
  </si>
  <si>
    <t>776101121R00</t>
  </si>
  <si>
    <t>776421100RU1</t>
  </si>
  <si>
    <t>776511820RT1</t>
  </si>
  <si>
    <t>776591000R00</t>
  </si>
  <si>
    <t>776996110R00</t>
  </si>
  <si>
    <t>781</t>
  </si>
  <si>
    <t>781101111R00</t>
  </si>
  <si>
    <t>781101210RT1</t>
  </si>
  <si>
    <t>781419711R00</t>
  </si>
  <si>
    <t>781475111RT1</t>
  </si>
  <si>
    <t>781479705RT2</t>
  </si>
  <si>
    <t>784</t>
  </si>
  <si>
    <t>784111701R00</t>
  </si>
  <si>
    <t>784167103R00</t>
  </si>
  <si>
    <t>784171101R00</t>
  </si>
  <si>
    <t>784195422R00</t>
  </si>
  <si>
    <t>784402802R00</t>
  </si>
  <si>
    <t>784450025RA0</t>
  </si>
  <si>
    <t>784498912R00</t>
  </si>
  <si>
    <t>H775</t>
  </si>
  <si>
    <t>998775103R00</t>
  </si>
  <si>
    <t>H776</t>
  </si>
  <si>
    <t>998776103R00</t>
  </si>
  <si>
    <t>H781</t>
  </si>
  <si>
    <t>998781103R00</t>
  </si>
  <si>
    <t>003VD</t>
  </si>
  <si>
    <t>005VD</t>
  </si>
  <si>
    <t>010VD</t>
  </si>
  <si>
    <t>030VD</t>
  </si>
  <si>
    <t>0901VD</t>
  </si>
  <si>
    <t>103VD</t>
  </si>
  <si>
    <t>28412237</t>
  </si>
  <si>
    <t>598610213</t>
  </si>
  <si>
    <t>Stavební úpravy budovy Ke Karlovu 4</t>
  </si>
  <si>
    <t>Stavební úpravy</t>
  </si>
  <si>
    <t>Ke Karlovu 4,Praha 2</t>
  </si>
  <si>
    <t>8013813</t>
  </si>
  <si>
    <t>Zkrácený popis</t>
  </si>
  <si>
    <t>Přesuny sutí</t>
  </si>
  <si>
    <t>Svislá doprava suti a vybour. hmot za 2.NP a 1.PP</t>
  </si>
  <si>
    <t>Vodorovné přemístění suti na skládku do 5000 m</t>
  </si>
  <si>
    <t>Poplatek za skládku suti - cihelné výrobky</t>
  </si>
  <si>
    <t>Budovy občanské výstavby</t>
  </si>
  <si>
    <t>Přesun hmot pro budovy zděné výšky do 24 m</t>
  </si>
  <si>
    <t>Úprava podloží a základové spáry</t>
  </si>
  <si>
    <t>Příplatek za ruční dočištění ocelovými kartáči-pod sanační omítky</t>
  </si>
  <si>
    <t>Zdi podpěrné a volné</t>
  </si>
  <si>
    <t>Zdivo nosné Porotherm, tloušťka 30 cm-dozdění otvoru m.č.206,228</t>
  </si>
  <si>
    <t>Stěny a příčky</t>
  </si>
  <si>
    <t>Předstěna SDK,tl.115mm, ocel.kce CW, 1x RBI 12,5mm</t>
  </si>
  <si>
    <t>Úpravy povrchů,podlahy a osazování výplní otvorů</t>
  </si>
  <si>
    <t>Přednástřik stěn cement.Baumit 100% krytí, ručně-san.om.</t>
  </si>
  <si>
    <t>Omítka jádrová Baumit Sanova puferová, ručně</t>
  </si>
  <si>
    <t>Omítka stěn sanační Baumit Sanova W, ručně-nad SDK</t>
  </si>
  <si>
    <t>Štuk stěn sanační Baumit Sanova, ručně-nad SDK</t>
  </si>
  <si>
    <t>Omítka stěn vnitřní vápenocementová hrubá zatřená-nového zdiva</t>
  </si>
  <si>
    <t>Omítka stěn vnitřní vápenocementová štuková</t>
  </si>
  <si>
    <t>Lešení a stavební výtahy</t>
  </si>
  <si>
    <t>Lešení lehké pomocné, výška podlahy do 1,9 m</t>
  </si>
  <si>
    <t>Lešení lehké pomocné, výška podlahy do 3,5 m</t>
  </si>
  <si>
    <t>Bourání konstrukcí</t>
  </si>
  <si>
    <t>Bourání příček cihelných tl. 10 cm</t>
  </si>
  <si>
    <t>Vyvěšení dřevěných dveřních křídel pl. do 2 m2</t>
  </si>
  <si>
    <t>Vybourání dřevěných dveřních zárubní pl. do 2 m2</t>
  </si>
  <si>
    <t>Prorážení otvorů a ostatní bourací práce</t>
  </si>
  <si>
    <t>Otlučení omítek vnitřních stěn -pod sanační omítky</t>
  </si>
  <si>
    <t>Vysekání a úprava spár zdiva cihelného-pod sanač. om.</t>
  </si>
  <si>
    <t>Odsekání vnitřních obkladů stěn nad 2 m2</t>
  </si>
  <si>
    <t>Konstrukce doplňkové stavební (zámečnické)</t>
  </si>
  <si>
    <t>Montáž  mřížek nad radiátory-srovnat.</t>
  </si>
  <si>
    <t>Podlahy vlysové a parketové</t>
  </si>
  <si>
    <t>Oprava podlah, broušení vlysů, parket trojnásobné-m.č.107</t>
  </si>
  <si>
    <t>Celoplošné klínování, tmelení ,doplnění parketových podlah-srovnat.</t>
  </si>
  <si>
    <t>Lak dřevěných podlah parketových 3x, přebroušení</t>
  </si>
  <si>
    <t>Podlahy povlakové</t>
  </si>
  <si>
    <t>Vyrovnání podkladů samonivelační hmotou</t>
  </si>
  <si>
    <t>Provedení penetrace podkladu</t>
  </si>
  <si>
    <t>Lepení podlahových soklíků z měkčeného PVC vč. dodávky</t>
  </si>
  <si>
    <t>Odstranění PVC podlah lepených</t>
  </si>
  <si>
    <t>Lepení podlah PVC</t>
  </si>
  <si>
    <t>Napuštění povlakových podlah pastou</t>
  </si>
  <si>
    <t>Obklady (keramické)</t>
  </si>
  <si>
    <t>Vyrovnání podkladu maltou ze SMS tl. do 7 mm</t>
  </si>
  <si>
    <t>Penetrace podkladu pod obklady</t>
  </si>
  <si>
    <t>Příplatek k obkladu stěn za plochu do 10 m2 jedntl</t>
  </si>
  <si>
    <t>Obklad vnitřní stěn keramický, do tmele</t>
  </si>
  <si>
    <t>Přípl.za spárovací hmotu - plošně</t>
  </si>
  <si>
    <t>Penetrace podkladu nátěrem Remal sádrokarton 1x</t>
  </si>
  <si>
    <t>Vyhlazení disperz. tmelem HET Ditmel, 2 x (1+1mm)-SDK</t>
  </si>
  <si>
    <t>Penetrace podkladu nátěrem Tollens, Tol - Fix, 1 x</t>
  </si>
  <si>
    <t>Malba tekutá Primalex Polar, barva, 2 x</t>
  </si>
  <si>
    <t>Odstranění malby oškrábáním v místnosti H do 5 m</t>
  </si>
  <si>
    <t>Malba ze směsi Remal na SDK, penetrace 1x, bílá 2x</t>
  </si>
  <si>
    <t>Vyhlazení malířskou masou 1x, výška do 5 m</t>
  </si>
  <si>
    <t>Přesun hmot pro podlahy vlysové, výšky do 24 m</t>
  </si>
  <si>
    <t>Přesun hmot pro podlahy povlakové, výšky do 24 m</t>
  </si>
  <si>
    <t>Přesun hmot pro obklady keramické, výšky do 24 m</t>
  </si>
  <si>
    <t>Ostatní materiál</t>
  </si>
  <si>
    <t>ZT-vnitřní kanalizace,vodovod,zařiz.předm-D+M-předběžná cena</t>
  </si>
  <si>
    <t>Elektro-D+M-předběžná cena</t>
  </si>
  <si>
    <t>Repase dřevěných schodů-předběžná cena</t>
  </si>
  <si>
    <t>Dlaždice keramické-předběžná cena</t>
  </si>
  <si>
    <t>Zatemnění místností 107,206-předběžná cena</t>
  </si>
  <si>
    <t>Dveře vnitřní-repase,m.č.107-předběžná cena</t>
  </si>
  <si>
    <t>Podlahovina PVC - srovnatelně-předběžná cena</t>
  </si>
  <si>
    <t>Mřížka větrací nad radiátory v SDK-srovnatelně-předběžná cena</t>
  </si>
  <si>
    <t>Doba výstavby:</t>
  </si>
  <si>
    <t>Začátek výstavby:</t>
  </si>
  <si>
    <t>Konec výstavby:</t>
  </si>
  <si>
    <t>Zpracováno dne:</t>
  </si>
  <si>
    <t>M.j.</t>
  </si>
  <si>
    <t>t</t>
  </si>
  <si>
    <t>m2</t>
  </si>
  <si>
    <t>m3</t>
  </si>
  <si>
    <t>kus</t>
  </si>
  <si>
    <t>m</t>
  </si>
  <si>
    <t>kpl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</si>
  <si>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</si>
  <si>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</si>
  <si>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</si>
  <si>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</si>
  <si>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</si>
  <si>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</si>
  <si>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</si>
  <si>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</si>
  <si>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</si>
  <si>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</si>
  <si>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</si>
  <si>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3.lékařská fakulta UK</t>
  </si>
  <si>
    <t>Ing.Marie Ohnesorgová</t>
  </si>
  <si>
    <t>Celkem</t>
  </si>
  <si>
    <t>Hmotnost (t)</t>
  </si>
  <si>
    <t>0</t>
  </si>
  <si>
    <t>Přesuny</t>
  </si>
  <si>
    <t>Typ skupiny</t>
  </si>
  <si>
    <t>OM</t>
  </si>
  <si>
    <t>PR</t>
  </si>
  <si>
    <t>HS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</si>
  <si>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</si>
  <si>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</si>
  <si>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</si>
  <si>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</si>
  <si>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</si>
  <si>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</si>
  <si>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</si>
  <si>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</si>
  <si>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</si>
  <si>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Rozměry</t>
  </si>
  <si>
    <t>3,12+13,26</t>
  </si>
  <si>
    <t>1,83+1,10+2,49+1,32+0,87+0,21</t>
  </si>
  <si>
    <t>2,5*3,0*0,3</t>
  </si>
  <si>
    <t>(8,1+6,0)*2*1,5   m.č.005</t>
  </si>
  <si>
    <t>-1,0*1,0   odpočet otvorů</t>
  </si>
  <si>
    <t>(10,0+5,4)*2*1,5   m.č.006</t>
  </si>
  <si>
    <t>(10,0+5,4)*2*0,5-2,25*0,5   m.č.006 nad obklady</t>
  </si>
  <si>
    <t>2,5*3,0*2</t>
  </si>
  <si>
    <t>8,1*6,0+10,0*5,4+6,3*4,9+6,9*5,5+10,0*2,9   m.č.005,006,337,338,352</t>
  </si>
  <si>
    <t>10,0*5,1+8,0*5,25   m.č.107,206</t>
  </si>
  <si>
    <t>(2,5*3)*3,0   m.č.206,228</t>
  </si>
  <si>
    <t>(8,1+6,0)*2*1,5-1,0*1,5   m.č.005</t>
  </si>
  <si>
    <t>(10,0+5,4)*2*2,0-1,0*2   m.č.006</t>
  </si>
  <si>
    <t>(5,4+10,0)*2*2,0-1,0*2   m.č.006</t>
  </si>
  <si>
    <t>1,6*1,5   m.č.107</t>
  </si>
  <si>
    <t>2,5*1,5   m.č.206</t>
  </si>
  <si>
    <t>10,0*5,1</t>
  </si>
  <si>
    <t>(8,0+5,1)*2-(2,25+1,0)   m.č.206</t>
  </si>
  <si>
    <t>10,0*5,1   m.č.107</t>
  </si>
  <si>
    <t>8,0*5,4   m.č.206</t>
  </si>
  <si>
    <t>6,3*4,9   m.č.337</t>
  </si>
  <si>
    <t>43,2+30,87   m.č.206,337</t>
  </si>
  <si>
    <t>2,4+3,75+9,0   m.č.107,206,338</t>
  </si>
  <si>
    <t>(8,1+6,0)*2*0,6-1,5*0,6+1,6*0,6*4   m.č.005</t>
  </si>
  <si>
    <t>(10,0+5,4)*2*2,0-2,25*0,6+1,6*0,6*2   m.č.006</t>
  </si>
  <si>
    <t>6,0*1,5   m.č.338</t>
  </si>
  <si>
    <t>(8,1+6,0)*2*2,0-(0,8*2,0)+8,1*6,0*1,3   m.č.005</t>
  </si>
  <si>
    <t>(10,0+5,4)*2*2,0-(0,8*2,0)+10,0*5,4*1,3   m.č.006</t>
  </si>
  <si>
    <t>(10,0+5,1)*2*5,0-(2,25*5,0+1,5*3,0+1,0*2,0)+10,0*5,1*1,3   m.č.107</t>
  </si>
  <si>
    <t>(8,0+5,1)*2*5,0-(0,8*2,0+2,25*3,0)+8,0*5,1   m.č.206</t>
  </si>
  <si>
    <t>(6,3+4,9)*2*3,3-(0,8*2,0)+6,3*4,9-(0,8*1,2*2)   m.č.337</t>
  </si>
  <si>
    <t>(6,9+5,8)*2*3,3-(0,8*2,0)+6,9*5,8-(0,8*1,2*2)   m.č.338</t>
  </si>
  <si>
    <t>(10,0+2,9)*3,3-(0,8*2,0)+10,0*2,9-(0,8*1,2*4)   m.č.352</t>
  </si>
  <si>
    <t>97,18</t>
  </si>
  <si>
    <t>;ztratné 10%; 9,718</t>
  </si>
  <si>
    <t>74,0+7,4</t>
  </si>
  <si>
    <t>Varianta</t>
  </si>
  <si>
    <t>cihla broušená, 300 x 247 x 249 mm,P 10,na PU pěnu</t>
  </si>
  <si>
    <t>tloušťka vrstvy 10 mm</t>
  </si>
  <si>
    <t>tloušťka vrstvy 20 mm</t>
  </si>
  <si>
    <t>tloušťka vrstvy 2 mm, pro interiér</t>
  </si>
  <si>
    <t>včetně dodávky soklíku PVC</t>
  </si>
  <si>
    <t>z ploch nad 20 m2</t>
  </si>
  <si>
    <t>penetrační nátěr Primer G</t>
  </si>
  <si>
    <t>weber.for profiflex (lep),weber.color comfort (sp)</t>
  </si>
  <si>
    <t>směs SM (Knauf)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</si>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</sst>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33" borderId="28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0" fillId="0" borderId="28" xfId="0" applyNumberFormat="1" applyFont="1" applyFill="1" applyBorder="1" applyAlignment="1" applyProtection="1">
      <alignment horizontal="right" vertical="center"/>
      <protection/>
    </xf>
    <xf numFmtId="49" fontId="10" fillId="0" borderId="28" xfId="0" applyNumberFormat="1" applyFont="1" applyFill="1" applyBorder="1" applyAlignment="1" applyProtection="1">
      <alignment horizontal="right" vertical="center"/>
      <protection/>
    </xf>
    <xf numFmtId="4" fontId="9" fillId="33" borderId="34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44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45" xfId="0" applyNumberFormat="1" applyFont="1" applyFill="1" applyBorder="1" applyAlignment="1" applyProtection="1">
      <alignment horizontal="left" vertical="center"/>
      <protection/>
    </xf>
    <xf numFmtId="49" fontId="9" fillId="33" borderId="46" xfId="0" applyNumberFormat="1" applyFont="1" applyFill="1" applyBorder="1" applyAlignment="1" applyProtection="1">
      <alignment horizontal="left" vertical="center"/>
      <protection/>
    </xf>
    <xf numFmtId="0" fontId="9" fillId="33" borderId="31" xfId="0" applyNumberFormat="1" applyFont="1" applyFill="1" applyBorder="1" applyAlignment="1" applyProtection="1">
      <alignment horizontal="left" vertical="center"/>
      <protection/>
    </xf>
    <xf numFmtId="49" fontId="10" fillId="0" borderId="47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48" xfId="0" applyNumberFormat="1" applyFont="1" applyFill="1" applyBorder="1" applyAlignment="1" applyProtection="1">
      <alignment horizontal="left" vertical="center"/>
      <protection/>
    </xf>
    <xf numFmtId="49" fontId="10" fillId="0" borderId="46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14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5"/>
  <sheetViews>
    <sheetView zoomScalePageLayoutView="0" workbookViewId="0" topLeftCell="A1">
      <selection activeCell="G8" sqref="G8:H9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56.5742187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2.75">
      <c r="A2" s="73" t="s">
        <v>1</v>
      </c>
      <c r="B2" s="66"/>
      <c r="C2" s="66"/>
      <c r="D2" s="55" t="s">
        <v>130</v>
      </c>
      <c r="E2" s="62" t="s">
        <v>203</v>
      </c>
      <c r="F2" s="66"/>
      <c r="G2" s="62"/>
      <c r="H2" s="66"/>
      <c r="I2" s="62" t="s">
        <v>220</v>
      </c>
      <c r="J2" s="62" t="s">
        <v>225</v>
      </c>
      <c r="K2" s="66"/>
      <c r="L2" s="67"/>
      <c r="M2" s="24"/>
    </row>
    <row r="3" spans="1:13" ht="12.75">
      <c r="A3" s="74"/>
      <c r="B3" s="63"/>
      <c r="C3" s="63"/>
      <c r="D3" s="77"/>
      <c r="E3" s="63"/>
      <c r="F3" s="63"/>
      <c r="G3" s="63"/>
      <c r="H3" s="63"/>
      <c r="I3" s="63"/>
      <c r="J3" s="63"/>
      <c r="K3" s="63"/>
      <c r="L3" s="68"/>
      <c r="M3" s="24"/>
    </row>
    <row r="4" spans="1:13" ht="12.75">
      <c r="A4" s="75" t="s">
        <v>2</v>
      </c>
      <c r="B4" s="63"/>
      <c r="C4" s="63"/>
      <c r="D4" s="64" t="s">
        <v>131</v>
      </c>
      <c r="E4" s="64" t="s">
        <v>204</v>
      </c>
      <c r="F4" s="63"/>
      <c r="G4" s="64" t="s">
        <v>5</v>
      </c>
      <c r="H4" s="63"/>
      <c r="I4" s="64" t="s">
        <v>221</v>
      </c>
      <c r="J4" s="64" t="s">
        <v>226</v>
      </c>
      <c r="K4" s="63"/>
      <c r="L4" s="68"/>
      <c r="M4" s="24"/>
    </row>
    <row r="5" spans="1:13" ht="12.75">
      <c r="A5" s="74"/>
      <c r="B5" s="63"/>
      <c r="C5" s="63"/>
      <c r="D5" s="63"/>
      <c r="E5" s="63"/>
      <c r="F5" s="63"/>
      <c r="G5" s="63"/>
      <c r="H5" s="63"/>
      <c r="I5" s="63"/>
      <c r="J5" s="63"/>
      <c r="K5" s="63"/>
      <c r="L5" s="68"/>
      <c r="M5" s="24"/>
    </row>
    <row r="6" spans="1:13" ht="12.75">
      <c r="A6" s="75" t="s">
        <v>3</v>
      </c>
      <c r="B6" s="63"/>
      <c r="C6" s="63"/>
      <c r="D6" s="64" t="s">
        <v>132</v>
      </c>
      <c r="E6" s="64" t="s">
        <v>205</v>
      </c>
      <c r="F6" s="63"/>
      <c r="G6" s="63"/>
      <c r="H6" s="63"/>
      <c r="I6" s="64" t="s">
        <v>222</v>
      </c>
      <c r="J6" s="64"/>
      <c r="K6" s="63"/>
      <c r="L6" s="68"/>
      <c r="M6" s="24"/>
    </row>
    <row r="7" spans="1:13" ht="12.75">
      <c r="A7" s="74"/>
      <c r="B7" s="63"/>
      <c r="C7" s="63"/>
      <c r="D7" s="63"/>
      <c r="E7" s="63"/>
      <c r="F7" s="63"/>
      <c r="G7" s="63"/>
      <c r="H7" s="63"/>
      <c r="I7" s="63"/>
      <c r="J7" s="63"/>
      <c r="K7" s="63"/>
      <c r="L7" s="68"/>
      <c r="M7" s="24"/>
    </row>
    <row r="8" spans="1:13" ht="12.75">
      <c r="A8" s="75" t="s">
        <v>4</v>
      </c>
      <c r="B8" s="63"/>
      <c r="C8" s="63"/>
      <c r="D8" s="64" t="s">
        <v>133</v>
      </c>
      <c r="E8" s="64" t="s">
        <v>206</v>
      </c>
      <c r="F8" s="63"/>
      <c r="G8" s="70"/>
      <c r="H8" s="63"/>
      <c r="I8" s="64" t="s">
        <v>223</v>
      </c>
      <c r="J8" s="64"/>
      <c r="K8" s="63"/>
      <c r="L8" s="68"/>
      <c r="M8" s="24"/>
    </row>
    <row r="9" spans="1:13" ht="12.75">
      <c r="A9" s="76"/>
      <c r="B9" s="65"/>
      <c r="C9" s="65"/>
      <c r="D9" s="65"/>
      <c r="E9" s="65"/>
      <c r="F9" s="65"/>
      <c r="G9" s="65"/>
      <c r="H9" s="65"/>
      <c r="I9" s="65"/>
      <c r="J9" s="65"/>
      <c r="K9" s="65"/>
      <c r="L9" s="69"/>
      <c r="M9" s="24"/>
    </row>
    <row r="10" spans="1:13" ht="12.75">
      <c r="A10" s="1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17" t="s">
        <v>215</v>
      </c>
      <c r="H10" s="57" t="s">
        <v>217</v>
      </c>
      <c r="I10" s="58"/>
      <c r="J10" s="59"/>
      <c r="K10" s="57" t="s">
        <v>228</v>
      </c>
      <c r="L10" s="59"/>
      <c r="M10" s="25"/>
    </row>
    <row r="11" spans="1:24" ht="12.75">
      <c r="A11" s="2" t="s">
        <v>6</v>
      </c>
      <c r="B11" s="10" t="s">
        <v>61</v>
      </c>
      <c r="C11" s="10" t="s">
        <v>62</v>
      </c>
      <c r="D11" s="10" t="s">
        <v>134</v>
      </c>
      <c r="E11" s="10" t="s">
        <v>207</v>
      </c>
      <c r="F11" s="13" t="s">
        <v>214</v>
      </c>
      <c r="G11" s="18" t="s">
        <v>216</v>
      </c>
      <c r="H11" s="19" t="s">
        <v>218</v>
      </c>
      <c r="I11" s="20" t="s">
        <v>224</v>
      </c>
      <c r="J11" s="21" t="s">
        <v>227</v>
      </c>
      <c r="K11" s="19" t="s">
        <v>215</v>
      </c>
      <c r="L11" s="21" t="s">
        <v>227</v>
      </c>
      <c r="M11" s="25"/>
      <c r="P11" s="23" t="s">
        <v>230</v>
      </c>
      <c r="Q11" s="23" t="s">
        <v>231</v>
      </c>
      <c r="R11" s="23" t="s">
        <v>236</v>
      </c>
      <c r="S11" s="23" t="s">
        <v>237</v>
      </c>
      <c r="T11" s="23" t="s">
        <v>238</v>
      </c>
      <c r="U11" s="23" t="s">
        <v>239</v>
      </c>
      <c r="V11" s="23" t="s">
        <v>240</v>
      </c>
      <c r="W11" s="23" t="s">
        <v>241</v>
      </c>
      <c r="X11" s="23" t="s">
        <v>242</v>
      </c>
    </row>
    <row r="12" spans="1:37" ht="12.75">
      <c r="A12" s="3"/>
      <c r="B12" s="3"/>
      <c r="C12" s="11"/>
      <c r="D12" s="60" t="s">
        <v>135</v>
      </c>
      <c r="E12" s="61"/>
      <c r="F12" s="61"/>
      <c r="G12" s="61"/>
      <c r="H12" s="29">
        <f>SUM(H13:H15)</f>
        <v>0</v>
      </c>
      <c r="I12" s="29">
        <f>SUM(I13:I15)</f>
        <v>0</v>
      </c>
      <c r="J12" s="29">
        <f>H12+I12</f>
        <v>0</v>
      </c>
      <c r="K12" s="22"/>
      <c r="L12" s="29">
        <f>SUM(L13:L15)</f>
        <v>0</v>
      </c>
      <c r="P12" s="30">
        <f>IF(Q12="PR",J12,SUM(O13:O15))</f>
        <v>0</v>
      </c>
      <c r="Q12" s="23" t="s">
        <v>232</v>
      </c>
      <c r="R12" s="30">
        <f>IF(Q12="HS",H12,0)</f>
        <v>0</v>
      </c>
      <c r="S12" s="30">
        <f>IF(Q12="HS",I12-P12,0)</f>
        <v>0</v>
      </c>
      <c r="T12" s="30">
        <f>IF(Q12="PS",H12,0)</f>
        <v>0</v>
      </c>
      <c r="U12" s="30">
        <f>IF(Q12="PS",I12-P12,0)</f>
        <v>0</v>
      </c>
      <c r="V12" s="30">
        <f>IF(Q12="MP",H12,0)</f>
        <v>0</v>
      </c>
      <c r="W12" s="30">
        <f>IF(Q12="MP",I12-P12,0)</f>
        <v>0</v>
      </c>
      <c r="X12" s="30">
        <f>IF(Q12="OM",H12,0)</f>
        <v>0</v>
      </c>
      <c r="Y12" s="23"/>
      <c r="AI12" s="30">
        <f>SUM(Z13:Z15)</f>
        <v>0</v>
      </c>
      <c r="AJ12" s="30">
        <f>SUM(AA13:AA15)</f>
        <v>0</v>
      </c>
      <c r="AK12" s="30">
        <f>SUM(AB13:AB15)</f>
        <v>0</v>
      </c>
    </row>
    <row r="13" spans="1:32" ht="12.75">
      <c r="A13" s="4" t="s">
        <v>7</v>
      </c>
      <c r="B13" s="4"/>
      <c r="C13" s="4" t="s">
        <v>63</v>
      </c>
      <c r="D13" s="4" t="s">
        <v>136</v>
      </c>
      <c r="E13" s="4" t="s">
        <v>208</v>
      </c>
      <c r="F13" s="14">
        <v>16.38</v>
      </c>
      <c r="G13" s="14">
        <v>0</v>
      </c>
      <c r="H13" s="14">
        <f>ROUND(F13*AE13,2)</f>
        <v>0</v>
      </c>
      <c r="I13" s="14">
        <f>J13-H13</f>
        <v>0</v>
      </c>
      <c r="J13" s="14">
        <f>ROUND(F13*G13,2)</f>
        <v>0</v>
      </c>
      <c r="K13" s="14">
        <v>0</v>
      </c>
      <c r="L13" s="14">
        <f>F13*K13</f>
        <v>0</v>
      </c>
      <c r="N13" s="26" t="s">
        <v>11</v>
      </c>
      <c r="O13" s="14">
        <f>IF(N13="5",I13,0)</f>
        <v>0</v>
      </c>
      <c r="Z13" s="14">
        <f>IF(AD13=0,J13,0)</f>
        <v>0</v>
      </c>
      <c r="AA13" s="14">
        <f>IF(AD13=15,J13,0)</f>
        <v>0</v>
      </c>
      <c r="AB13" s="14">
        <f>IF(AD13=21,J13,0)</f>
        <v>0</v>
      </c>
      <c r="AD13" s="28">
        <v>21</v>
      </c>
      <c r="AE13" s="28">
        <f>G13*0</f>
        <v>0</v>
      </c>
      <c r="AF13" s="28">
        <f>G13*(1-0)</f>
        <v>0</v>
      </c>
    </row>
    <row r="14" spans="1:32" ht="12.75">
      <c r="A14" s="4" t="s">
        <v>8</v>
      </c>
      <c r="B14" s="4"/>
      <c r="C14" s="4" t="s">
        <v>64</v>
      </c>
      <c r="D14" s="4" t="s">
        <v>137</v>
      </c>
      <c r="E14" s="4" t="s">
        <v>208</v>
      </c>
      <c r="F14" s="14">
        <v>16.38</v>
      </c>
      <c r="G14" s="14">
        <v>0</v>
      </c>
      <c r="H14" s="14">
        <f>ROUND(F14*AE14,2)</f>
        <v>0</v>
      </c>
      <c r="I14" s="14">
        <f>J14-H14</f>
        <v>0</v>
      </c>
      <c r="J14" s="14">
        <f>ROUND(F14*G14,2)</f>
        <v>0</v>
      </c>
      <c r="K14" s="14">
        <v>0</v>
      </c>
      <c r="L14" s="14">
        <f>F14*K14</f>
        <v>0</v>
      </c>
      <c r="N14" s="26" t="s">
        <v>11</v>
      </c>
      <c r="O14" s="14">
        <f>IF(N14="5",I14,0)</f>
        <v>0</v>
      </c>
      <c r="Z14" s="14">
        <f>IF(AD14=0,J14,0)</f>
        <v>0</v>
      </c>
      <c r="AA14" s="14">
        <f>IF(AD14=15,J14,0)</f>
        <v>0</v>
      </c>
      <c r="AB14" s="14">
        <f>IF(AD14=21,J14,0)</f>
        <v>0</v>
      </c>
      <c r="AD14" s="28">
        <v>21</v>
      </c>
      <c r="AE14" s="28">
        <f>G14*0.00895149081813993</f>
        <v>0</v>
      </c>
      <c r="AF14" s="28">
        <f>G14*(1-0.00895149081813993)</f>
        <v>0</v>
      </c>
    </row>
    <row r="15" spans="1:32" ht="12.75">
      <c r="A15" s="4" t="s">
        <v>9</v>
      </c>
      <c r="B15" s="4"/>
      <c r="C15" s="4" t="s">
        <v>65</v>
      </c>
      <c r="D15" s="4" t="s">
        <v>138</v>
      </c>
      <c r="E15" s="4" t="s">
        <v>208</v>
      </c>
      <c r="F15" s="14">
        <v>16.38</v>
      </c>
      <c r="G15" s="14">
        <v>0</v>
      </c>
      <c r="H15" s="14">
        <f>ROUND(F15*AE15,2)</f>
        <v>0</v>
      </c>
      <c r="I15" s="14">
        <f>J15-H15</f>
        <v>0</v>
      </c>
      <c r="J15" s="14">
        <f>ROUND(F15*G15,2)</f>
        <v>0</v>
      </c>
      <c r="K15" s="14">
        <v>0</v>
      </c>
      <c r="L15" s="14">
        <f>F15*K15</f>
        <v>0</v>
      </c>
      <c r="N15" s="26" t="s">
        <v>11</v>
      </c>
      <c r="O15" s="14">
        <f>IF(N15="5",I15,0)</f>
        <v>0</v>
      </c>
      <c r="Z15" s="14">
        <f>IF(AD15=0,J15,0)</f>
        <v>0</v>
      </c>
      <c r="AA15" s="14">
        <f>IF(AD15=15,J15,0)</f>
        <v>0</v>
      </c>
      <c r="AB15" s="14">
        <f>IF(AD15=21,J15,0)</f>
        <v>0</v>
      </c>
      <c r="AD15" s="28">
        <v>21</v>
      </c>
      <c r="AE15" s="28">
        <f>G15*0</f>
        <v>0</v>
      </c>
      <c r="AF15" s="28">
        <f>G15*(1-0)</f>
        <v>0</v>
      </c>
    </row>
    <row r="16" spans="1:37" ht="12.75">
      <c r="A16" s="5"/>
      <c r="B16" s="5"/>
      <c r="C16" s="12" t="s">
        <v>66</v>
      </c>
      <c r="D16" s="53" t="s">
        <v>139</v>
      </c>
      <c r="E16" s="54"/>
      <c r="F16" s="54"/>
      <c r="G16" s="54"/>
      <c r="H16" s="30">
        <f>SUM(H17:H17)</f>
        <v>0</v>
      </c>
      <c r="I16" s="30">
        <f>SUM(I17:I17)</f>
        <v>0</v>
      </c>
      <c r="J16" s="30">
        <f>H16+I16</f>
        <v>0</v>
      </c>
      <c r="K16" s="23"/>
      <c r="L16" s="30">
        <f>SUM(L17:L17)</f>
        <v>0</v>
      </c>
      <c r="P16" s="30">
        <f>IF(Q16="PR",J16,SUM(O17:O17))</f>
        <v>0</v>
      </c>
      <c r="Q16" s="23" t="s">
        <v>233</v>
      </c>
      <c r="R16" s="30">
        <f>IF(Q16="HS",H16,0)</f>
        <v>0</v>
      </c>
      <c r="S16" s="30">
        <f>IF(Q16="HS",I16-P16,0)</f>
        <v>0</v>
      </c>
      <c r="T16" s="30">
        <f>IF(Q16="PS",H16,0)</f>
        <v>0</v>
      </c>
      <c r="U16" s="30">
        <f>IF(Q16="PS",I16-P16,0)</f>
        <v>0</v>
      </c>
      <c r="V16" s="30">
        <f>IF(Q16="MP",H16,0)</f>
        <v>0</v>
      </c>
      <c r="W16" s="30">
        <f>IF(Q16="MP",I16-P16,0)</f>
        <v>0</v>
      </c>
      <c r="X16" s="30">
        <f>IF(Q16="OM",H16,0)</f>
        <v>0</v>
      </c>
      <c r="Y16" s="23"/>
      <c r="AI16" s="30">
        <f>SUM(Z17:Z17)</f>
        <v>0</v>
      </c>
      <c r="AJ16" s="30">
        <f>SUM(AA17:AA17)</f>
        <v>0</v>
      </c>
      <c r="AK16" s="30">
        <f>SUM(AB17:AB17)</f>
        <v>0</v>
      </c>
    </row>
    <row r="17" spans="1:32" ht="12.75">
      <c r="A17" s="4" t="s">
        <v>10</v>
      </c>
      <c r="B17" s="4"/>
      <c r="C17" s="4" t="s">
        <v>67</v>
      </c>
      <c r="D17" s="4" t="s">
        <v>140</v>
      </c>
      <c r="E17" s="4" t="s">
        <v>208</v>
      </c>
      <c r="F17" s="14">
        <v>7.82</v>
      </c>
      <c r="G17" s="14">
        <v>0</v>
      </c>
      <c r="H17" s="14">
        <f>ROUND(F17*AE17,2)</f>
        <v>0</v>
      </c>
      <c r="I17" s="14">
        <f>J17-H17</f>
        <v>0</v>
      </c>
      <c r="J17" s="14">
        <f>ROUND(F17*G17,2)</f>
        <v>0</v>
      </c>
      <c r="K17" s="14">
        <v>0</v>
      </c>
      <c r="L17" s="14">
        <f>F17*K17</f>
        <v>0</v>
      </c>
      <c r="N17" s="26" t="s">
        <v>11</v>
      </c>
      <c r="O17" s="14">
        <f>IF(N17="5",I17,0)</f>
        <v>0</v>
      </c>
      <c r="Z17" s="14">
        <f>IF(AD17=0,J17,0)</f>
        <v>0</v>
      </c>
      <c r="AA17" s="14">
        <f>IF(AD17=15,J17,0)</f>
        <v>0</v>
      </c>
      <c r="AB17" s="14">
        <f>IF(AD17=21,J17,0)</f>
        <v>0</v>
      </c>
      <c r="AD17" s="28">
        <v>21</v>
      </c>
      <c r="AE17" s="28">
        <f>G17*0</f>
        <v>0</v>
      </c>
      <c r="AF17" s="28">
        <f>G17*(1-0)</f>
        <v>0</v>
      </c>
    </row>
    <row r="18" spans="1:37" ht="12.75">
      <c r="A18" s="5"/>
      <c r="B18" s="5"/>
      <c r="C18" s="12" t="s">
        <v>27</v>
      </c>
      <c r="D18" s="53" t="s">
        <v>141</v>
      </c>
      <c r="E18" s="54"/>
      <c r="F18" s="54"/>
      <c r="G18" s="54"/>
      <c r="H18" s="30">
        <f>SUM(H19:H19)</f>
        <v>0</v>
      </c>
      <c r="I18" s="30">
        <f>SUM(I19:I19)</f>
        <v>0</v>
      </c>
      <c r="J18" s="30">
        <f>H18+I18</f>
        <v>0</v>
      </c>
      <c r="K18" s="23"/>
      <c r="L18" s="30">
        <f>SUM(L19:L19)</f>
        <v>0</v>
      </c>
      <c r="P18" s="30">
        <f>IF(Q18="PR",J18,SUM(O19:O19))</f>
        <v>0</v>
      </c>
      <c r="Q18" s="23" t="s">
        <v>234</v>
      </c>
      <c r="R18" s="30">
        <f>IF(Q18="HS",H18,0)</f>
        <v>0</v>
      </c>
      <c r="S18" s="30">
        <f>IF(Q18="HS",I18-P18,0)</f>
        <v>0</v>
      </c>
      <c r="T18" s="30">
        <f>IF(Q18="PS",H18,0)</f>
        <v>0</v>
      </c>
      <c r="U18" s="30">
        <f>IF(Q18="PS",I18-P18,0)</f>
        <v>0</v>
      </c>
      <c r="V18" s="30">
        <f>IF(Q18="MP",H18,0)</f>
        <v>0</v>
      </c>
      <c r="W18" s="30">
        <f>IF(Q18="MP",I18-P18,0)</f>
        <v>0</v>
      </c>
      <c r="X18" s="30">
        <f>IF(Q18="OM",H18,0)</f>
        <v>0</v>
      </c>
      <c r="Y18" s="23"/>
      <c r="AI18" s="30">
        <f>SUM(Z19:Z19)</f>
        <v>0</v>
      </c>
      <c r="AJ18" s="30">
        <f>SUM(AA19:AA19)</f>
        <v>0</v>
      </c>
      <c r="AK18" s="30">
        <f>SUM(AB19:AB19)</f>
        <v>0</v>
      </c>
    </row>
    <row r="19" spans="1:32" ht="12.75">
      <c r="A19" s="4" t="s">
        <v>11</v>
      </c>
      <c r="B19" s="4"/>
      <c r="C19" s="4" t="s">
        <v>68</v>
      </c>
      <c r="D19" s="4" t="s">
        <v>142</v>
      </c>
      <c r="E19" s="4" t="s">
        <v>209</v>
      </c>
      <c r="F19" s="14">
        <v>100.4</v>
      </c>
      <c r="G19" s="14">
        <v>0</v>
      </c>
      <c r="H19" s="14">
        <f>ROUND(F19*AE19,2)</f>
        <v>0</v>
      </c>
      <c r="I19" s="14">
        <f>J19-H19</f>
        <v>0</v>
      </c>
      <c r="J19" s="14">
        <f>ROUND(F19*G19,2)</f>
        <v>0</v>
      </c>
      <c r="K19" s="14">
        <v>0</v>
      </c>
      <c r="L19" s="14">
        <f>F19*K19</f>
        <v>0</v>
      </c>
      <c r="N19" s="26" t="s">
        <v>7</v>
      </c>
      <c r="O19" s="14">
        <f>IF(N19="5",I19,0)</f>
        <v>0</v>
      </c>
      <c r="Z19" s="14">
        <f>IF(AD19=0,J19,0)</f>
        <v>0</v>
      </c>
      <c r="AA19" s="14">
        <f>IF(AD19=15,J19,0)</f>
        <v>0</v>
      </c>
      <c r="AB19" s="14">
        <f>IF(AD19=21,J19,0)</f>
        <v>0</v>
      </c>
      <c r="AD19" s="28">
        <v>21</v>
      </c>
      <c r="AE19" s="28">
        <f>G19*0</f>
        <v>0</v>
      </c>
      <c r="AF19" s="28">
        <f>G19*(1-0)</f>
        <v>0</v>
      </c>
    </row>
    <row r="20" spans="1:37" ht="12.75">
      <c r="A20" s="5"/>
      <c r="B20" s="5"/>
      <c r="C20" s="12" t="s">
        <v>37</v>
      </c>
      <c r="D20" s="53" t="s">
        <v>143</v>
      </c>
      <c r="E20" s="54"/>
      <c r="F20" s="54"/>
      <c r="G20" s="54"/>
      <c r="H20" s="30">
        <f>SUM(H21:H21)</f>
        <v>0</v>
      </c>
      <c r="I20" s="30">
        <f>SUM(I21:I21)</f>
        <v>0</v>
      </c>
      <c r="J20" s="30">
        <f>H20+I20</f>
        <v>0</v>
      </c>
      <c r="K20" s="23"/>
      <c r="L20" s="30">
        <f>SUM(L21:L21)</f>
        <v>1.8297225</v>
      </c>
      <c r="P20" s="30">
        <f>IF(Q20="PR",J20,SUM(O21:O21))</f>
        <v>0</v>
      </c>
      <c r="Q20" s="23" t="s">
        <v>234</v>
      </c>
      <c r="R20" s="30">
        <f>IF(Q20="HS",H20,0)</f>
        <v>0</v>
      </c>
      <c r="S20" s="30">
        <f>IF(Q20="HS",I20-P20,0)</f>
        <v>0</v>
      </c>
      <c r="T20" s="30">
        <f>IF(Q20="PS",H20,0)</f>
        <v>0</v>
      </c>
      <c r="U20" s="30">
        <f>IF(Q20="PS",I20-P20,0)</f>
        <v>0</v>
      </c>
      <c r="V20" s="30">
        <f>IF(Q20="MP",H20,0)</f>
        <v>0</v>
      </c>
      <c r="W20" s="30">
        <f>IF(Q20="MP",I20-P20,0)</f>
        <v>0</v>
      </c>
      <c r="X20" s="30">
        <f>IF(Q20="OM",H20,0)</f>
        <v>0</v>
      </c>
      <c r="Y20" s="23"/>
      <c r="AI20" s="30">
        <f>SUM(Z21:Z21)</f>
        <v>0</v>
      </c>
      <c r="AJ20" s="30">
        <f>SUM(AA21:AA21)</f>
        <v>0</v>
      </c>
      <c r="AK20" s="30">
        <f>SUM(AB21:AB21)</f>
        <v>0</v>
      </c>
    </row>
    <row r="21" spans="1:32" ht="12.75">
      <c r="A21" s="4" t="s">
        <v>12</v>
      </c>
      <c r="B21" s="4"/>
      <c r="C21" s="4" t="s">
        <v>69</v>
      </c>
      <c r="D21" s="4" t="s">
        <v>144</v>
      </c>
      <c r="E21" s="4" t="s">
        <v>210</v>
      </c>
      <c r="F21" s="14">
        <v>2.25</v>
      </c>
      <c r="G21" s="14">
        <v>0</v>
      </c>
      <c r="H21" s="14">
        <f>ROUND(F21*AE21,2)</f>
        <v>0</v>
      </c>
      <c r="I21" s="14">
        <f>J21-H21</f>
        <v>0</v>
      </c>
      <c r="J21" s="14">
        <f>ROUND(F21*G21,2)</f>
        <v>0</v>
      </c>
      <c r="K21" s="14">
        <v>0.81321</v>
      </c>
      <c r="L21" s="14">
        <f>F21*K21</f>
        <v>1.8297225</v>
      </c>
      <c r="N21" s="26" t="s">
        <v>9</v>
      </c>
      <c r="O21" s="14">
        <f>IF(N21="5",I21,0)</f>
        <v>0</v>
      </c>
      <c r="Z21" s="14">
        <f>IF(AD21=0,J21,0)</f>
        <v>0</v>
      </c>
      <c r="AA21" s="14">
        <f>IF(AD21=15,J21,0)</f>
        <v>0</v>
      </c>
      <c r="AB21" s="14">
        <f>IF(AD21=21,J21,0)</f>
        <v>0</v>
      </c>
      <c r="AD21" s="28">
        <v>21</v>
      </c>
      <c r="AE21" s="28">
        <f>G21*0.768740673014272</f>
        <v>0</v>
      </c>
      <c r="AF21" s="28">
        <f>G21*(1-0.768740673014272)</f>
        <v>0</v>
      </c>
    </row>
    <row r="22" spans="1:37" ht="12.75">
      <c r="A22" s="5"/>
      <c r="B22" s="5"/>
      <c r="C22" s="12" t="s">
        <v>40</v>
      </c>
      <c r="D22" s="53" t="s">
        <v>145</v>
      </c>
      <c r="E22" s="54"/>
      <c r="F22" s="54"/>
      <c r="G22" s="54"/>
      <c r="H22" s="30">
        <f>SUM(H23:H23)</f>
        <v>0</v>
      </c>
      <c r="I22" s="30">
        <f>SUM(I23:I23)</f>
        <v>0</v>
      </c>
      <c r="J22" s="30">
        <f>H22+I22</f>
        <v>0</v>
      </c>
      <c r="K22" s="23"/>
      <c r="L22" s="30">
        <f>SUM(L23:L23)</f>
        <v>1.10425</v>
      </c>
      <c r="P22" s="30">
        <f>IF(Q22="PR",J22,SUM(O23:O23))</f>
        <v>0</v>
      </c>
      <c r="Q22" s="23" t="s">
        <v>234</v>
      </c>
      <c r="R22" s="30">
        <f>IF(Q22="HS",H22,0)</f>
        <v>0</v>
      </c>
      <c r="S22" s="30">
        <f>IF(Q22="HS",I22-P22,0)</f>
        <v>0</v>
      </c>
      <c r="T22" s="30">
        <f>IF(Q22="PS",H22,0)</f>
        <v>0</v>
      </c>
      <c r="U22" s="30">
        <f>IF(Q22="PS",I22-P22,0)</f>
        <v>0</v>
      </c>
      <c r="V22" s="30">
        <f>IF(Q22="MP",H22,0)</f>
        <v>0</v>
      </c>
      <c r="W22" s="30">
        <f>IF(Q22="MP",I22-P22,0)</f>
        <v>0</v>
      </c>
      <c r="X22" s="30">
        <f>IF(Q22="OM",H22,0)</f>
        <v>0</v>
      </c>
      <c r="Y22" s="23"/>
      <c r="AI22" s="30">
        <f>SUM(Z23:Z23)</f>
        <v>0</v>
      </c>
      <c r="AJ22" s="30">
        <f>SUM(AA23:AA23)</f>
        <v>0</v>
      </c>
      <c r="AK22" s="30">
        <f>SUM(AB23:AB23)</f>
        <v>0</v>
      </c>
    </row>
    <row r="23" spans="1:32" ht="12.75">
      <c r="A23" s="4" t="s">
        <v>13</v>
      </c>
      <c r="B23" s="4"/>
      <c r="C23" s="4" t="s">
        <v>70</v>
      </c>
      <c r="D23" s="4" t="s">
        <v>146</v>
      </c>
      <c r="E23" s="4" t="s">
        <v>209</v>
      </c>
      <c r="F23" s="14">
        <v>87.5</v>
      </c>
      <c r="G23" s="14">
        <v>0</v>
      </c>
      <c r="H23" s="14">
        <f>ROUND(F23*AE23,2)</f>
        <v>0</v>
      </c>
      <c r="I23" s="14">
        <f>J23-H23</f>
        <v>0</v>
      </c>
      <c r="J23" s="14">
        <f>ROUND(F23*G23,2)</f>
        <v>0</v>
      </c>
      <c r="K23" s="14">
        <v>0.01262</v>
      </c>
      <c r="L23" s="14">
        <f>F23*K23</f>
        <v>1.10425</v>
      </c>
      <c r="N23" s="26" t="s">
        <v>7</v>
      </c>
      <c r="O23" s="14">
        <f>IF(N23="5",I23,0)</f>
        <v>0</v>
      </c>
      <c r="Z23" s="14">
        <f>IF(AD23=0,J23,0)</f>
        <v>0</v>
      </c>
      <c r="AA23" s="14">
        <f>IF(AD23=15,J23,0)</f>
        <v>0</v>
      </c>
      <c r="AB23" s="14">
        <f>IF(AD23=21,J23,0)</f>
        <v>0</v>
      </c>
      <c r="AD23" s="28">
        <v>21</v>
      </c>
      <c r="AE23" s="28">
        <f>G23*0.512359640519605</f>
        <v>0</v>
      </c>
      <c r="AF23" s="28">
        <f>G23*(1-0.512359640519605)</f>
        <v>0</v>
      </c>
    </row>
    <row r="24" spans="1:37" ht="12.75">
      <c r="A24" s="5"/>
      <c r="B24" s="5"/>
      <c r="C24" s="12" t="s">
        <v>12</v>
      </c>
      <c r="D24" s="53" t="s">
        <v>147</v>
      </c>
      <c r="E24" s="54"/>
      <c r="F24" s="54"/>
      <c r="G24" s="54"/>
      <c r="H24" s="30">
        <f>SUM(H25:H28)</f>
        <v>0</v>
      </c>
      <c r="I24" s="30">
        <f>SUM(I25:I28)</f>
        <v>0</v>
      </c>
      <c r="J24" s="30">
        <f>H24+I24</f>
        <v>0</v>
      </c>
      <c r="K24" s="23"/>
      <c r="L24" s="30">
        <f>SUM(L25:L28)</f>
        <v>2.4860244000000002</v>
      </c>
      <c r="P24" s="30">
        <f>IF(Q24="PR",J24,SUM(O25:O28))</f>
        <v>0</v>
      </c>
      <c r="Q24" s="23" t="s">
        <v>234</v>
      </c>
      <c r="R24" s="30">
        <f>IF(Q24="HS",H24,0)</f>
        <v>0</v>
      </c>
      <c r="S24" s="30">
        <f>IF(Q24="HS",I24-P24,0)</f>
        <v>0</v>
      </c>
      <c r="T24" s="30">
        <f>IF(Q24="PS",H24,0)</f>
        <v>0</v>
      </c>
      <c r="U24" s="30">
        <f>IF(Q24="PS",I24-P24,0)</f>
        <v>0</v>
      </c>
      <c r="V24" s="30">
        <f>IF(Q24="MP",H24,0)</f>
        <v>0</v>
      </c>
      <c r="W24" s="30">
        <f>IF(Q24="MP",I24-P24,0)</f>
        <v>0</v>
      </c>
      <c r="X24" s="30">
        <f>IF(Q24="OM",H24,0)</f>
        <v>0</v>
      </c>
      <c r="Y24" s="23"/>
      <c r="AI24" s="30">
        <f>SUM(Z25:Z28)</f>
        <v>0</v>
      </c>
      <c r="AJ24" s="30">
        <f>SUM(AA25:AA28)</f>
        <v>0</v>
      </c>
      <c r="AK24" s="30">
        <f>SUM(AB25:AB28)</f>
        <v>0</v>
      </c>
    </row>
    <row r="25" spans="1:32" ht="12.75">
      <c r="A25" s="4" t="s">
        <v>14</v>
      </c>
      <c r="B25" s="4"/>
      <c r="C25" s="4" t="s">
        <v>71</v>
      </c>
      <c r="D25" s="4" t="s">
        <v>148</v>
      </c>
      <c r="E25" s="4" t="s">
        <v>209</v>
      </c>
      <c r="F25" s="14">
        <v>100.4</v>
      </c>
      <c r="G25" s="14">
        <v>0</v>
      </c>
      <c r="H25" s="14">
        <f>ROUND(F25*AE25,2)</f>
        <v>0</v>
      </c>
      <c r="I25" s="14">
        <f>J25-H25</f>
        <v>0</v>
      </c>
      <c r="J25" s="14">
        <f>ROUND(F25*G25,2)</f>
        <v>0</v>
      </c>
      <c r="K25" s="14">
        <v>0.00737</v>
      </c>
      <c r="L25" s="14">
        <f>F25*K25</f>
        <v>0.739948</v>
      </c>
      <c r="N25" s="26" t="s">
        <v>7</v>
      </c>
      <c r="O25" s="14">
        <f>IF(N25="5",I25,0)</f>
        <v>0</v>
      </c>
      <c r="Z25" s="14">
        <f>IF(AD25=0,J25,0)</f>
        <v>0</v>
      </c>
      <c r="AA25" s="14">
        <f>IF(AD25=15,J25,0)</f>
        <v>0</v>
      </c>
      <c r="AB25" s="14">
        <f>IF(AD25=21,J25,0)</f>
        <v>0</v>
      </c>
      <c r="AD25" s="28">
        <v>21</v>
      </c>
      <c r="AE25" s="28">
        <f>G25*0.402595442885167</f>
        <v>0</v>
      </c>
      <c r="AF25" s="28">
        <f>G25*(1-0.402595442885167)</f>
        <v>0</v>
      </c>
    </row>
    <row r="26" spans="1:32" ht="12.75">
      <c r="A26" s="4" t="s">
        <v>15</v>
      </c>
      <c r="B26" s="4"/>
      <c r="C26" s="4" t="s">
        <v>72</v>
      </c>
      <c r="D26" s="4" t="s">
        <v>149</v>
      </c>
      <c r="E26" s="4" t="s">
        <v>209</v>
      </c>
      <c r="F26" s="14">
        <v>100.4</v>
      </c>
      <c r="G26" s="14">
        <v>0</v>
      </c>
      <c r="H26" s="14">
        <f>ROUND(F26*AE26,2)</f>
        <v>0</v>
      </c>
      <c r="I26" s="14">
        <f>J26-H26</f>
        <v>0</v>
      </c>
      <c r="J26" s="14">
        <f>ROUND(F26*G26,2)</f>
        <v>0</v>
      </c>
      <c r="K26" s="14">
        <v>0.01312</v>
      </c>
      <c r="L26" s="14">
        <f>F26*K26</f>
        <v>1.317248</v>
      </c>
      <c r="N26" s="26" t="s">
        <v>7</v>
      </c>
      <c r="O26" s="14">
        <f>IF(N26="5",I26,0)</f>
        <v>0</v>
      </c>
      <c r="Z26" s="14">
        <f>IF(AD26=0,J26,0)</f>
        <v>0</v>
      </c>
      <c r="AA26" s="14">
        <f>IF(AD26=15,J26,0)</f>
        <v>0</v>
      </c>
      <c r="AB26" s="14">
        <f>IF(AD26=21,J26,0)</f>
        <v>0</v>
      </c>
      <c r="AD26" s="28">
        <v>21</v>
      </c>
      <c r="AE26" s="28">
        <f>G26*0.601805492338037</f>
        <v>0</v>
      </c>
      <c r="AF26" s="28">
        <f>G26*(1-0.601805492338037)</f>
        <v>0</v>
      </c>
    </row>
    <row r="27" spans="1:32" ht="12.75">
      <c r="A27" s="4" t="s">
        <v>16</v>
      </c>
      <c r="B27" s="4"/>
      <c r="C27" s="4" t="s">
        <v>73</v>
      </c>
      <c r="D27" s="4" t="s">
        <v>150</v>
      </c>
      <c r="E27" s="4" t="s">
        <v>209</v>
      </c>
      <c r="F27" s="14">
        <v>14.28</v>
      </c>
      <c r="G27" s="14">
        <v>0</v>
      </c>
      <c r="H27" s="14">
        <f>ROUND(F27*AE27,2)</f>
        <v>0</v>
      </c>
      <c r="I27" s="14">
        <f>J27-H27</f>
        <v>0</v>
      </c>
      <c r="J27" s="14">
        <f>ROUND(F27*G27,2)</f>
        <v>0</v>
      </c>
      <c r="K27" s="14">
        <v>0.0294</v>
      </c>
      <c r="L27" s="14">
        <f>F27*K27</f>
        <v>0.419832</v>
      </c>
      <c r="N27" s="26" t="s">
        <v>7</v>
      </c>
      <c r="O27" s="14">
        <f>IF(N27="5",I27,0)</f>
        <v>0</v>
      </c>
      <c r="Z27" s="14">
        <f>IF(AD27=0,J27,0)</f>
        <v>0</v>
      </c>
      <c r="AA27" s="14">
        <f>IF(AD27=15,J27,0)</f>
        <v>0</v>
      </c>
      <c r="AB27" s="14">
        <f>IF(AD27=21,J27,0)</f>
        <v>0</v>
      </c>
      <c r="AD27" s="28">
        <v>21</v>
      </c>
      <c r="AE27" s="28">
        <f>G27*0.792353593696209</f>
        <v>0</v>
      </c>
      <c r="AF27" s="28">
        <f>G27*(1-0.792353593696209)</f>
        <v>0</v>
      </c>
    </row>
    <row r="28" spans="1:32" ht="12.75">
      <c r="A28" s="4" t="s">
        <v>17</v>
      </c>
      <c r="B28" s="4"/>
      <c r="C28" s="4" t="s">
        <v>74</v>
      </c>
      <c r="D28" s="4" t="s">
        <v>151</v>
      </c>
      <c r="E28" s="4" t="s">
        <v>209</v>
      </c>
      <c r="F28" s="14">
        <v>14.28</v>
      </c>
      <c r="G28" s="14">
        <v>0</v>
      </c>
      <c r="H28" s="14">
        <f>ROUND(F28*AE28,2)</f>
        <v>0</v>
      </c>
      <c r="I28" s="14">
        <f>J28-H28</f>
        <v>0</v>
      </c>
      <c r="J28" s="14">
        <f>ROUND(F28*G28,2)</f>
        <v>0</v>
      </c>
      <c r="K28" s="14">
        <v>0.00063</v>
      </c>
      <c r="L28" s="14">
        <f>F28*K28</f>
        <v>0.0089964</v>
      </c>
      <c r="N28" s="26" t="s">
        <v>7</v>
      </c>
      <c r="O28" s="14">
        <f>IF(N28="5",I28,0)</f>
        <v>0</v>
      </c>
      <c r="Z28" s="14">
        <f>IF(AD28=0,J28,0)</f>
        <v>0</v>
      </c>
      <c r="AA28" s="14">
        <f>IF(AD28=15,J28,0)</f>
        <v>0</v>
      </c>
      <c r="AB28" s="14">
        <f>IF(AD28=21,J28,0)</f>
        <v>0</v>
      </c>
      <c r="AD28" s="28">
        <v>21</v>
      </c>
      <c r="AE28" s="28">
        <f>G28*0.0510648042134188</f>
        <v>0</v>
      </c>
      <c r="AF28" s="28">
        <f>G28*(1-0.0510648042134188)</f>
        <v>0</v>
      </c>
    </row>
    <row r="29" spans="1:37" ht="12.75">
      <c r="A29" s="5"/>
      <c r="B29" s="5"/>
      <c r="C29" s="12" t="s">
        <v>75</v>
      </c>
      <c r="D29" s="53" t="s">
        <v>229</v>
      </c>
      <c r="E29" s="54"/>
      <c r="F29" s="54"/>
      <c r="G29" s="54"/>
      <c r="H29" s="30">
        <f>SUM(H30:H31)</f>
        <v>0</v>
      </c>
      <c r="I29" s="30">
        <f>SUM(I30:I31)</f>
        <v>0</v>
      </c>
      <c r="J29" s="30">
        <f>H29+I29</f>
        <v>0</v>
      </c>
      <c r="K29" s="23"/>
      <c r="L29" s="30">
        <f>SUM(L30:L31)</f>
        <v>1.3150499999999998</v>
      </c>
      <c r="P29" s="30">
        <f>IF(Q29="PR",J29,SUM(O30:O31))</f>
        <v>0</v>
      </c>
      <c r="Q29" s="23" t="s">
        <v>234</v>
      </c>
      <c r="R29" s="30">
        <f>IF(Q29="HS",H29,0)</f>
        <v>0</v>
      </c>
      <c r="S29" s="30">
        <f>IF(Q29="HS",I29-P29,0)</f>
        <v>0</v>
      </c>
      <c r="T29" s="30">
        <f>IF(Q29="PS",H29,0)</f>
        <v>0</v>
      </c>
      <c r="U29" s="30">
        <f>IF(Q29="PS",I29-P29,0)</f>
        <v>0</v>
      </c>
      <c r="V29" s="30">
        <f>IF(Q29="MP",H29,0)</f>
        <v>0</v>
      </c>
      <c r="W29" s="30">
        <f>IF(Q29="MP",I29-P29,0)</f>
        <v>0</v>
      </c>
      <c r="X29" s="30">
        <f>IF(Q29="OM",H29,0)</f>
        <v>0</v>
      </c>
      <c r="Y29" s="23"/>
      <c r="AI29" s="30">
        <f>SUM(Z30:Z31)</f>
        <v>0</v>
      </c>
      <c r="AJ29" s="30">
        <f>SUM(AA30:AA31)</f>
        <v>0</v>
      </c>
      <c r="AK29" s="30">
        <f>SUM(AB30:AB31)</f>
        <v>0</v>
      </c>
    </row>
    <row r="30" spans="1:32" ht="12.75">
      <c r="A30" s="4" t="s">
        <v>18</v>
      </c>
      <c r="B30" s="4"/>
      <c r="C30" s="4" t="s">
        <v>76</v>
      </c>
      <c r="D30" s="4" t="s">
        <v>152</v>
      </c>
      <c r="E30" s="4" t="s">
        <v>209</v>
      </c>
      <c r="F30" s="14">
        <v>15</v>
      </c>
      <c r="G30" s="14">
        <v>0</v>
      </c>
      <c r="H30" s="14">
        <f>ROUND(F30*AE30,2)</f>
        <v>0</v>
      </c>
      <c r="I30" s="14">
        <f>J30-H30</f>
        <v>0</v>
      </c>
      <c r="J30" s="14">
        <f>ROUND(F30*G30,2)</f>
        <v>0</v>
      </c>
      <c r="K30" s="14">
        <v>0.03961</v>
      </c>
      <c r="L30" s="14">
        <f>F30*K30</f>
        <v>0.59415</v>
      </c>
      <c r="N30" s="26" t="s">
        <v>9</v>
      </c>
      <c r="O30" s="14">
        <f>IF(N30="5",I30,0)</f>
        <v>0</v>
      </c>
      <c r="Z30" s="14">
        <f>IF(AD30=0,J30,0)</f>
        <v>0</v>
      </c>
      <c r="AA30" s="14">
        <f>IF(AD30=15,J30,0)</f>
        <v>0</v>
      </c>
      <c r="AB30" s="14">
        <f>IF(AD30=21,J30,0)</f>
        <v>0</v>
      </c>
      <c r="AD30" s="28">
        <v>21</v>
      </c>
      <c r="AE30" s="28">
        <f>G30*0.227934507613729</f>
        <v>0</v>
      </c>
      <c r="AF30" s="28">
        <f>G30*(1-0.227934507613729)</f>
        <v>0</v>
      </c>
    </row>
    <row r="31" spans="1:32" ht="12.75">
      <c r="A31" s="4" t="s">
        <v>19</v>
      </c>
      <c r="B31" s="4"/>
      <c r="C31" s="4" t="s">
        <v>77</v>
      </c>
      <c r="D31" s="4" t="s">
        <v>153</v>
      </c>
      <c r="E31" s="4" t="s">
        <v>209</v>
      </c>
      <c r="F31" s="14">
        <v>15</v>
      </c>
      <c r="G31" s="14">
        <v>0</v>
      </c>
      <c r="H31" s="14">
        <f>ROUND(F31*AE31,2)</f>
        <v>0</v>
      </c>
      <c r="I31" s="14">
        <f>J31-H31</f>
        <v>0</v>
      </c>
      <c r="J31" s="14">
        <f>ROUND(F31*G31,2)</f>
        <v>0</v>
      </c>
      <c r="K31" s="14">
        <v>0.04806</v>
      </c>
      <c r="L31" s="14">
        <f>F31*K31</f>
        <v>0.7209</v>
      </c>
      <c r="N31" s="26" t="s">
        <v>9</v>
      </c>
      <c r="O31" s="14">
        <f>IF(N31="5",I31,0)</f>
        <v>0</v>
      </c>
      <c r="Z31" s="14">
        <f>IF(AD31=0,J31,0)</f>
        <v>0</v>
      </c>
      <c r="AA31" s="14">
        <f>IF(AD31=15,J31,0)</f>
        <v>0</v>
      </c>
      <c r="AB31" s="14">
        <f>IF(AD31=21,J31,0)</f>
        <v>0</v>
      </c>
      <c r="AD31" s="28">
        <v>21</v>
      </c>
      <c r="AE31" s="28">
        <f>G31*0.181357845508789</f>
        <v>0</v>
      </c>
      <c r="AF31" s="28">
        <f>G31*(1-0.181357845508789)</f>
        <v>0</v>
      </c>
    </row>
    <row r="32" spans="1:37" ht="12.75">
      <c r="A32" s="5"/>
      <c r="B32" s="5"/>
      <c r="C32" s="12" t="s">
        <v>78</v>
      </c>
      <c r="D32" s="53" t="s">
        <v>154</v>
      </c>
      <c r="E32" s="54"/>
      <c r="F32" s="54"/>
      <c r="G32" s="54"/>
      <c r="H32" s="30">
        <f>SUM(H33:H34)</f>
        <v>0</v>
      </c>
      <c r="I32" s="30">
        <f>SUM(I33:I34)</f>
        <v>0</v>
      </c>
      <c r="J32" s="30">
        <f>H32+I32</f>
        <v>0</v>
      </c>
      <c r="K32" s="23"/>
      <c r="L32" s="30">
        <f>SUM(L33:L34)</f>
        <v>0.8672236</v>
      </c>
      <c r="P32" s="30">
        <f>IF(Q32="PR",J32,SUM(O33:O34))</f>
        <v>0</v>
      </c>
      <c r="Q32" s="23" t="s">
        <v>234</v>
      </c>
      <c r="R32" s="30">
        <f>IF(Q32="HS",H32,0)</f>
        <v>0</v>
      </c>
      <c r="S32" s="30">
        <f>IF(Q32="HS",I32-P32,0)</f>
        <v>0</v>
      </c>
      <c r="T32" s="30">
        <f>IF(Q32="PS",H32,0)</f>
        <v>0</v>
      </c>
      <c r="U32" s="30">
        <f>IF(Q32="PS",I32-P32,0)</f>
        <v>0</v>
      </c>
      <c r="V32" s="30">
        <f>IF(Q32="MP",H32,0)</f>
        <v>0</v>
      </c>
      <c r="W32" s="30">
        <f>IF(Q32="MP",I32-P32,0)</f>
        <v>0</v>
      </c>
      <c r="X32" s="30">
        <f>IF(Q32="OM",H32,0)</f>
        <v>0</v>
      </c>
      <c r="Y32" s="23"/>
      <c r="AI32" s="30">
        <f>SUM(Z33:Z34)</f>
        <v>0</v>
      </c>
      <c r="AJ32" s="30">
        <f>SUM(AA33:AA34)</f>
        <v>0</v>
      </c>
      <c r="AK32" s="30">
        <f>SUM(AB33:AB34)</f>
        <v>0</v>
      </c>
    </row>
    <row r="33" spans="1:32" ht="12.75">
      <c r="A33" s="4" t="s">
        <v>20</v>
      </c>
      <c r="B33" s="4"/>
      <c r="C33" s="4" t="s">
        <v>79</v>
      </c>
      <c r="D33" s="4" t="s">
        <v>155</v>
      </c>
      <c r="E33" s="4" t="s">
        <v>209</v>
      </c>
      <c r="F33" s="14">
        <v>200.42</v>
      </c>
      <c r="G33" s="14">
        <v>0</v>
      </c>
      <c r="H33" s="14">
        <f>ROUND(F33*AE33,2)</f>
        <v>0</v>
      </c>
      <c r="I33" s="14">
        <f>J33-H33</f>
        <v>0</v>
      </c>
      <c r="J33" s="14">
        <f>ROUND(F33*G33,2)</f>
        <v>0</v>
      </c>
      <c r="K33" s="14">
        <v>0.00158</v>
      </c>
      <c r="L33" s="14">
        <f>F33*K33</f>
        <v>0.3166636</v>
      </c>
      <c r="N33" s="26" t="s">
        <v>7</v>
      </c>
      <c r="O33" s="14">
        <f>IF(N33="5",I33,0)</f>
        <v>0</v>
      </c>
      <c r="Z33" s="14">
        <f>IF(AD33=0,J33,0)</f>
        <v>0</v>
      </c>
      <c r="AA33" s="14">
        <f>IF(AD33=15,J33,0)</f>
        <v>0</v>
      </c>
      <c r="AB33" s="14">
        <f>IF(AD33=21,J33,0)</f>
        <v>0</v>
      </c>
      <c r="AD33" s="28">
        <v>21</v>
      </c>
      <c r="AE33" s="28">
        <f>G33*0.465185775475645</f>
        <v>0</v>
      </c>
      <c r="AF33" s="28">
        <f>G33*(1-0.465185775475645)</f>
        <v>0</v>
      </c>
    </row>
    <row r="34" spans="1:32" ht="12.75">
      <c r="A34" s="4" t="s">
        <v>21</v>
      </c>
      <c r="B34" s="4"/>
      <c r="C34" s="4" t="s">
        <v>80</v>
      </c>
      <c r="D34" s="4" t="s">
        <v>156</v>
      </c>
      <c r="E34" s="4" t="s">
        <v>209</v>
      </c>
      <c r="F34" s="14">
        <v>93</v>
      </c>
      <c r="G34" s="14">
        <v>0</v>
      </c>
      <c r="H34" s="14">
        <f>ROUND(F34*AE34,2)</f>
        <v>0</v>
      </c>
      <c r="I34" s="14">
        <f>J34-H34</f>
        <v>0</v>
      </c>
      <c r="J34" s="14">
        <f>ROUND(F34*G34,2)</f>
        <v>0</v>
      </c>
      <c r="K34" s="14">
        <v>0.00592</v>
      </c>
      <c r="L34" s="14">
        <f>F34*K34</f>
        <v>0.5505599999999999</v>
      </c>
      <c r="N34" s="26" t="s">
        <v>7</v>
      </c>
      <c r="O34" s="14">
        <f>IF(N34="5",I34,0)</f>
        <v>0</v>
      </c>
      <c r="Z34" s="14">
        <f>IF(AD34=0,J34,0)</f>
        <v>0</v>
      </c>
      <c r="AA34" s="14">
        <f>IF(AD34=15,J34,0)</f>
        <v>0</v>
      </c>
      <c r="AB34" s="14">
        <f>IF(AD34=21,J34,0)</f>
        <v>0</v>
      </c>
      <c r="AD34" s="28">
        <v>21</v>
      </c>
      <c r="AE34" s="28">
        <f>G34*0.517420311341735</f>
        <v>0</v>
      </c>
      <c r="AF34" s="28">
        <f>G34*(1-0.517420311341735)</f>
        <v>0</v>
      </c>
    </row>
    <row r="35" spans="1:37" ht="12.75">
      <c r="A35" s="5"/>
      <c r="B35" s="5"/>
      <c r="C35" s="12" t="s">
        <v>81</v>
      </c>
      <c r="D35" s="53" t="s">
        <v>157</v>
      </c>
      <c r="E35" s="54"/>
      <c r="F35" s="54"/>
      <c r="G35" s="54"/>
      <c r="H35" s="30">
        <f>SUM(H36:H38)</f>
        <v>0</v>
      </c>
      <c r="I35" s="30">
        <f>SUM(I36:I38)</f>
        <v>0</v>
      </c>
      <c r="J35" s="30">
        <f>H35+I35</f>
        <v>0</v>
      </c>
      <c r="K35" s="23"/>
      <c r="L35" s="30">
        <f>SUM(L36:L38)</f>
        <v>3.1235000000000004</v>
      </c>
      <c r="P35" s="30">
        <f>IF(Q35="PR",J35,SUM(O36:O38))</f>
        <v>0</v>
      </c>
      <c r="Q35" s="23" t="s">
        <v>234</v>
      </c>
      <c r="R35" s="30">
        <f>IF(Q35="HS",H35,0)</f>
        <v>0</v>
      </c>
      <c r="S35" s="30">
        <f>IF(Q35="HS",I35-P35,0)</f>
        <v>0</v>
      </c>
      <c r="T35" s="30">
        <f>IF(Q35="PS",H35,0)</f>
        <v>0</v>
      </c>
      <c r="U35" s="30">
        <f>IF(Q35="PS",I35-P35,0)</f>
        <v>0</v>
      </c>
      <c r="V35" s="30">
        <f>IF(Q35="MP",H35,0)</f>
        <v>0</v>
      </c>
      <c r="W35" s="30">
        <f>IF(Q35="MP",I35-P35,0)</f>
        <v>0</v>
      </c>
      <c r="X35" s="30">
        <f>IF(Q35="OM",H35,0)</f>
        <v>0</v>
      </c>
      <c r="Y35" s="23"/>
      <c r="AI35" s="30">
        <f>SUM(Z36:Z38)</f>
        <v>0</v>
      </c>
      <c r="AJ35" s="30">
        <f>SUM(AA36:AA38)</f>
        <v>0</v>
      </c>
      <c r="AK35" s="30">
        <f>SUM(AB36:AB38)</f>
        <v>0</v>
      </c>
    </row>
    <row r="36" spans="1:32" ht="12.75">
      <c r="A36" s="4" t="s">
        <v>22</v>
      </c>
      <c r="B36" s="4"/>
      <c r="C36" s="4" t="s">
        <v>82</v>
      </c>
      <c r="D36" s="4" t="s">
        <v>158</v>
      </c>
      <c r="E36" s="4" t="s">
        <v>209</v>
      </c>
      <c r="F36" s="14">
        <v>22.5</v>
      </c>
      <c r="G36" s="14">
        <v>0</v>
      </c>
      <c r="H36" s="14">
        <f>ROUND(F36*AE36,2)</f>
        <v>0</v>
      </c>
      <c r="I36" s="14">
        <f>J36-H36</f>
        <v>0</v>
      </c>
      <c r="J36" s="14">
        <f>ROUND(F36*G36,2)</f>
        <v>0</v>
      </c>
      <c r="K36" s="14">
        <v>0.131</v>
      </c>
      <c r="L36" s="14">
        <f>F36*K36</f>
        <v>2.9475000000000002</v>
      </c>
      <c r="N36" s="26" t="s">
        <v>7</v>
      </c>
      <c r="O36" s="14">
        <f>IF(N36="5",I36,0)</f>
        <v>0</v>
      </c>
      <c r="Z36" s="14">
        <f>IF(AD36=0,J36,0)</f>
        <v>0</v>
      </c>
      <c r="AA36" s="14">
        <f>IF(AD36=15,J36,0)</f>
        <v>0</v>
      </c>
      <c r="AB36" s="14">
        <f>IF(AD36=21,J36,0)</f>
        <v>0</v>
      </c>
      <c r="AD36" s="28">
        <v>21</v>
      </c>
      <c r="AE36" s="28">
        <f>G36*0.184335732585092</f>
        <v>0</v>
      </c>
      <c r="AF36" s="28">
        <f>G36*(1-0.184335732585092)</f>
        <v>0</v>
      </c>
    </row>
    <row r="37" spans="1:32" ht="12.75">
      <c r="A37" s="4" t="s">
        <v>23</v>
      </c>
      <c r="B37" s="4"/>
      <c r="C37" s="4" t="s">
        <v>83</v>
      </c>
      <c r="D37" s="4" t="s">
        <v>159</v>
      </c>
      <c r="E37" s="4" t="s">
        <v>211</v>
      </c>
      <c r="F37" s="14">
        <v>1</v>
      </c>
      <c r="G37" s="14">
        <v>0</v>
      </c>
      <c r="H37" s="14">
        <f>ROUND(F37*AE37,2)</f>
        <v>0</v>
      </c>
      <c r="I37" s="14">
        <f>J37-H37</f>
        <v>0</v>
      </c>
      <c r="J37" s="14">
        <f>ROUND(F37*G37,2)</f>
        <v>0</v>
      </c>
      <c r="K37" s="14">
        <v>0</v>
      </c>
      <c r="L37" s="14">
        <f>F37*K37</f>
        <v>0</v>
      </c>
      <c r="N37" s="26" t="s">
        <v>7</v>
      </c>
      <c r="O37" s="14">
        <f>IF(N37="5",I37,0)</f>
        <v>0</v>
      </c>
      <c r="Z37" s="14">
        <f>IF(AD37=0,J37,0)</f>
        <v>0</v>
      </c>
      <c r="AA37" s="14">
        <f>IF(AD37=15,J37,0)</f>
        <v>0</v>
      </c>
      <c r="AB37" s="14">
        <f>IF(AD37=21,J37,0)</f>
        <v>0</v>
      </c>
      <c r="AD37" s="28">
        <v>21</v>
      </c>
      <c r="AE37" s="28">
        <f>G37*0</f>
        <v>0</v>
      </c>
      <c r="AF37" s="28">
        <f>G37*(1-0)</f>
        <v>0</v>
      </c>
    </row>
    <row r="38" spans="1:32" ht="12.75">
      <c r="A38" s="4" t="s">
        <v>24</v>
      </c>
      <c r="B38" s="4"/>
      <c r="C38" s="4" t="s">
        <v>84</v>
      </c>
      <c r="D38" s="4" t="s">
        <v>160</v>
      </c>
      <c r="E38" s="4" t="s">
        <v>209</v>
      </c>
      <c r="F38" s="14">
        <v>2</v>
      </c>
      <c r="G38" s="14">
        <v>0</v>
      </c>
      <c r="H38" s="14">
        <f>ROUND(F38*AE38,2)</f>
        <v>0</v>
      </c>
      <c r="I38" s="14">
        <f>J38-H38</f>
        <v>0</v>
      </c>
      <c r="J38" s="14">
        <f>ROUND(F38*G38,2)</f>
        <v>0</v>
      </c>
      <c r="K38" s="14">
        <v>0.088</v>
      </c>
      <c r="L38" s="14">
        <f>F38*K38</f>
        <v>0.176</v>
      </c>
      <c r="N38" s="26" t="s">
        <v>7</v>
      </c>
      <c r="O38" s="14">
        <f>IF(N38="5",I38,0)</f>
        <v>0</v>
      </c>
      <c r="Z38" s="14">
        <f>IF(AD38=0,J38,0)</f>
        <v>0</v>
      </c>
      <c r="AA38" s="14">
        <f>IF(AD38=15,J38,0)</f>
        <v>0</v>
      </c>
      <c r="AB38" s="14">
        <f>IF(AD38=21,J38,0)</f>
        <v>0</v>
      </c>
      <c r="AD38" s="28">
        <v>21</v>
      </c>
      <c r="AE38" s="28">
        <f>G38*0.163124923228105</f>
        <v>0</v>
      </c>
      <c r="AF38" s="28">
        <f>G38*(1-0.163124923228105)</f>
        <v>0</v>
      </c>
    </row>
    <row r="39" spans="1:37" ht="12.75">
      <c r="A39" s="5"/>
      <c r="B39" s="5"/>
      <c r="C39" s="12" t="s">
        <v>85</v>
      </c>
      <c r="D39" s="53" t="s">
        <v>161</v>
      </c>
      <c r="E39" s="54"/>
      <c r="F39" s="54"/>
      <c r="G39" s="54"/>
      <c r="H39" s="30">
        <f>SUM(H40:H42)</f>
        <v>0</v>
      </c>
      <c r="I39" s="30">
        <f>SUM(I40:I42)</f>
        <v>0</v>
      </c>
      <c r="J39" s="30">
        <f>H39+I39</f>
        <v>0</v>
      </c>
      <c r="K39" s="23"/>
      <c r="L39" s="30">
        <f>SUM(L40:L42)</f>
        <v>13.269400000000001</v>
      </c>
      <c r="P39" s="30">
        <f>IF(Q39="PR",J39,SUM(O40:O42))</f>
        <v>0</v>
      </c>
      <c r="Q39" s="23" t="s">
        <v>234</v>
      </c>
      <c r="R39" s="30">
        <f>IF(Q39="HS",H39,0)</f>
        <v>0</v>
      </c>
      <c r="S39" s="30">
        <f>IF(Q39="HS",I39-P39,0)</f>
        <v>0</v>
      </c>
      <c r="T39" s="30">
        <f>IF(Q39="PS",H39,0)</f>
        <v>0</v>
      </c>
      <c r="U39" s="30">
        <f>IF(Q39="PS",I39-P39,0)</f>
        <v>0</v>
      </c>
      <c r="V39" s="30">
        <f>IF(Q39="MP",H39,0)</f>
        <v>0</v>
      </c>
      <c r="W39" s="30">
        <f>IF(Q39="MP",I39-P39,0)</f>
        <v>0</v>
      </c>
      <c r="X39" s="30">
        <f>IF(Q39="OM",H39,0)</f>
        <v>0</v>
      </c>
      <c r="Y39" s="23"/>
      <c r="AI39" s="30">
        <f>SUM(Z40:Z42)</f>
        <v>0</v>
      </c>
      <c r="AJ39" s="30">
        <f>SUM(AA40:AA42)</f>
        <v>0</v>
      </c>
      <c r="AK39" s="30">
        <f>SUM(AB40:AB42)</f>
        <v>0</v>
      </c>
    </row>
    <row r="40" spans="1:32" ht="12.75">
      <c r="A40" s="4" t="s">
        <v>25</v>
      </c>
      <c r="B40" s="4"/>
      <c r="C40" s="4" t="s">
        <v>86</v>
      </c>
      <c r="D40" s="4" t="s">
        <v>162</v>
      </c>
      <c r="E40" s="4" t="s">
        <v>209</v>
      </c>
      <c r="F40" s="14">
        <v>100.4</v>
      </c>
      <c r="G40" s="14">
        <v>0</v>
      </c>
      <c r="H40" s="14">
        <f>ROUND(F40*AE40,2)</f>
        <v>0</v>
      </c>
      <c r="I40" s="14">
        <f>J40-H40</f>
        <v>0</v>
      </c>
      <c r="J40" s="14">
        <f>ROUND(F40*G40,2)</f>
        <v>0</v>
      </c>
      <c r="K40" s="14">
        <v>0.046</v>
      </c>
      <c r="L40" s="14">
        <f>F40*K40</f>
        <v>4.6184</v>
      </c>
      <c r="N40" s="26" t="s">
        <v>7</v>
      </c>
      <c r="O40" s="14">
        <f>IF(N40="5",I40,0)</f>
        <v>0</v>
      </c>
      <c r="Z40" s="14">
        <f>IF(AD40=0,J40,0)</f>
        <v>0</v>
      </c>
      <c r="AA40" s="14">
        <f>IF(AD40=15,J40,0)</f>
        <v>0</v>
      </c>
      <c r="AB40" s="14">
        <f>IF(AD40=21,J40,0)</f>
        <v>0</v>
      </c>
      <c r="AD40" s="28">
        <v>21</v>
      </c>
      <c r="AE40" s="28">
        <f>G40*0</f>
        <v>0</v>
      </c>
      <c r="AF40" s="28">
        <f>G40*(1-0)</f>
        <v>0</v>
      </c>
    </row>
    <row r="41" spans="1:32" ht="12.75">
      <c r="A41" s="4" t="s">
        <v>26</v>
      </c>
      <c r="B41" s="4"/>
      <c r="C41" s="4" t="s">
        <v>87</v>
      </c>
      <c r="D41" s="4" t="s">
        <v>163</v>
      </c>
      <c r="E41" s="4" t="s">
        <v>209</v>
      </c>
      <c r="F41" s="14">
        <v>100.4</v>
      </c>
      <c r="G41" s="14">
        <v>0</v>
      </c>
      <c r="H41" s="14">
        <f>ROUND(F41*AE41,2)</f>
        <v>0</v>
      </c>
      <c r="I41" s="14">
        <f>J41-H41</f>
        <v>0</v>
      </c>
      <c r="J41" s="14">
        <f>ROUND(F41*G41,2)</f>
        <v>0</v>
      </c>
      <c r="K41" s="14">
        <v>0.014</v>
      </c>
      <c r="L41" s="14">
        <f>F41*K41</f>
        <v>1.4056000000000002</v>
      </c>
      <c r="N41" s="26" t="s">
        <v>7</v>
      </c>
      <c r="O41" s="14">
        <f>IF(N41="5",I41,0)</f>
        <v>0</v>
      </c>
      <c r="Z41" s="14">
        <f>IF(AD41=0,J41,0)</f>
        <v>0</v>
      </c>
      <c r="AA41" s="14">
        <f>IF(AD41=15,J41,0)</f>
        <v>0</v>
      </c>
      <c r="AB41" s="14">
        <f>IF(AD41=21,J41,0)</f>
        <v>0</v>
      </c>
      <c r="AD41" s="28">
        <v>21</v>
      </c>
      <c r="AE41" s="28">
        <f>G41*0</f>
        <v>0</v>
      </c>
      <c r="AF41" s="28">
        <f>G41*(1-0)</f>
        <v>0</v>
      </c>
    </row>
    <row r="42" spans="1:32" ht="12.75">
      <c r="A42" s="4" t="s">
        <v>27</v>
      </c>
      <c r="B42" s="4"/>
      <c r="C42" s="4" t="s">
        <v>88</v>
      </c>
      <c r="D42" s="4" t="s">
        <v>164</v>
      </c>
      <c r="E42" s="4" t="s">
        <v>209</v>
      </c>
      <c r="F42" s="14">
        <v>106.55</v>
      </c>
      <c r="G42" s="14">
        <v>0</v>
      </c>
      <c r="H42" s="14">
        <f>ROUND(F42*AE42,2)</f>
        <v>0</v>
      </c>
      <c r="I42" s="14">
        <f>J42-H42</f>
        <v>0</v>
      </c>
      <c r="J42" s="14">
        <f>ROUND(F42*G42,2)</f>
        <v>0</v>
      </c>
      <c r="K42" s="14">
        <v>0.068</v>
      </c>
      <c r="L42" s="14">
        <f>F42*K42</f>
        <v>7.2454</v>
      </c>
      <c r="N42" s="26" t="s">
        <v>7</v>
      </c>
      <c r="O42" s="14">
        <f>IF(N42="5",I42,0)</f>
        <v>0</v>
      </c>
      <c r="Z42" s="14">
        <f>IF(AD42=0,J42,0)</f>
        <v>0</v>
      </c>
      <c r="AA42" s="14">
        <f>IF(AD42=15,J42,0)</f>
        <v>0</v>
      </c>
      <c r="AB42" s="14">
        <f>IF(AD42=21,J42,0)</f>
        <v>0</v>
      </c>
      <c r="AD42" s="28">
        <v>21</v>
      </c>
      <c r="AE42" s="28">
        <f>G42*0</f>
        <v>0</v>
      </c>
      <c r="AF42" s="28">
        <f>G42*(1-0)</f>
        <v>0</v>
      </c>
    </row>
    <row r="43" spans="1:37" ht="12.75">
      <c r="A43" s="5"/>
      <c r="B43" s="5"/>
      <c r="C43" s="12" t="s">
        <v>89</v>
      </c>
      <c r="D43" s="53" t="s">
        <v>165</v>
      </c>
      <c r="E43" s="54"/>
      <c r="F43" s="54"/>
      <c r="G43" s="54"/>
      <c r="H43" s="30">
        <f>SUM(H44:H44)</f>
        <v>0</v>
      </c>
      <c r="I43" s="30">
        <f>SUM(I44:I44)</f>
        <v>0</v>
      </c>
      <c r="J43" s="30">
        <f>H43+I43</f>
        <v>0</v>
      </c>
      <c r="K43" s="23"/>
      <c r="L43" s="30">
        <f>SUM(L44:L44)</f>
        <v>0</v>
      </c>
      <c r="P43" s="30">
        <f>IF(Q43="PR",J43,SUM(O44:O44))</f>
        <v>0</v>
      </c>
      <c r="Q43" s="23" t="s">
        <v>235</v>
      </c>
      <c r="R43" s="30">
        <f>IF(Q43="HS",H43,0)</f>
        <v>0</v>
      </c>
      <c r="S43" s="30">
        <f>IF(Q43="HS",I43-P43,0)</f>
        <v>0</v>
      </c>
      <c r="T43" s="30">
        <f>IF(Q43="PS",H43,0)</f>
        <v>0</v>
      </c>
      <c r="U43" s="30">
        <f>IF(Q43="PS",I43-P43,0)</f>
        <v>0</v>
      </c>
      <c r="V43" s="30">
        <f>IF(Q43="MP",H43,0)</f>
        <v>0</v>
      </c>
      <c r="W43" s="30">
        <f>IF(Q43="MP",I43-P43,0)</f>
        <v>0</v>
      </c>
      <c r="X43" s="30">
        <f>IF(Q43="OM",H43,0)</f>
        <v>0</v>
      </c>
      <c r="Y43" s="23"/>
      <c r="AI43" s="30">
        <f>SUM(Z44:Z44)</f>
        <v>0</v>
      </c>
      <c r="AJ43" s="30">
        <f>SUM(AA44:AA44)</f>
        <v>0</v>
      </c>
      <c r="AK43" s="30">
        <f>SUM(AB44:AB44)</f>
        <v>0</v>
      </c>
    </row>
    <row r="44" spans="1:32" ht="12.75">
      <c r="A44" s="4" t="s">
        <v>28</v>
      </c>
      <c r="B44" s="4"/>
      <c r="C44" s="4" t="s">
        <v>90</v>
      </c>
      <c r="D44" s="4" t="s">
        <v>166</v>
      </c>
      <c r="E44" s="4" t="s">
        <v>211</v>
      </c>
      <c r="F44" s="14">
        <v>4</v>
      </c>
      <c r="G44" s="14">
        <v>0</v>
      </c>
      <c r="H44" s="14">
        <f>ROUND(F44*AE44,2)</f>
        <v>0</v>
      </c>
      <c r="I44" s="14">
        <f>J44-H44</f>
        <v>0</v>
      </c>
      <c r="J44" s="14">
        <f>ROUND(F44*G44,2)</f>
        <v>0</v>
      </c>
      <c r="K44" s="14">
        <v>0</v>
      </c>
      <c r="L44" s="14">
        <f>F44*K44</f>
        <v>0</v>
      </c>
      <c r="N44" s="26" t="s">
        <v>7</v>
      </c>
      <c r="O44" s="14">
        <f>IF(N44="5",I44,0)</f>
        <v>0</v>
      </c>
      <c r="Z44" s="14">
        <f>IF(AD44=0,J44,0)</f>
        <v>0</v>
      </c>
      <c r="AA44" s="14">
        <f>IF(AD44=15,J44,0)</f>
        <v>0</v>
      </c>
      <c r="AB44" s="14">
        <f>IF(AD44=21,J44,0)</f>
        <v>0</v>
      </c>
      <c r="AD44" s="28">
        <v>21</v>
      </c>
      <c r="AE44" s="28">
        <f>G44*0.0346441947565543</f>
        <v>0</v>
      </c>
      <c r="AF44" s="28">
        <f>G44*(1-0.0346441947565543)</f>
        <v>0</v>
      </c>
    </row>
    <row r="45" spans="1:37" ht="12.75">
      <c r="A45" s="5"/>
      <c r="B45" s="5"/>
      <c r="C45" s="12" t="s">
        <v>91</v>
      </c>
      <c r="D45" s="53" t="s">
        <v>167</v>
      </c>
      <c r="E45" s="54"/>
      <c r="F45" s="54"/>
      <c r="G45" s="54"/>
      <c r="H45" s="30">
        <f>SUM(H46:H48)</f>
        <v>0</v>
      </c>
      <c r="I45" s="30">
        <f>SUM(I46:I48)</f>
        <v>0</v>
      </c>
      <c r="J45" s="30">
        <f>H45+I45</f>
        <v>0</v>
      </c>
      <c r="K45" s="23"/>
      <c r="L45" s="30">
        <f>SUM(L46:L48)</f>
        <v>0.05202</v>
      </c>
      <c r="P45" s="30">
        <f>IF(Q45="PR",J45,SUM(O46:O48))</f>
        <v>0</v>
      </c>
      <c r="Q45" s="23" t="s">
        <v>235</v>
      </c>
      <c r="R45" s="30">
        <f>IF(Q45="HS",H45,0)</f>
        <v>0</v>
      </c>
      <c r="S45" s="30">
        <f>IF(Q45="HS",I45-P45,0)</f>
        <v>0</v>
      </c>
      <c r="T45" s="30">
        <f>IF(Q45="PS",H45,0)</f>
        <v>0</v>
      </c>
      <c r="U45" s="30">
        <f>IF(Q45="PS",I45-P45,0)</f>
        <v>0</v>
      </c>
      <c r="V45" s="30">
        <f>IF(Q45="MP",H45,0)</f>
        <v>0</v>
      </c>
      <c r="W45" s="30">
        <f>IF(Q45="MP",I45-P45,0)</f>
        <v>0</v>
      </c>
      <c r="X45" s="30">
        <f>IF(Q45="OM",H45,0)</f>
        <v>0</v>
      </c>
      <c r="Y45" s="23"/>
      <c r="AI45" s="30">
        <f>SUM(Z46:Z48)</f>
        <v>0</v>
      </c>
      <c r="AJ45" s="30">
        <f>SUM(AA46:AA48)</f>
        <v>0</v>
      </c>
      <c r="AK45" s="30">
        <f>SUM(AB46:AB48)</f>
        <v>0</v>
      </c>
    </row>
    <row r="46" spans="1:32" ht="12.75">
      <c r="A46" s="4" t="s">
        <v>29</v>
      </c>
      <c r="B46" s="4"/>
      <c r="C46" s="4" t="s">
        <v>92</v>
      </c>
      <c r="D46" s="4" t="s">
        <v>168</v>
      </c>
      <c r="E46" s="4" t="s">
        <v>209</v>
      </c>
      <c r="F46" s="14">
        <v>51</v>
      </c>
      <c r="G46" s="14">
        <v>0</v>
      </c>
      <c r="H46" s="14">
        <f>ROUND(F46*AE46,2)</f>
        <v>0</v>
      </c>
      <c r="I46" s="14">
        <f>J46-H46</f>
        <v>0</v>
      </c>
      <c r="J46" s="14">
        <f>ROUND(F46*G46,2)</f>
        <v>0</v>
      </c>
      <c r="K46" s="14">
        <v>1E-05</v>
      </c>
      <c r="L46" s="14">
        <f>F46*K46</f>
        <v>0.00051</v>
      </c>
      <c r="N46" s="26" t="s">
        <v>7</v>
      </c>
      <c r="O46" s="14">
        <f>IF(N46="5",I46,0)</f>
        <v>0</v>
      </c>
      <c r="Z46" s="14">
        <f>IF(AD46=0,J46,0)</f>
        <v>0</v>
      </c>
      <c r="AA46" s="14">
        <f>IF(AD46=15,J46,0)</f>
        <v>0</v>
      </c>
      <c r="AB46" s="14">
        <f>IF(AD46=21,J46,0)</f>
        <v>0</v>
      </c>
      <c r="AD46" s="28">
        <v>21</v>
      </c>
      <c r="AE46" s="28">
        <f>G46*0.0831626120358515</f>
        <v>0</v>
      </c>
      <c r="AF46" s="28">
        <f>G46*(1-0.0831626120358515)</f>
        <v>0</v>
      </c>
    </row>
    <row r="47" spans="1:32" ht="12.75">
      <c r="A47" s="4" t="s">
        <v>30</v>
      </c>
      <c r="B47" s="4"/>
      <c r="C47" s="4" t="s">
        <v>93</v>
      </c>
      <c r="D47" s="4" t="s">
        <v>169</v>
      </c>
      <c r="E47" s="4" t="s">
        <v>209</v>
      </c>
      <c r="F47" s="14">
        <v>51</v>
      </c>
      <c r="G47" s="14">
        <v>0</v>
      </c>
      <c r="H47" s="14">
        <f>ROUND(F47*AE47,2)</f>
        <v>0</v>
      </c>
      <c r="I47" s="14">
        <f>J47-H47</f>
        <v>0</v>
      </c>
      <c r="J47" s="14">
        <f>ROUND(F47*G47,2)</f>
        <v>0</v>
      </c>
      <c r="K47" s="14">
        <v>0.00058</v>
      </c>
      <c r="L47" s="14">
        <f>F47*K47</f>
        <v>0.02958</v>
      </c>
      <c r="N47" s="26" t="s">
        <v>7</v>
      </c>
      <c r="O47" s="14">
        <f>IF(N47="5",I47,0)</f>
        <v>0</v>
      </c>
      <c r="Z47" s="14">
        <f>IF(AD47=0,J47,0)</f>
        <v>0</v>
      </c>
      <c r="AA47" s="14">
        <f>IF(AD47=15,J47,0)</f>
        <v>0</v>
      </c>
      <c r="AB47" s="14">
        <f>IF(AD47=21,J47,0)</f>
        <v>0</v>
      </c>
      <c r="AD47" s="28">
        <v>21</v>
      </c>
      <c r="AE47" s="28">
        <f>G47*0.742754986827249</f>
        <v>0</v>
      </c>
      <c r="AF47" s="28">
        <f>G47*(1-0.742754986827249)</f>
        <v>0</v>
      </c>
    </row>
    <row r="48" spans="1:32" ht="12.75">
      <c r="A48" s="4" t="s">
        <v>31</v>
      </c>
      <c r="B48" s="4"/>
      <c r="C48" s="4" t="s">
        <v>94</v>
      </c>
      <c r="D48" s="4" t="s">
        <v>170</v>
      </c>
      <c r="E48" s="4" t="s">
        <v>209</v>
      </c>
      <c r="F48" s="14">
        <v>51</v>
      </c>
      <c r="G48" s="14">
        <v>0</v>
      </c>
      <c r="H48" s="14">
        <f>ROUND(F48*AE48,2)</f>
        <v>0</v>
      </c>
      <c r="I48" s="14">
        <f>J48-H48</f>
        <v>0</v>
      </c>
      <c r="J48" s="14">
        <f>ROUND(F48*G48,2)</f>
        <v>0</v>
      </c>
      <c r="K48" s="14">
        <v>0.00043</v>
      </c>
      <c r="L48" s="14">
        <f>F48*K48</f>
        <v>0.021929999999999998</v>
      </c>
      <c r="N48" s="26" t="s">
        <v>7</v>
      </c>
      <c r="O48" s="14">
        <f>IF(N48="5",I48,0)</f>
        <v>0</v>
      </c>
      <c r="Z48" s="14">
        <f>IF(AD48=0,J48,0)</f>
        <v>0</v>
      </c>
      <c r="AA48" s="14">
        <f>IF(AD48=15,J48,0)</f>
        <v>0</v>
      </c>
      <c r="AB48" s="14">
        <f>IF(AD48=21,J48,0)</f>
        <v>0</v>
      </c>
      <c r="AD48" s="28">
        <v>21</v>
      </c>
      <c r="AE48" s="28">
        <f>G48*0.475506596805757</f>
        <v>0</v>
      </c>
      <c r="AF48" s="28">
        <f>G48*(1-0.475506596805757)</f>
        <v>0</v>
      </c>
    </row>
    <row r="49" spans="1:37" ht="12.75">
      <c r="A49" s="5"/>
      <c r="B49" s="5"/>
      <c r="C49" s="12" t="s">
        <v>95</v>
      </c>
      <c r="D49" s="53" t="s">
        <v>171</v>
      </c>
      <c r="E49" s="54"/>
      <c r="F49" s="54"/>
      <c r="G49" s="54"/>
      <c r="H49" s="30">
        <f>SUM(H50:H55)</f>
        <v>0</v>
      </c>
      <c r="I49" s="30">
        <f>SUM(I50:I55)</f>
        <v>0</v>
      </c>
      <c r="J49" s="30">
        <f>H49+I49</f>
        <v>0</v>
      </c>
      <c r="K49" s="23"/>
      <c r="L49" s="30">
        <f>SUM(L50:L55)</f>
        <v>0.1941616</v>
      </c>
      <c r="P49" s="30">
        <f>IF(Q49="PR",J49,SUM(O50:O55))</f>
        <v>0</v>
      </c>
      <c r="Q49" s="23" t="s">
        <v>235</v>
      </c>
      <c r="R49" s="30">
        <f>IF(Q49="HS",H49,0)</f>
        <v>0</v>
      </c>
      <c r="S49" s="30">
        <f>IF(Q49="HS",I49-P49,0)</f>
        <v>0</v>
      </c>
      <c r="T49" s="30">
        <f>IF(Q49="PS",H49,0)</f>
        <v>0</v>
      </c>
      <c r="U49" s="30">
        <f>IF(Q49="PS",I49-P49,0)</f>
        <v>0</v>
      </c>
      <c r="V49" s="30">
        <f>IF(Q49="MP",H49,0)</f>
        <v>0</v>
      </c>
      <c r="W49" s="30">
        <f>IF(Q49="MP",I49-P49,0)</f>
        <v>0</v>
      </c>
      <c r="X49" s="30">
        <f>IF(Q49="OM",H49,0)</f>
        <v>0</v>
      </c>
      <c r="Y49" s="23"/>
      <c r="AI49" s="30">
        <f>SUM(Z50:Z55)</f>
        <v>0</v>
      </c>
      <c r="AJ49" s="30">
        <f>SUM(AA50:AA55)</f>
        <v>0</v>
      </c>
      <c r="AK49" s="30">
        <f>SUM(AB50:AB55)</f>
        <v>0</v>
      </c>
    </row>
    <row r="50" spans="1:32" ht="12.75">
      <c r="A50" s="4" t="s">
        <v>32</v>
      </c>
      <c r="B50" s="4"/>
      <c r="C50" s="4" t="s">
        <v>96</v>
      </c>
      <c r="D50" s="4" t="s">
        <v>172</v>
      </c>
      <c r="E50" s="4" t="s">
        <v>209</v>
      </c>
      <c r="F50" s="14">
        <v>74.07</v>
      </c>
      <c r="G50" s="14">
        <v>0</v>
      </c>
      <c r="H50" s="14">
        <f aca="true" t="shared" si="0" ref="H50:H55">ROUND(F50*AE50,2)</f>
        <v>0</v>
      </c>
      <c r="I50" s="14">
        <f aca="true" t="shared" si="1" ref="I50:I55">J50-H50</f>
        <v>0</v>
      </c>
      <c r="J50" s="14">
        <f aca="true" t="shared" si="2" ref="J50:J55">ROUND(F50*G50,2)</f>
        <v>0</v>
      </c>
      <c r="K50" s="14">
        <v>0</v>
      </c>
      <c r="L50" s="14">
        <f aca="true" t="shared" si="3" ref="L50:L55">F50*K50</f>
        <v>0</v>
      </c>
      <c r="N50" s="26" t="s">
        <v>7</v>
      </c>
      <c r="O50" s="14">
        <f aca="true" t="shared" si="4" ref="O50:O55">IF(N50="5",I50,0)</f>
        <v>0</v>
      </c>
      <c r="Z50" s="14">
        <f aca="true" t="shared" si="5" ref="Z50:Z55">IF(AD50=0,J50,0)</f>
        <v>0</v>
      </c>
      <c r="AA50" s="14">
        <f aca="true" t="shared" si="6" ref="AA50:AA55">IF(AD50=15,J50,0)</f>
        <v>0</v>
      </c>
      <c r="AB50" s="14">
        <f aca="true" t="shared" si="7" ref="AB50:AB55">IF(AD50=21,J50,0)</f>
        <v>0</v>
      </c>
      <c r="AD50" s="28">
        <v>21</v>
      </c>
      <c r="AE50" s="28">
        <f>G50*0</f>
        <v>0</v>
      </c>
      <c r="AF50" s="28">
        <f>G50*(1-0)</f>
        <v>0</v>
      </c>
    </row>
    <row r="51" spans="1:32" ht="12.75">
      <c r="A51" s="4" t="s">
        <v>33</v>
      </c>
      <c r="B51" s="4"/>
      <c r="C51" s="4" t="s">
        <v>97</v>
      </c>
      <c r="D51" s="4" t="s">
        <v>173</v>
      </c>
      <c r="E51" s="4" t="s">
        <v>209</v>
      </c>
      <c r="F51" s="14">
        <v>74.01</v>
      </c>
      <c r="G51" s="14">
        <v>0</v>
      </c>
      <c r="H51" s="14">
        <f t="shared" si="0"/>
        <v>0</v>
      </c>
      <c r="I51" s="14">
        <f t="shared" si="1"/>
        <v>0</v>
      </c>
      <c r="J51" s="14">
        <f t="shared" si="2"/>
        <v>0</v>
      </c>
      <c r="K51" s="14">
        <v>0</v>
      </c>
      <c r="L51" s="14">
        <f t="shared" si="3"/>
        <v>0</v>
      </c>
      <c r="N51" s="26" t="s">
        <v>7</v>
      </c>
      <c r="O51" s="14">
        <f t="shared" si="4"/>
        <v>0</v>
      </c>
      <c r="Z51" s="14">
        <f t="shared" si="5"/>
        <v>0</v>
      </c>
      <c r="AA51" s="14">
        <f t="shared" si="6"/>
        <v>0</v>
      </c>
      <c r="AB51" s="14">
        <f t="shared" si="7"/>
        <v>0</v>
      </c>
      <c r="AD51" s="28">
        <v>21</v>
      </c>
      <c r="AE51" s="28">
        <f>G51*0</f>
        <v>0</v>
      </c>
      <c r="AF51" s="28">
        <f>G51*(1-0)</f>
        <v>0</v>
      </c>
    </row>
    <row r="52" spans="1:32" ht="12.75">
      <c r="A52" s="4" t="s">
        <v>34</v>
      </c>
      <c r="B52" s="4"/>
      <c r="C52" s="4" t="s">
        <v>98</v>
      </c>
      <c r="D52" s="4" t="s">
        <v>174</v>
      </c>
      <c r="E52" s="4" t="s">
        <v>212</v>
      </c>
      <c r="F52" s="14">
        <v>22.95</v>
      </c>
      <c r="G52" s="14">
        <v>0</v>
      </c>
      <c r="H52" s="14">
        <f t="shared" si="0"/>
        <v>0</v>
      </c>
      <c r="I52" s="14">
        <f t="shared" si="1"/>
        <v>0</v>
      </c>
      <c r="J52" s="14">
        <f t="shared" si="2"/>
        <v>0</v>
      </c>
      <c r="K52" s="14">
        <v>0.00059</v>
      </c>
      <c r="L52" s="14">
        <f t="shared" si="3"/>
        <v>0.0135405</v>
      </c>
      <c r="N52" s="26" t="s">
        <v>7</v>
      </c>
      <c r="O52" s="14">
        <f t="shared" si="4"/>
        <v>0</v>
      </c>
      <c r="Z52" s="14">
        <f t="shared" si="5"/>
        <v>0</v>
      </c>
      <c r="AA52" s="14">
        <f t="shared" si="6"/>
        <v>0</v>
      </c>
      <c r="AB52" s="14">
        <f t="shared" si="7"/>
        <v>0</v>
      </c>
      <c r="AD52" s="28">
        <v>21</v>
      </c>
      <c r="AE52" s="28">
        <f>G52*0.461724659606657</f>
        <v>0</v>
      </c>
      <c r="AF52" s="28">
        <f>G52*(1-0.461724659606657)</f>
        <v>0</v>
      </c>
    </row>
    <row r="53" spans="1:32" ht="12.75">
      <c r="A53" s="4" t="s">
        <v>35</v>
      </c>
      <c r="B53" s="4"/>
      <c r="C53" s="4" t="s">
        <v>99</v>
      </c>
      <c r="D53" s="4" t="s">
        <v>175</v>
      </c>
      <c r="E53" s="4" t="s">
        <v>209</v>
      </c>
      <c r="F53" s="14">
        <v>125.07</v>
      </c>
      <c r="G53" s="14">
        <v>0</v>
      </c>
      <c r="H53" s="14">
        <f t="shared" si="0"/>
        <v>0</v>
      </c>
      <c r="I53" s="14">
        <f t="shared" si="1"/>
        <v>0</v>
      </c>
      <c r="J53" s="14">
        <f t="shared" si="2"/>
        <v>0</v>
      </c>
      <c r="K53" s="14">
        <v>0.001</v>
      </c>
      <c r="L53" s="14">
        <f t="shared" si="3"/>
        <v>0.12507</v>
      </c>
      <c r="N53" s="26" t="s">
        <v>7</v>
      </c>
      <c r="O53" s="14">
        <f t="shared" si="4"/>
        <v>0</v>
      </c>
      <c r="Z53" s="14">
        <f t="shared" si="5"/>
        <v>0</v>
      </c>
      <c r="AA53" s="14">
        <f t="shared" si="6"/>
        <v>0</v>
      </c>
      <c r="AB53" s="14">
        <f t="shared" si="7"/>
        <v>0</v>
      </c>
      <c r="AD53" s="28">
        <v>21</v>
      </c>
      <c r="AE53" s="28">
        <f>G53*0</f>
        <v>0</v>
      </c>
      <c r="AF53" s="28">
        <f>G53*(1-0)</f>
        <v>0</v>
      </c>
    </row>
    <row r="54" spans="1:32" ht="12.75">
      <c r="A54" s="4" t="s">
        <v>36</v>
      </c>
      <c r="B54" s="4"/>
      <c r="C54" s="4" t="s">
        <v>100</v>
      </c>
      <c r="D54" s="4" t="s">
        <v>176</v>
      </c>
      <c r="E54" s="4" t="s">
        <v>209</v>
      </c>
      <c r="F54" s="14">
        <v>74.07</v>
      </c>
      <c r="G54" s="14">
        <v>0</v>
      </c>
      <c r="H54" s="14">
        <f t="shared" si="0"/>
        <v>0</v>
      </c>
      <c r="I54" s="14">
        <f t="shared" si="1"/>
        <v>0</v>
      </c>
      <c r="J54" s="14">
        <f t="shared" si="2"/>
        <v>0</v>
      </c>
      <c r="K54" s="14">
        <v>0.00073</v>
      </c>
      <c r="L54" s="14">
        <f t="shared" si="3"/>
        <v>0.05407109999999999</v>
      </c>
      <c r="N54" s="26" t="s">
        <v>7</v>
      </c>
      <c r="O54" s="14">
        <f t="shared" si="4"/>
        <v>0</v>
      </c>
      <c r="Z54" s="14">
        <f t="shared" si="5"/>
        <v>0</v>
      </c>
      <c r="AA54" s="14">
        <f t="shared" si="6"/>
        <v>0</v>
      </c>
      <c r="AB54" s="14">
        <f t="shared" si="7"/>
        <v>0</v>
      </c>
      <c r="AD54" s="28">
        <v>21</v>
      </c>
      <c r="AE54" s="28">
        <f>G54*0.584810126582278</f>
        <v>0</v>
      </c>
      <c r="AF54" s="28">
        <f>G54*(1-0.584810126582278)</f>
        <v>0</v>
      </c>
    </row>
    <row r="55" spans="1:32" ht="12.75">
      <c r="A55" s="4" t="s">
        <v>37</v>
      </c>
      <c r="B55" s="4"/>
      <c r="C55" s="4" t="s">
        <v>101</v>
      </c>
      <c r="D55" s="4" t="s">
        <v>177</v>
      </c>
      <c r="E55" s="4" t="s">
        <v>209</v>
      </c>
      <c r="F55" s="14">
        <v>74</v>
      </c>
      <c r="G55" s="14">
        <v>0</v>
      </c>
      <c r="H55" s="14">
        <f t="shared" si="0"/>
        <v>0</v>
      </c>
      <c r="I55" s="14">
        <f t="shared" si="1"/>
        <v>0</v>
      </c>
      <c r="J55" s="14">
        <f t="shared" si="2"/>
        <v>0</v>
      </c>
      <c r="K55" s="14">
        <v>2E-05</v>
      </c>
      <c r="L55" s="14">
        <f t="shared" si="3"/>
        <v>0.0014800000000000002</v>
      </c>
      <c r="N55" s="26" t="s">
        <v>7</v>
      </c>
      <c r="O55" s="14">
        <f t="shared" si="4"/>
        <v>0</v>
      </c>
      <c r="Z55" s="14">
        <f t="shared" si="5"/>
        <v>0</v>
      </c>
      <c r="AA55" s="14">
        <f t="shared" si="6"/>
        <v>0</v>
      </c>
      <c r="AB55" s="14">
        <f t="shared" si="7"/>
        <v>0</v>
      </c>
      <c r="AD55" s="28">
        <v>21</v>
      </c>
      <c r="AE55" s="28">
        <f>G55*0.0909090909090909</f>
        <v>0</v>
      </c>
      <c r="AF55" s="28">
        <f>G55*(1-0.0909090909090909)</f>
        <v>0</v>
      </c>
    </row>
    <row r="56" spans="1:37" ht="12.75">
      <c r="A56" s="5"/>
      <c r="B56" s="5"/>
      <c r="C56" s="12" t="s">
        <v>102</v>
      </c>
      <c r="D56" s="53" t="s">
        <v>178</v>
      </c>
      <c r="E56" s="54"/>
      <c r="F56" s="54"/>
      <c r="G56" s="54"/>
      <c r="H56" s="30">
        <f>SUM(H57:H61)</f>
        <v>0</v>
      </c>
      <c r="I56" s="30">
        <f>SUM(I57:I61)</f>
        <v>0</v>
      </c>
      <c r="J56" s="30">
        <f>H56+I56</f>
        <v>0</v>
      </c>
      <c r="K56" s="23"/>
      <c r="L56" s="30">
        <f>SUM(L57:L61)</f>
        <v>0.5937698</v>
      </c>
      <c r="P56" s="30">
        <f>IF(Q56="PR",J56,SUM(O57:O61))</f>
        <v>0</v>
      </c>
      <c r="Q56" s="23" t="s">
        <v>235</v>
      </c>
      <c r="R56" s="30">
        <f>IF(Q56="HS",H56,0)</f>
        <v>0</v>
      </c>
      <c r="S56" s="30">
        <f>IF(Q56="HS",I56-P56,0)</f>
        <v>0</v>
      </c>
      <c r="T56" s="30">
        <f>IF(Q56="PS",H56,0)</f>
        <v>0</v>
      </c>
      <c r="U56" s="30">
        <f>IF(Q56="PS",I56-P56,0)</f>
        <v>0</v>
      </c>
      <c r="V56" s="30">
        <f>IF(Q56="MP",H56,0)</f>
        <v>0</v>
      </c>
      <c r="W56" s="30">
        <f>IF(Q56="MP",I56-P56,0)</f>
        <v>0</v>
      </c>
      <c r="X56" s="30">
        <f>IF(Q56="OM",H56,0)</f>
        <v>0</v>
      </c>
      <c r="Y56" s="23"/>
      <c r="AI56" s="30">
        <f>SUM(Z57:Z61)</f>
        <v>0</v>
      </c>
      <c r="AJ56" s="30">
        <f>SUM(AA57:AA61)</f>
        <v>0</v>
      </c>
      <c r="AK56" s="30">
        <f>SUM(AB57:AB61)</f>
        <v>0</v>
      </c>
    </row>
    <row r="57" spans="1:32" ht="12.75">
      <c r="A57" s="4" t="s">
        <v>38</v>
      </c>
      <c r="B57" s="4"/>
      <c r="C57" s="4" t="s">
        <v>103</v>
      </c>
      <c r="D57" s="4" t="s">
        <v>179</v>
      </c>
      <c r="E57" s="4" t="s">
        <v>209</v>
      </c>
      <c r="F57" s="14">
        <v>97.18</v>
      </c>
      <c r="G57" s="14">
        <v>0</v>
      </c>
      <c r="H57" s="14">
        <f>ROUND(F57*AE57,2)</f>
        <v>0</v>
      </c>
      <c r="I57" s="14">
        <f>J57-H57</f>
        <v>0</v>
      </c>
      <c r="J57" s="14">
        <f>ROUND(F57*G57,2)</f>
        <v>0</v>
      </c>
      <c r="K57" s="14">
        <v>0</v>
      </c>
      <c r="L57" s="14">
        <f>F57*K57</f>
        <v>0</v>
      </c>
      <c r="N57" s="26" t="s">
        <v>7</v>
      </c>
      <c r="O57" s="14">
        <f>IF(N57="5",I57,0)</f>
        <v>0</v>
      </c>
      <c r="Z57" s="14">
        <f>IF(AD57=0,J57,0)</f>
        <v>0</v>
      </c>
      <c r="AA57" s="14">
        <f>IF(AD57=15,J57,0)</f>
        <v>0</v>
      </c>
      <c r="AB57" s="14">
        <f>IF(AD57=21,J57,0)</f>
        <v>0</v>
      </c>
      <c r="AD57" s="28">
        <v>21</v>
      </c>
      <c r="AE57" s="28">
        <f>G57*0</f>
        <v>0</v>
      </c>
      <c r="AF57" s="28">
        <f>G57*(1-0)</f>
        <v>0</v>
      </c>
    </row>
    <row r="58" spans="1:32" ht="12.75">
      <c r="A58" s="4" t="s">
        <v>39</v>
      </c>
      <c r="B58" s="4"/>
      <c r="C58" s="4" t="s">
        <v>104</v>
      </c>
      <c r="D58" s="4" t="s">
        <v>180</v>
      </c>
      <c r="E58" s="4" t="s">
        <v>209</v>
      </c>
      <c r="F58" s="14">
        <v>97.18</v>
      </c>
      <c r="G58" s="14">
        <v>0</v>
      </c>
      <c r="H58" s="14">
        <f>ROUND(F58*AE58,2)</f>
        <v>0</v>
      </c>
      <c r="I58" s="14">
        <f>J58-H58</f>
        <v>0</v>
      </c>
      <c r="J58" s="14">
        <f>ROUND(F58*G58,2)</f>
        <v>0</v>
      </c>
      <c r="K58" s="14">
        <v>0.00021</v>
      </c>
      <c r="L58" s="14">
        <f>F58*K58</f>
        <v>0.020407800000000004</v>
      </c>
      <c r="N58" s="26" t="s">
        <v>7</v>
      </c>
      <c r="O58" s="14">
        <f>IF(N58="5",I58,0)</f>
        <v>0</v>
      </c>
      <c r="Z58" s="14">
        <f>IF(AD58=0,J58,0)</f>
        <v>0</v>
      </c>
      <c r="AA58" s="14">
        <f>IF(AD58=15,J58,0)</f>
        <v>0</v>
      </c>
      <c r="AB58" s="14">
        <f>IF(AD58=21,J58,0)</f>
        <v>0</v>
      </c>
      <c r="AD58" s="28">
        <v>21</v>
      </c>
      <c r="AE58" s="28">
        <f>G58*0.554605075563159</f>
        <v>0</v>
      </c>
      <c r="AF58" s="28">
        <f>G58*(1-0.554605075563159)</f>
        <v>0</v>
      </c>
    </row>
    <row r="59" spans="1:32" ht="12.75">
      <c r="A59" s="4" t="s">
        <v>40</v>
      </c>
      <c r="B59" s="4"/>
      <c r="C59" s="4" t="s">
        <v>105</v>
      </c>
      <c r="D59" s="4" t="s">
        <v>181</v>
      </c>
      <c r="E59" s="4" t="s">
        <v>209</v>
      </c>
      <c r="F59" s="14">
        <v>15.15</v>
      </c>
      <c r="G59" s="14">
        <v>0</v>
      </c>
      <c r="H59" s="14">
        <f>ROUND(F59*AE59,2)</f>
        <v>0</v>
      </c>
      <c r="I59" s="14">
        <f>J59-H59</f>
        <v>0</v>
      </c>
      <c r="J59" s="14">
        <f>ROUND(F59*G59,2)</f>
        <v>0</v>
      </c>
      <c r="K59" s="14">
        <v>0</v>
      </c>
      <c r="L59" s="14">
        <f>F59*K59</f>
        <v>0</v>
      </c>
      <c r="N59" s="26" t="s">
        <v>7</v>
      </c>
      <c r="O59" s="14">
        <f>IF(N59="5",I59,0)</f>
        <v>0</v>
      </c>
      <c r="Z59" s="14">
        <f>IF(AD59=0,J59,0)</f>
        <v>0</v>
      </c>
      <c r="AA59" s="14">
        <f>IF(AD59=15,J59,0)</f>
        <v>0</v>
      </c>
      <c r="AB59" s="14">
        <f>IF(AD59=21,J59,0)</f>
        <v>0</v>
      </c>
      <c r="AD59" s="28">
        <v>21</v>
      </c>
      <c r="AE59" s="28">
        <f>G59*0</f>
        <v>0</v>
      </c>
      <c r="AF59" s="28">
        <f>G59*(1-0)</f>
        <v>0</v>
      </c>
    </row>
    <row r="60" spans="1:32" ht="12.75">
      <c r="A60" s="4" t="s">
        <v>41</v>
      </c>
      <c r="B60" s="4"/>
      <c r="C60" s="4" t="s">
        <v>106</v>
      </c>
      <c r="D60" s="4" t="s">
        <v>182</v>
      </c>
      <c r="E60" s="4" t="s">
        <v>209</v>
      </c>
      <c r="F60" s="14">
        <v>97.18</v>
      </c>
      <c r="G60" s="14">
        <v>0</v>
      </c>
      <c r="H60" s="14">
        <f>ROUND(F60*AE60,2)</f>
        <v>0</v>
      </c>
      <c r="I60" s="14">
        <f>J60-H60</f>
        <v>0</v>
      </c>
      <c r="J60" s="14">
        <f>ROUND(F60*G60,2)</f>
        <v>0</v>
      </c>
      <c r="K60" s="14">
        <v>0.0053</v>
      </c>
      <c r="L60" s="14">
        <f>F60*K60</f>
        <v>0.515054</v>
      </c>
      <c r="N60" s="26" t="s">
        <v>7</v>
      </c>
      <c r="O60" s="14">
        <f>IF(N60="5",I60,0)</f>
        <v>0</v>
      </c>
      <c r="Z60" s="14">
        <f>IF(AD60=0,J60,0)</f>
        <v>0</v>
      </c>
      <c r="AA60" s="14">
        <f>IF(AD60=15,J60,0)</f>
        <v>0</v>
      </c>
      <c r="AB60" s="14">
        <f>IF(AD60=21,J60,0)</f>
        <v>0</v>
      </c>
      <c r="AD60" s="28">
        <v>21</v>
      </c>
      <c r="AE60" s="28">
        <f>G60*0.112354151337228</f>
        <v>0</v>
      </c>
      <c r="AF60" s="28">
        <f>G60*(1-0.112354151337228)</f>
        <v>0</v>
      </c>
    </row>
    <row r="61" spans="1:32" ht="12.75">
      <c r="A61" s="4" t="s">
        <v>42</v>
      </c>
      <c r="B61" s="4"/>
      <c r="C61" s="4" t="s">
        <v>107</v>
      </c>
      <c r="D61" s="4" t="s">
        <v>183</v>
      </c>
      <c r="E61" s="4" t="s">
        <v>209</v>
      </c>
      <c r="F61" s="14">
        <v>97.18</v>
      </c>
      <c r="G61" s="14">
        <v>0</v>
      </c>
      <c r="H61" s="14">
        <f>ROUND(F61*AE61,2)</f>
        <v>0</v>
      </c>
      <c r="I61" s="14">
        <f>J61-H61</f>
        <v>0</v>
      </c>
      <c r="J61" s="14">
        <f>ROUND(F61*G61,2)</f>
        <v>0</v>
      </c>
      <c r="K61" s="14">
        <v>0.0006</v>
      </c>
      <c r="L61" s="14">
        <f>F61*K61</f>
        <v>0.058308</v>
      </c>
      <c r="N61" s="26" t="s">
        <v>7</v>
      </c>
      <c r="O61" s="14">
        <f>IF(N61="5",I61,0)</f>
        <v>0</v>
      </c>
      <c r="Z61" s="14">
        <f>IF(AD61=0,J61,0)</f>
        <v>0</v>
      </c>
      <c r="AA61" s="14">
        <f>IF(AD61=15,J61,0)</f>
        <v>0</v>
      </c>
      <c r="AB61" s="14">
        <f>IF(AD61=21,J61,0)</f>
        <v>0</v>
      </c>
      <c r="AD61" s="28">
        <v>21</v>
      </c>
      <c r="AE61" s="28">
        <f>G61*1</f>
        <v>0</v>
      </c>
      <c r="AF61" s="28">
        <f>G61*(1-1)</f>
        <v>0</v>
      </c>
    </row>
    <row r="62" spans="1:37" ht="12.75">
      <c r="A62" s="5"/>
      <c r="B62" s="5"/>
      <c r="C62" s="12" t="s">
        <v>108</v>
      </c>
      <c r="D62" s="53" t="s">
        <v>229</v>
      </c>
      <c r="E62" s="54"/>
      <c r="F62" s="54"/>
      <c r="G62" s="54"/>
      <c r="H62" s="30">
        <f>SUM(H63:H69)</f>
        <v>0</v>
      </c>
      <c r="I62" s="30">
        <f>SUM(I63:I69)</f>
        <v>0</v>
      </c>
      <c r="J62" s="30">
        <f>H62+I62</f>
        <v>0</v>
      </c>
      <c r="K62" s="23"/>
      <c r="L62" s="30">
        <f>SUM(L63:L69)</f>
        <v>1.06037</v>
      </c>
      <c r="P62" s="30">
        <f>IF(Q62="PR",J62,SUM(O63:O69))</f>
        <v>0</v>
      </c>
      <c r="Q62" s="23" t="s">
        <v>235</v>
      </c>
      <c r="R62" s="30">
        <f>IF(Q62="HS",H62,0)</f>
        <v>0</v>
      </c>
      <c r="S62" s="30">
        <f>IF(Q62="HS",I62-P62,0)</f>
        <v>0</v>
      </c>
      <c r="T62" s="30">
        <f>IF(Q62="PS",H62,0)</f>
        <v>0</v>
      </c>
      <c r="U62" s="30">
        <f>IF(Q62="PS",I62-P62,0)</f>
        <v>0</v>
      </c>
      <c r="V62" s="30">
        <f>IF(Q62="MP",H62,0)</f>
        <v>0</v>
      </c>
      <c r="W62" s="30">
        <f>IF(Q62="MP",I62-P62,0)</f>
        <v>0</v>
      </c>
      <c r="X62" s="30">
        <f>IF(Q62="OM",H62,0)</f>
        <v>0</v>
      </c>
      <c r="Y62" s="23"/>
      <c r="AI62" s="30">
        <f>SUM(Z63:Z69)</f>
        <v>0</v>
      </c>
      <c r="AJ62" s="30">
        <f>SUM(AA63:AA69)</f>
        <v>0</v>
      </c>
      <c r="AK62" s="30">
        <f>SUM(AB63:AB69)</f>
        <v>0</v>
      </c>
    </row>
    <row r="63" spans="1:32" ht="12.75">
      <c r="A63" s="4" t="s">
        <v>43</v>
      </c>
      <c r="B63" s="4"/>
      <c r="C63" s="4" t="s">
        <v>109</v>
      </c>
      <c r="D63" s="4" t="s">
        <v>184</v>
      </c>
      <c r="E63" s="4" t="s">
        <v>209</v>
      </c>
      <c r="F63" s="14">
        <v>87.5</v>
      </c>
      <c r="G63" s="14">
        <v>0</v>
      </c>
      <c r="H63" s="14">
        <f aca="true" t="shared" si="8" ref="H63:H69">ROUND(F63*AE63,2)</f>
        <v>0</v>
      </c>
      <c r="I63" s="14">
        <f aca="true" t="shared" si="9" ref="I63:I69">J63-H63</f>
        <v>0</v>
      </c>
      <c r="J63" s="14">
        <f aca="true" t="shared" si="10" ref="J63:J69">ROUND(F63*G63,2)</f>
        <v>0</v>
      </c>
      <c r="K63" s="14">
        <v>5E-05</v>
      </c>
      <c r="L63" s="14">
        <f aca="true" t="shared" si="11" ref="L63:L69">F63*K63</f>
        <v>0.004375</v>
      </c>
      <c r="N63" s="26" t="s">
        <v>7</v>
      </c>
      <c r="O63" s="14">
        <f aca="true" t="shared" si="12" ref="O63:O69">IF(N63="5",I63,0)</f>
        <v>0</v>
      </c>
      <c r="Z63" s="14">
        <f aca="true" t="shared" si="13" ref="Z63:Z69">IF(AD63=0,J63,0)</f>
        <v>0</v>
      </c>
      <c r="AA63" s="14">
        <f aca="true" t="shared" si="14" ref="AA63:AA69">IF(AD63=15,J63,0)</f>
        <v>0</v>
      </c>
      <c r="AB63" s="14">
        <f aca="true" t="shared" si="15" ref="AB63:AB69">IF(AD63=21,J63,0)</f>
        <v>0</v>
      </c>
      <c r="AD63" s="28">
        <v>21</v>
      </c>
      <c r="AE63" s="28">
        <f>G63*0.179421768707483</f>
        <v>0</v>
      </c>
      <c r="AF63" s="28">
        <f>G63*(1-0.179421768707483)</f>
        <v>0</v>
      </c>
    </row>
    <row r="64" spans="1:32" ht="12.75">
      <c r="A64" s="4" t="s">
        <v>44</v>
      </c>
      <c r="B64" s="4"/>
      <c r="C64" s="4" t="s">
        <v>110</v>
      </c>
      <c r="D64" s="4" t="s">
        <v>185</v>
      </c>
      <c r="E64" s="4" t="s">
        <v>209</v>
      </c>
      <c r="F64" s="14">
        <v>87.5</v>
      </c>
      <c r="G64" s="14">
        <v>0</v>
      </c>
      <c r="H64" s="14">
        <f t="shared" si="8"/>
        <v>0</v>
      </c>
      <c r="I64" s="14">
        <f t="shared" si="9"/>
        <v>0</v>
      </c>
      <c r="J64" s="14">
        <f t="shared" si="10"/>
        <v>0</v>
      </c>
      <c r="K64" s="14">
        <v>0.0035</v>
      </c>
      <c r="L64" s="14">
        <f t="shared" si="11"/>
        <v>0.30625</v>
      </c>
      <c r="N64" s="26" t="s">
        <v>7</v>
      </c>
      <c r="O64" s="14">
        <f t="shared" si="12"/>
        <v>0</v>
      </c>
      <c r="Z64" s="14">
        <f t="shared" si="13"/>
        <v>0</v>
      </c>
      <c r="AA64" s="14">
        <f t="shared" si="14"/>
        <v>0</v>
      </c>
      <c r="AB64" s="14">
        <f t="shared" si="15"/>
        <v>0</v>
      </c>
      <c r="AD64" s="28">
        <v>21</v>
      </c>
      <c r="AE64" s="28">
        <f>G64*0.327566583200546</f>
        <v>0</v>
      </c>
      <c r="AF64" s="28">
        <f>G64*(1-0.327566583200546)</f>
        <v>0</v>
      </c>
    </row>
    <row r="65" spans="1:32" ht="12.75">
      <c r="A65" s="4" t="s">
        <v>45</v>
      </c>
      <c r="B65" s="4"/>
      <c r="C65" s="4" t="s">
        <v>111</v>
      </c>
      <c r="D65" s="4" t="s">
        <v>186</v>
      </c>
      <c r="E65" s="4" t="s">
        <v>209</v>
      </c>
      <c r="F65" s="14">
        <v>898.9</v>
      </c>
      <c r="G65" s="14">
        <v>0</v>
      </c>
      <c r="H65" s="14">
        <f t="shared" si="8"/>
        <v>0</v>
      </c>
      <c r="I65" s="14">
        <f t="shared" si="9"/>
        <v>0</v>
      </c>
      <c r="J65" s="14">
        <f t="shared" si="10"/>
        <v>0</v>
      </c>
      <c r="K65" s="14">
        <v>0.00015</v>
      </c>
      <c r="L65" s="14">
        <f t="shared" si="11"/>
        <v>0.13483499999999998</v>
      </c>
      <c r="N65" s="26" t="s">
        <v>7</v>
      </c>
      <c r="O65" s="14">
        <f t="shared" si="12"/>
        <v>0</v>
      </c>
      <c r="Z65" s="14">
        <f t="shared" si="13"/>
        <v>0</v>
      </c>
      <c r="AA65" s="14">
        <f t="shared" si="14"/>
        <v>0</v>
      </c>
      <c r="AB65" s="14">
        <f t="shared" si="15"/>
        <v>0</v>
      </c>
      <c r="AD65" s="28">
        <v>21</v>
      </c>
      <c r="AE65" s="28">
        <f>G65*0.733425414364641</f>
        <v>0</v>
      </c>
      <c r="AF65" s="28">
        <f>G65*(1-0.733425414364641)</f>
        <v>0</v>
      </c>
    </row>
    <row r="66" spans="1:32" ht="12.75">
      <c r="A66" s="4" t="s">
        <v>46</v>
      </c>
      <c r="B66" s="4"/>
      <c r="C66" s="4" t="s">
        <v>112</v>
      </c>
      <c r="D66" s="4" t="s">
        <v>187</v>
      </c>
      <c r="E66" s="4" t="s">
        <v>209</v>
      </c>
      <c r="F66" s="14">
        <v>898.9</v>
      </c>
      <c r="G66" s="14">
        <v>0</v>
      </c>
      <c r="H66" s="14">
        <f t="shared" si="8"/>
        <v>0</v>
      </c>
      <c r="I66" s="14">
        <f t="shared" si="9"/>
        <v>0</v>
      </c>
      <c r="J66" s="14">
        <f t="shared" si="10"/>
        <v>0</v>
      </c>
      <c r="K66" s="14">
        <v>0.00031</v>
      </c>
      <c r="L66" s="14">
        <f t="shared" si="11"/>
        <v>0.278659</v>
      </c>
      <c r="N66" s="26" t="s">
        <v>7</v>
      </c>
      <c r="O66" s="14">
        <f t="shared" si="12"/>
        <v>0</v>
      </c>
      <c r="Z66" s="14">
        <f t="shared" si="13"/>
        <v>0</v>
      </c>
      <c r="AA66" s="14">
        <f t="shared" si="14"/>
        <v>0</v>
      </c>
      <c r="AB66" s="14">
        <f t="shared" si="15"/>
        <v>0</v>
      </c>
      <c r="AD66" s="28">
        <v>21</v>
      </c>
      <c r="AE66" s="28">
        <f>G66*0.272625196496744</f>
        <v>0</v>
      </c>
      <c r="AF66" s="28">
        <f>G66*(1-0.272625196496744)</f>
        <v>0</v>
      </c>
    </row>
    <row r="67" spans="1:32" ht="12.75">
      <c r="A67" s="4" t="s">
        <v>47</v>
      </c>
      <c r="B67" s="4"/>
      <c r="C67" s="4" t="s">
        <v>113</v>
      </c>
      <c r="D67" s="4" t="s">
        <v>188</v>
      </c>
      <c r="E67" s="4" t="s">
        <v>209</v>
      </c>
      <c r="F67" s="14">
        <v>898.9</v>
      </c>
      <c r="G67" s="14">
        <v>0</v>
      </c>
      <c r="H67" s="14">
        <f t="shared" si="8"/>
        <v>0</v>
      </c>
      <c r="I67" s="14">
        <f t="shared" si="9"/>
        <v>0</v>
      </c>
      <c r="J67" s="14">
        <f t="shared" si="10"/>
        <v>0</v>
      </c>
      <c r="K67" s="14">
        <v>0</v>
      </c>
      <c r="L67" s="14">
        <f t="shared" si="11"/>
        <v>0</v>
      </c>
      <c r="N67" s="26" t="s">
        <v>7</v>
      </c>
      <c r="O67" s="14">
        <f t="shared" si="12"/>
        <v>0</v>
      </c>
      <c r="Z67" s="14">
        <f t="shared" si="13"/>
        <v>0</v>
      </c>
      <c r="AA67" s="14">
        <f t="shared" si="14"/>
        <v>0</v>
      </c>
      <c r="AB67" s="14">
        <f t="shared" si="15"/>
        <v>0</v>
      </c>
      <c r="AD67" s="28">
        <v>21</v>
      </c>
      <c r="AE67" s="28">
        <f>G67*0.003701989819528</f>
        <v>0</v>
      </c>
      <c r="AF67" s="28">
        <f>G67*(1-0.003701989819528)</f>
        <v>0</v>
      </c>
    </row>
    <row r="68" spans="1:32" ht="12.75">
      <c r="A68" s="4" t="s">
        <v>48</v>
      </c>
      <c r="B68" s="4"/>
      <c r="C68" s="4" t="s">
        <v>114</v>
      </c>
      <c r="D68" s="4" t="s">
        <v>189</v>
      </c>
      <c r="E68" s="4" t="s">
        <v>209</v>
      </c>
      <c r="F68" s="14">
        <v>87.5</v>
      </c>
      <c r="G68" s="14">
        <v>0</v>
      </c>
      <c r="H68" s="14">
        <f t="shared" si="8"/>
        <v>0</v>
      </c>
      <c r="I68" s="14">
        <f t="shared" si="9"/>
        <v>0</v>
      </c>
      <c r="J68" s="14">
        <f t="shared" si="10"/>
        <v>0</v>
      </c>
      <c r="K68" s="14">
        <v>0.00035</v>
      </c>
      <c r="L68" s="14">
        <f t="shared" si="11"/>
        <v>0.030625</v>
      </c>
      <c r="N68" s="26" t="s">
        <v>9</v>
      </c>
      <c r="O68" s="14">
        <f t="shared" si="12"/>
        <v>0</v>
      </c>
      <c r="Z68" s="14">
        <f t="shared" si="13"/>
        <v>0</v>
      </c>
      <c r="AA68" s="14">
        <f t="shared" si="14"/>
        <v>0</v>
      </c>
      <c r="AB68" s="14">
        <f t="shared" si="15"/>
        <v>0</v>
      </c>
      <c r="AD68" s="28">
        <v>21</v>
      </c>
      <c r="AE68" s="28">
        <f>G68*0.277204417888829</f>
        <v>0</v>
      </c>
      <c r="AF68" s="28">
        <f>G68*(1-0.277204417888829)</f>
        <v>0</v>
      </c>
    </row>
    <row r="69" spans="1:32" ht="12.75">
      <c r="A69" s="4" t="s">
        <v>49</v>
      </c>
      <c r="B69" s="4"/>
      <c r="C69" s="4" t="s">
        <v>115</v>
      </c>
      <c r="D69" s="4" t="s">
        <v>190</v>
      </c>
      <c r="E69" s="4" t="s">
        <v>209</v>
      </c>
      <c r="F69" s="14">
        <v>898.9</v>
      </c>
      <c r="G69" s="14">
        <v>0</v>
      </c>
      <c r="H69" s="14">
        <f t="shared" si="8"/>
        <v>0</v>
      </c>
      <c r="I69" s="14">
        <f t="shared" si="9"/>
        <v>0</v>
      </c>
      <c r="J69" s="14">
        <f t="shared" si="10"/>
        <v>0</v>
      </c>
      <c r="K69" s="14">
        <v>0.00034</v>
      </c>
      <c r="L69" s="14">
        <f t="shared" si="11"/>
        <v>0.305626</v>
      </c>
      <c r="N69" s="26" t="s">
        <v>7</v>
      </c>
      <c r="O69" s="14">
        <f t="shared" si="12"/>
        <v>0</v>
      </c>
      <c r="Z69" s="14">
        <f t="shared" si="13"/>
        <v>0</v>
      </c>
      <c r="AA69" s="14">
        <f t="shared" si="14"/>
        <v>0</v>
      </c>
      <c r="AB69" s="14">
        <f t="shared" si="15"/>
        <v>0</v>
      </c>
      <c r="AD69" s="28">
        <v>21</v>
      </c>
      <c r="AE69" s="28">
        <f>G69*0.243174229031624</f>
        <v>0</v>
      </c>
      <c r="AF69" s="28">
        <f>G69*(1-0.243174229031624)</f>
        <v>0</v>
      </c>
    </row>
    <row r="70" spans="1:37" ht="12.75">
      <c r="A70" s="5"/>
      <c r="B70" s="5"/>
      <c r="C70" s="12" t="s">
        <v>116</v>
      </c>
      <c r="D70" s="53" t="s">
        <v>167</v>
      </c>
      <c r="E70" s="54"/>
      <c r="F70" s="54"/>
      <c r="G70" s="54"/>
      <c r="H70" s="30">
        <f>SUM(H71:H71)</f>
        <v>0</v>
      </c>
      <c r="I70" s="30">
        <f>SUM(I71:I71)</f>
        <v>0</v>
      </c>
      <c r="J70" s="30">
        <f>H70+I70</f>
        <v>0</v>
      </c>
      <c r="K70" s="23"/>
      <c r="L70" s="30">
        <f>SUM(L71:L71)</f>
        <v>0</v>
      </c>
      <c r="P70" s="30">
        <f>IF(Q70="PR",J70,SUM(O71:O71))</f>
        <v>0</v>
      </c>
      <c r="Q70" s="23" t="s">
        <v>233</v>
      </c>
      <c r="R70" s="30">
        <f>IF(Q70="HS",H70,0)</f>
        <v>0</v>
      </c>
      <c r="S70" s="30">
        <f>IF(Q70="HS",I70-P70,0)</f>
        <v>0</v>
      </c>
      <c r="T70" s="30">
        <f>IF(Q70="PS",H70,0)</f>
        <v>0</v>
      </c>
      <c r="U70" s="30">
        <f>IF(Q70="PS",I70-P70,0)</f>
        <v>0</v>
      </c>
      <c r="V70" s="30">
        <f>IF(Q70="MP",H70,0)</f>
        <v>0</v>
      </c>
      <c r="W70" s="30">
        <f>IF(Q70="MP",I70-P70,0)</f>
        <v>0</v>
      </c>
      <c r="X70" s="30">
        <f>IF(Q70="OM",H70,0)</f>
        <v>0</v>
      </c>
      <c r="Y70" s="23"/>
      <c r="AI70" s="30">
        <f>SUM(Z71:Z71)</f>
        <v>0</v>
      </c>
      <c r="AJ70" s="30">
        <f>SUM(AA71:AA71)</f>
        <v>0</v>
      </c>
      <c r="AK70" s="30">
        <f>SUM(AB71:AB71)</f>
        <v>0</v>
      </c>
    </row>
    <row r="71" spans="1:32" ht="12.75">
      <c r="A71" s="4" t="s">
        <v>50</v>
      </c>
      <c r="B71" s="4"/>
      <c r="C71" s="4" t="s">
        <v>117</v>
      </c>
      <c r="D71" s="4" t="s">
        <v>191</v>
      </c>
      <c r="E71" s="4" t="s">
        <v>208</v>
      </c>
      <c r="F71" s="14">
        <v>0.05</v>
      </c>
      <c r="G71" s="14">
        <v>0</v>
      </c>
      <c r="H71" s="14">
        <f>ROUND(F71*AE71,2)</f>
        <v>0</v>
      </c>
      <c r="I71" s="14">
        <f>J71-H71</f>
        <v>0</v>
      </c>
      <c r="J71" s="14">
        <f>ROUND(F71*G71,2)</f>
        <v>0</v>
      </c>
      <c r="K71" s="14">
        <v>0</v>
      </c>
      <c r="L71" s="14">
        <f>F71*K71</f>
        <v>0</v>
      </c>
      <c r="N71" s="26" t="s">
        <v>11</v>
      </c>
      <c r="O71" s="14">
        <f>IF(N71="5",I71,0)</f>
        <v>0</v>
      </c>
      <c r="Z71" s="14">
        <f>IF(AD71=0,J71,0)</f>
        <v>0</v>
      </c>
      <c r="AA71" s="14">
        <f>IF(AD71=15,J71,0)</f>
        <v>0</v>
      </c>
      <c r="AB71" s="14">
        <f>IF(AD71=21,J71,0)</f>
        <v>0</v>
      </c>
      <c r="AD71" s="28">
        <v>21</v>
      </c>
      <c r="AE71" s="28">
        <f>G71*0</f>
        <v>0</v>
      </c>
      <c r="AF71" s="28">
        <f>G71*(1-0)</f>
        <v>0</v>
      </c>
    </row>
    <row r="72" spans="1:37" ht="12.75">
      <c r="A72" s="5"/>
      <c r="B72" s="5"/>
      <c r="C72" s="12" t="s">
        <v>118</v>
      </c>
      <c r="D72" s="53" t="s">
        <v>171</v>
      </c>
      <c r="E72" s="54"/>
      <c r="F72" s="54"/>
      <c r="G72" s="54"/>
      <c r="H72" s="30">
        <f>SUM(H73:H73)</f>
        <v>0</v>
      </c>
      <c r="I72" s="30">
        <f>SUM(I73:I73)</f>
        <v>0</v>
      </c>
      <c r="J72" s="30">
        <f>H72+I72</f>
        <v>0</v>
      </c>
      <c r="K72" s="23"/>
      <c r="L72" s="30">
        <f>SUM(L73:L73)</f>
        <v>0</v>
      </c>
      <c r="P72" s="30">
        <f>IF(Q72="PR",J72,SUM(O73:O73))</f>
        <v>0</v>
      </c>
      <c r="Q72" s="23" t="s">
        <v>233</v>
      </c>
      <c r="R72" s="30">
        <f>IF(Q72="HS",H72,0)</f>
        <v>0</v>
      </c>
      <c r="S72" s="30">
        <f>IF(Q72="HS",I72-P72,0)</f>
        <v>0</v>
      </c>
      <c r="T72" s="30">
        <f>IF(Q72="PS",H72,0)</f>
        <v>0</v>
      </c>
      <c r="U72" s="30">
        <f>IF(Q72="PS",I72-P72,0)</f>
        <v>0</v>
      </c>
      <c r="V72" s="30">
        <f>IF(Q72="MP",H72,0)</f>
        <v>0</v>
      </c>
      <c r="W72" s="30">
        <f>IF(Q72="MP",I72-P72,0)</f>
        <v>0</v>
      </c>
      <c r="X72" s="30">
        <f>IF(Q72="OM",H72,0)</f>
        <v>0</v>
      </c>
      <c r="Y72" s="23"/>
      <c r="AI72" s="30">
        <f>SUM(Z73:Z73)</f>
        <v>0</v>
      </c>
      <c r="AJ72" s="30">
        <f>SUM(AA73:AA73)</f>
        <v>0</v>
      </c>
      <c r="AK72" s="30">
        <f>SUM(AB73:AB73)</f>
        <v>0</v>
      </c>
    </row>
    <row r="73" spans="1:32" ht="12.75">
      <c r="A73" s="4" t="s">
        <v>51</v>
      </c>
      <c r="B73" s="4"/>
      <c r="C73" s="4" t="s">
        <v>119</v>
      </c>
      <c r="D73" s="4" t="s">
        <v>192</v>
      </c>
      <c r="E73" s="4" t="s">
        <v>208</v>
      </c>
      <c r="F73" s="14">
        <v>0.19</v>
      </c>
      <c r="G73" s="14">
        <v>0</v>
      </c>
      <c r="H73" s="14">
        <f>ROUND(F73*AE73,2)</f>
        <v>0</v>
      </c>
      <c r="I73" s="14">
        <f>J73-H73</f>
        <v>0</v>
      </c>
      <c r="J73" s="14">
        <f>ROUND(F73*G73,2)</f>
        <v>0</v>
      </c>
      <c r="K73" s="14">
        <v>0</v>
      </c>
      <c r="L73" s="14">
        <f>F73*K73</f>
        <v>0</v>
      </c>
      <c r="N73" s="26" t="s">
        <v>11</v>
      </c>
      <c r="O73" s="14">
        <f>IF(N73="5",I73,0)</f>
        <v>0</v>
      </c>
      <c r="Z73" s="14">
        <f>IF(AD73=0,J73,0)</f>
        <v>0</v>
      </c>
      <c r="AA73" s="14">
        <f>IF(AD73=15,J73,0)</f>
        <v>0</v>
      </c>
      <c r="AB73" s="14">
        <f>IF(AD73=21,J73,0)</f>
        <v>0</v>
      </c>
      <c r="AD73" s="28">
        <v>21</v>
      </c>
      <c r="AE73" s="28">
        <f>G73*0</f>
        <v>0</v>
      </c>
      <c r="AF73" s="28">
        <f>G73*(1-0)</f>
        <v>0</v>
      </c>
    </row>
    <row r="74" spans="1:37" ht="12.75">
      <c r="A74" s="5"/>
      <c r="B74" s="5"/>
      <c r="C74" s="12" t="s">
        <v>120</v>
      </c>
      <c r="D74" s="53" t="s">
        <v>178</v>
      </c>
      <c r="E74" s="54"/>
      <c r="F74" s="54"/>
      <c r="G74" s="54"/>
      <c r="H74" s="30">
        <f>SUM(H75:H75)</f>
        <v>0</v>
      </c>
      <c r="I74" s="30">
        <f>SUM(I75:I75)</f>
        <v>0</v>
      </c>
      <c r="J74" s="30">
        <f>H74+I74</f>
        <v>0</v>
      </c>
      <c r="K74" s="23"/>
      <c r="L74" s="30">
        <f>SUM(L75:L75)</f>
        <v>0</v>
      </c>
      <c r="P74" s="30">
        <f>IF(Q74="PR",J74,SUM(O75:O75))</f>
        <v>0</v>
      </c>
      <c r="Q74" s="23" t="s">
        <v>233</v>
      </c>
      <c r="R74" s="30">
        <f>IF(Q74="HS",H74,0)</f>
        <v>0</v>
      </c>
      <c r="S74" s="30">
        <f>IF(Q74="HS",I74-P74,0)</f>
        <v>0</v>
      </c>
      <c r="T74" s="30">
        <f>IF(Q74="PS",H74,0)</f>
        <v>0</v>
      </c>
      <c r="U74" s="30">
        <f>IF(Q74="PS",I74-P74,0)</f>
        <v>0</v>
      </c>
      <c r="V74" s="30">
        <f>IF(Q74="MP",H74,0)</f>
        <v>0</v>
      </c>
      <c r="W74" s="30">
        <f>IF(Q74="MP",I74-P74,0)</f>
        <v>0</v>
      </c>
      <c r="X74" s="30">
        <f>IF(Q74="OM",H74,0)</f>
        <v>0</v>
      </c>
      <c r="Y74" s="23"/>
      <c r="AI74" s="30">
        <f>SUM(Z75:Z75)</f>
        <v>0</v>
      </c>
      <c r="AJ74" s="30">
        <f>SUM(AA75:AA75)</f>
        <v>0</v>
      </c>
      <c r="AK74" s="30">
        <f>SUM(AB75:AB75)</f>
        <v>0</v>
      </c>
    </row>
    <row r="75" spans="1:32" ht="12.75">
      <c r="A75" s="4" t="s">
        <v>52</v>
      </c>
      <c r="B75" s="4"/>
      <c r="C75" s="4" t="s">
        <v>121</v>
      </c>
      <c r="D75" s="4" t="s">
        <v>193</v>
      </c>
      <c r="E75" s="4" t="s">
        <v>208</v>
      </c>
      <c r="F75" s="14">
        <v>0.59</v>
      </c>
      <c r="G75" s="14">
        <v>0</v>
      </c>
      <c r="H75" s="14">
        <f>ROUND(F75*AE75,2)</f>
        <v>0</v>
      </c>
      <c r="I75" s="14">
        <f>J75-H75</f>
        <v>0</v>
      </c>
      <c r="J75" s="14">
        <f>ROUND(F75*G75,2)</f>
        <v>0</v>
      </c>
      <c r="K75" s="14">
        <v>0</v>
      </c>
      <c r="L75" s="14">
        <f>F75*K75</f>
        <v>0</v>
      </c>
      <c r="N75" s="26" t="s">
        <v>11</v>
      </c>
      <c r="O75" s="14">
        <f>IF(N75="5",I75,0)</f>
        <v>0</v>
      </c>
      <c r="Z75" s="14">
        <f>IF(AD75=0,J75,0)</f>
        <v>0</v>
      </c>
      <c r="AA75" s="14">
        <f>IF(AD75=15,J75,0)</f>
        <v>0</v>
      </c>
      <c r="AB75" s="14">
        <f>IF(AD75=21,J75,0)</f>
        <v>0</v>
      </c>
      <c r="AD75" s="28">
        <v>21</v>
      </c>
      <c r="AE75" s="28">
        <f>G75*0</f>
        <v>0</v>
      </c>
      <c r="AF75" s="28">
        <f>G75*(1-0)</f>
        <v>0</v>
      </c>
    </row>
    <row r="76" spans="1:37" ht="12.75">
      <c r="A76" s="5"/>
      <c r="B76" s="5"/>
      <c r="C76" s="12"/>
      <c r="D76" s="53" t="s">
        <v>194</v>
      </c>
      <c r="E76" s="54"/>
      <c r="F76" s="54"/>
      <c r="G76" s="54"/>
      <c r="H76" s="30">
        <f>SUM(H77:H84)</f>
        <v>0</v>
      </c>
      <c r="I76" s="30">
        <f>SUM(I77:I84)</f>
        <v>0</v>
      </c>
      <c r="J76" s="30">
        <f>H76+I76</f>
        <v>0</v>
      </c>
      <c r="K76" s="23"/>
      <c r="L76" s="30">
        <f>SUM(L77:L84)</f>
        <v>0.20917000000000002</v>
      </c>
      <c r="P76" s="30">
        <f>IF(Q76="PR",J76,SUM(O77:O84))</f>
        <v>0</v>
      </c>
      <c r="Q76" s="23" t="s">
        <v>232</v>
      </c>
      <c r="R76" s="30">
        <f>IF(Q76="HS",H76,0)</f>
        <v>0</v>
      </c>
      <c r="S76" s="30">
        <f>IF(Q76="HS",I76-P76,0)</f>
        <v>0</v>
      </c>
      <c r="T76" s="30">
        <f>IF(Q76="PS",H76,0)</f>
        <v>0</v>
      </c>
      <c r="U76" s="30">
        <f>IF(Q76="PS",I76-P76,0)</f>
        <v>0</v>
      </c>
      <c r="V76" s="30">
        <f>IF(Q76="MP",H76,0)</f>
        <v>0</v>
      </c>
      <c r="W76" s="30">
        <f>IF(Q76="MP",I76-P76,0)</f>
        <v>0</v>
      </c>
      <c r="X76" s="30">
        <f>IF(Q76="OM",H76,0)</f>
        <v>0</v>
      </c>
      <c r="Y76" s="23"/>
      <c r="AI76" s="30">
        <f>SUM(Z77:Z84)</f>
        <v>0</v>
      </c>
      <c r="AJ76" s="30">
        <f>SUM(AA77:AA84)</f>
        <v>0</v>
      </c>
      <c r="AK76" s="30">
        <f>SUM(AB77:AB84)</f>
        <v>0</v>
      </c>
    </row>
    <row r="77" spans="1:32" ht="12.75">
      <c r="A77" s="6" t="s">
        <v>53</v>
      </c>
      <c r="B77" s="6"/>
      <c r="C77" s="6" t="s">
        <v>122</v>
      </c>
      <c r="D77" s="6" t="s">
        <v>195</v>
      </c>
      <c r="E77" s="6" t="s">
        <v>213</v>
      </c>
      <c r="F77" s="15">
        <v>1</v>
      </c>
      <c r="G77" s="15">
        <v>0</v>
      </c>
      <c r="H77" s="15">
        <f aca="true" t="shared" si="16" ref="H77:H84">ROUND(F77*AE77,2)</f>
        <v>0</v>
      </c>
      <c r="I77" s="15">
        <f aca="true" t="shared" si="17" ref="I77:I84">J77-H77</f>
        <v>0</v>
      </c>
      <c r="J77" s="15">
        <f aca="true" t="shared" si="18" ref="J77:J84">ROUND(F77*G77,2)</f>
        <v>0</v>
      </c>
      <c r="K77" s="15">
        <v>0</v>
      </c>
      <c r="L77" s="15">
        <f aca="true" t="shared" si="19" ref="L77:L84">F77*K77</f>
        <v>0</v>
      </c>
      <c r="N77" s="27" t="s">
        <v>229</v>
      </c>
      <c r="O77" s="15">
        <f aca="true" t="shared" si="20" ref="O77:O84">IF(N77="5",I77,0)</f>
        <v>0</v>
      </c>
      <c r="Z77" s="15">
        <f aca="true" t="shared" si="21" ref="Z77:Z84">IF(AD77=0,J77,0)</f>
        <v>0</v>
      </c>
      <c r="AA77" s="15">
        <f aca="true" t="shared" si="22" ref="AA77:AA84">IF(AD77=15,J77,0)</f>
        <v>0</v>
      </c>
      <c r="AB77" s="15">
        <f aca="true" t="shared" si="23" ref="AB77:AB84">IF(AD77=21,J77,0)</f>
        <v>0</v>
      </c>
      <c r="AD77" s="28">
        <v>21</v>
      </c>
      <c r="AE77" s="28">
        <f aca="true" t="shared" si="24" ref="AE77:AE84">G77*1</f>
        <v>0</v>
      </c>
      <c r="AF77" s="28">
        <f aca="true" t="shared" si="25" ref="AF77:AF84">G77*(1-1)</f>
        <v>0</v>
      </c>
    </row>
    <row r="78" spans="1:32" ht="12.75">
      <c r="A78" s="6" t="s">
        <v>54</v>
      </c>
      <c r="B78" s="6"/>
      <c r="C78" s="6" t="s">
        <v>123</v>
      </c>
      <c r="D78" s="6" t="s">
        <v>196</v>
      </c>
      <c r="E78" s="6" t="s">
        <v>213</v>
      </c>
      <c r="F78" s="15">
        <v>1</v>
      </c>
      <c r="G78" s="15">
        <v>0</v>
      </c>
      <c r="H78" s="15">
        <f t="shared" si="16"/>
        <v>0</v>
      </c>
      <c r="I78" s="15">
        <f t="shared" si="17"/>
        <v>0</v>
      </c>
      <c r="J78" s="15">
        <f t="shared" si="18"/>
        <v>0</v>
      </c>
      <c r="K78" s="15">
        <v>0</v>
      </c>
      <c r="L78" s="15">
        <f t="shared" si="19"/>
        <v>0</v>
      </c>
      <c r="N78" s="27" t="s">
        <v>229</v>
      </c>
      <c r="O78" s="15">
        <f t="shared" si="20"/>
        <v>0</v>
      </c>
      <c r="Z78" s="15">
        <f t="shared" si="21"/>
        <v>0</v>
      </c>
      <c r="AA78" s="15">
        <f t="shared" si="22"/>
        <v>0</v>
      </c>
      <c r="AB78" s="15">
        <f t="shared" si="23"/>
        <v>0</v>
      </c>
      <c r="AD78" s="28">
        <v>21</v>
      </c>
      <c r="AE78" s="28">
        <f t="shared" si="24"/>
        <v>0</v>
      </c>
      <c r="AF78" s="28">
        <f t="shared" si="25"/>
        <v>0</v>
      </c>
    </row>
    <row r="79" spans="1:32" ht="12.75">
      <c r="A79" s="6" t="s">
        <v>55</v>
      </c>
      <c r="B79" s="6"/>
      <c r="C79" s="6" t="s">
        <v>124</v>
      </c>
      <c r="D79" s="6" t="s">
        <v>197</v>
      </c>
      <c r="E79" s="6" t="s">
        <v>213</v>
      </c>
      <c r="F79" s="15">
        <v>1</v>
      </c>
      <c r="G79" s="15">
        <v>0</v>
      </c>
      <c r="H79" s="15">
        <f t="shared" si="16"/>
        <v>0</v>
      </c>
      <c r="I79" s="15">
        <f t="shared" si="17"/>
        <v>0</v>
      </c>
      <c r="J79" s="15">
        <f t="shared" si="18"/>
        <v>0</v>
      </c>
      <c r="K79" s="15">
        <v>0</v>
      </c>
      <c r="L79" s="15">
        <f t="shared" si="19"/>
        <v>0</v>
      </c>
      <c r="N79" s="27" t="s">
        <v>229</v>
      </c>
      <c r="O79" s="15">
        <f t="shared" si="20"/>
        <v>0</v>
      </c>
      <c r="Z79" s="15">
        <f t="shared" si="21"/>
        <v>0</v>
      </c>
      <c r="AA79" s="15">
        <f t="shared" si="22"/>
        <v>0</v>
      </c>
      <c r="AB79" s="15">
        <f t="shared" si="23"/>
        <v>0</v>
      </c>
      <c r="AD79" s="28">
        <v>21</v>
      </c>
      <c r="AE79" s="28">
        <f t="shared" si="24"/>
        <v>0</v>
      </c>
      <c r="AF79" s="28">
        <f t="shared" si="25"/>
        <v>0</v>
      </c>
    </row>
    <row r="80" spans="1:32" ht="12.75">
      <c r="A80" s="6" t="s">
        <v>56</v>
      </c>
      <c r="B80" s="6"/>
      <c r="C80" s="6" t="s">
        <v>125</v>
      </c>
      <c r="D80" s="6" t="s">
        <v>198</v>
      </c>
      <c r="E80" s="6" t="s">
        <v>209</v>
      </c>
      <c r="F80" s="15">
        <v>106.9</v>
      </c>
      <c r="G80" s="15">
        <v>0</v>
      </c>
      <c r="H80" s="15">
        <f t="shared" si="16"/>
        <v>0</v>
      </c>
      <c r="I80" s="15">
        <f t="shared" si="17"/>
        <v>0</v>
      </c>
      <c r="J80" s="15">
        <f t="shared" si="18"/>
        <v>0</v>
      </c>
      <c r="K80" s="15">
        <v>0</v>
      </c>
      <c r="L80" s="15">
        <f t="shared" si="19"/>
        <v>0</v>
      </c>
      <c r="N80" s="27" t="s">
        <v>229</v>
      </c>
      <c r="O80" s="15">
        <f t="shared" si="20"/>
        <v>0</v>
      </c>
      <c r="Z80" s="15">
        <f t="shared" si="21"/>
        <v>0</v>
      </c>
      <c r="AA80" s="15">
        <f t="shared" si="22"/>
        <v>0</v>
      </c>
      <c r="AB80" s="15">
        <f t="shared" si="23"/>
        <v>0</v>
      </c>
      <c r="AD80" s="28">
        <v>21</v>
      </c>
      <c r="AE80" s="28">
        <f t="shared" si="24"/>
        <v>0</v>
      </c>
      <c r="AF80" s="28">
        <f t="shared" si="25"/>
        <v>0</v>
      </c>
    </row>
    <row r="81" spans="1:32" ht="12.75">
      <c r="A81" s="6" t="s">
        <v>57</v>
      </c>
      <c r="B81" s="6"/>
      <c r="C81" s="6" t="s">
        <v>126</v>
      </c>
      <c r="D81" s="6" t="s">
        <v>199</v>
      </c>
      <c r="E81" s="6" t="s">
        <v>213</v>
      </c>
      <c r="F81" s="15">
        <v>1</v>
      </c>
      <c r="G81" s="15">
        <v>0</v>
      </c>
      <c r="H81" s="15">
        <f t="shared" si="16"/>
        <v>0</v>
      </c>
      <c r="I81" s="15">
        <f t="shared" si="17"/>
        <v>0</v>
      </c>
      <c r="J81" s="15">
        <f t="shared" si="18"/>
        <v>0</v>
      </c>
      <c r="K81" s="15">
        <v>0</v>
      </c>
      <c r="L81" s="15">
        <f t="shared" si="19"/>
        <v>0</v>
      </c>
      <c r="N81" s="27" t="s">
        <v>229</v>
      </c>
      <c r="O81" s="15">
        <f t="shared" si="20"/>
        <v>0</v>
      </c>
      <c r="Z81" s="15">
        <f t="shared" si="21"/>
        <v>0</v>
      </c>
      <c r="AA81" s="15">
        <f t="shared" si="22"/>
        <v>0</v>
      </c>
      <c r="AB81" s="15">
        <f t="shared" si="23"/>
        <v>0</v>
      </c>
      <c r="AD81" s="28">
        <v>21</v>
      </c>
      <c r="AE81" s="28">
        <f t="shared" si="24"/>
        <v>0</v>
      </c>
      <c r="AF81" s="28">
        <f t="shared" si="25"/>
        <v>0</v>
      </c>
    </row>
    <row r="82" spans="1:32" ht="12.75">
      <c r="A82" s="6" t="s">
        <v>58</v>
      </c>
      <c r="B82" s="6"/>
      <c r="C82" s="6" t="s">
        <v>127</v>
      </c>
      <c r="D82" s="6" t="s">
        <v>200</v>
      </c>
      <c r="E82" s="6" t="s">
        <v>213</v>
      </c>
      <c r="F82" s="15">
        <v>1</v>
      </c>
      <c r="G82" s="15">
        <v>0</v>
      </c>
      <c r="H82" s="15">
        <f t="shared" si="16"/>
        <v>0</v>
      </c>
      <c r="I82" s="15">
        <f t="shared" si="17"/>
        <v>0</v>
      </c>
      <c r="J82" s="15">
        <f t="shared" si="18"/>
        <v>0</v>
      </c>
      <c r="K82" s="15">
        <v>0</v>
      </c>
      <c r="L82" s="15">
        <f t="shared" si="19"/>
        <v>0</v>
      </c>
      <c r="N82" s="27" t="s">
        <v>229</v>
      </c>
      <c r="O82" s="15">
        <f t="shared" si="20"/>
        <v>0</v>
      </c>
      <c r="Z82" s="15">
        <f t="shared" si="21"/>
        <v>0</v>
      </c>
      <c r="AA82" s="15">
        <f t="shared" si="22"/>
        <v>0</v>
      </c>
      <c r="AB82" s="15">
        <f t="shared" si="23"/>
        <v>0</v>
      </c>
      <c r="AD82" s="28">
        <v>21</v>
      </c>
      <c r="AE82" s="28">
        <f t="shared" si="24"/>
        <v>0</v>
      </c>
      <c r="AF82" s="28">
        <f t="shared" si="25"/>
        <v>0</v>
      </c>
    </row>
    <row r="83" spans="1:32" ht="12.75">
      <c r="A83" s="6" t="s">
        <v>59</v>
      </c>
      <c r="B83" s="6"/>
      <c r="C83" s="6" t="s">
        <v>128</v>
      </c>
      <c r="D83" s="6" t="s">
        <v>201</v>
      </c>
      <c r="E83" s="6" t="s">
        <v>209</v>
      </c>
      <c r="F83" s="15">
        <v>81.4</v>
      </c>
      <c r="G83" s="15">
        <v>0</v>
      </c>
      <c r="H83" s="15">
        <f t="shared" si="16"/>
        <v>0</v>
      </c>
      <c r="I83" s="15">
        <f t="shared" si="17"/>
        <v>0</v>
      </c>
      <c r="J83" s="15">
        <f t="shared" si="18"/>
        <v>0</v>
      </c>
      <c r="K83" s="15">
        <v>0.00255</v>
      </c>
      <c r="L83" s="15">
        <f t="shared" si="19"/>
        <v>0.20757000000000003</v>
      </c>
      <c r="N83" s="27" t="s">
        <v>229</v>
      </c>
      <c r="O83" s="15">
        <f t="shared" si="20"/>
        <v>0</v>
      </c>
      <c r="Z83" s="15">
        <f t="shared" si="21"/>
        <v>0</v>
      </c>
      <c r="AA83" s="15">
        <f t="shared" si="22"/>
        <v>0</v>
      </c>
      <c r="AB83" s="15">
        <f t="shared" si="23"/>
        <v>0</v>
      </c>
      <c r="AD83" s="28">
        <v>21</v>
      </c>
      <c r="AE83" s="28">
        <f t="shared" si="24"/>
        <v>0</v>
      </c>
      <c r="AF83" s="28">
        <f t="shared" si="25"/>
        <v>0</v>
      </c>
    </row>
    <row r="84" spans="1:32" ht="12.75">
      <c r="A84" s="7" t="s">
        <v>60</v>
      </c>
      <c r="B84" s="7"/>
      <c r="C84" s="7" t="s">
        <v>129</v>
      </c>
      <c r="D84" s="7" t="s">
        <v>202</v>
      </c>
      <c r="E84" s="7" t="s">
        <v>211</v>
      </c>
      <c r="F84" s="16">
        <v>4</v>
      </c>
      <c r="G84" s="16">
        <v>0</v>
      </c>
      <c r="H84" s="16">
        <f t="shared" si="16"/>
        <v>0</v>
      </c>
      <c r="I84" s="16">
        <f t="shared" si="17"/>
        <v>0</v>
      </c>
      <c r="J84" s="16">
        <f t="shared" si="18"/>
        <v>0</v>
      </c>
      <c r="K84" s="16">
        <v>0.0004</v>
      </c>
      <c r="L84" s="16">
        <f t="shared" si="19"/>
        <v>0.0016</v>
      </c>
      <c r="N84" s="27" t="s">
        <v>229</v>
      </c>
      <c r="O84" s="15">
        <f t="shared" si="20"/>
        <v>0</v>
      </c>
      <c r="Z84" s="15">
        <f t="shared" si="21"/>
        <v>0</v>
      </c>
      <c r="AA84" s="15">
        <f t="shared" si="22"/>
        <v>0</v>
      </c>
      <c r="AB84" s="15">
        <f t="shared" si="23"/>
        <v>0</v>
      </c>
      <c r="AD84" s="28">
        <v>21</v>
      </c>
      <c r="AE84" s="28">
        <f t="shared" si="24"/>
        <v>0</v>
      </c>
      <c r="AF84" s="28">
        <f t="shared" si="25"/>
        <v>0</v>
      </c>
    </row>
    <row r="85" spans="1:28" ht="12.75">
      <c r="A85" s="8"/>
      <c r="B85" s="8"/>
      <c r="C85" s="8"/>
      <c r="D85" s="8"/>
      <c r="E85" s="8"/>
      <c r="F85" s="8"/>
      <c r="G85" s="8"/>
      <c r="H85" s="55" t="s">
        <v>219</v>
      </c>
      <c r="I85" s="56"/>
      <c r="J85" s="31">
        <f>J12+J16+J18+J20+J22+J24+J29+J32+J35+J39+J43+J45+J49+J56+J62+J70+J72+J74+J76</f>
        <v>0</v>
      </c>
      <c r="K85" s="8"/>
      <c r="L85" s="8"/>
      <c r="Z85" s="32">
        <f>SUM(Z13:Z84)</f>
        <v>0</v>
      </c>
      <c r="AA85" s="32">
        <f>SUM(AA13:AA84)</f>
        <v>0</v>
      </c>
      <c r="AB85" s="32">
        <f>SUM(AB13:AB84)</f>
        <v>0</v>
      </c>
    </row>
  </sheetData>
  <sheetProtection/>
  <mergeCells count="47"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  <mergeCell ref="E4:F5"/>
    <mergeCell ref="E6:F7"/>
    <mergeCell ref="E8:F9"/>
    <mergeCell ref="G2:H3"/>
    <mergeCell ref="G4:H5"/>
    <mergeCell ref="G6:H7"/>
    <mergeCell ref="G8:H9"/>
    <mergeCell ref="I2:I3"/>
    <mergeCell ref="I4:I5"/>
    <mergeCell ref="I6:I7"/>
    <mergeCell ref="I8:I9"/>
    <mergeCell ref="J2:L3"/>
    <mergeCell ref="J4:L5"/>
    <mergeCell ref="J6:L7"/>
    <mergeCell ref="J8:L9"/>
    <mergeCell ref="H10:J10"/>
    <mergeCell ref="K10:L10"/>
    <mergeCell ref="D12:G12"/>
    <mergeCell ref="D16:G16"/>
    <mergeCell ref="D18:G18"/>
    <mergeCell ref="D20:G20"/>
    <mergeCell ref="D22:G22"/>
    <mergeCell ref="D24:G24"/>
    <mergeCell ref="D29:G29"/>
    <mergeCell ref="D32:G32"/>
    <mergeCell ref="D35:G35"/>
    <mergeCell ref="D39:G39"/>
    <mergeCell ref="D72:G72"/>
    <mergeCell ref="D74:G74"/>
    <mergeCell ref="D76:G76"/>
    <mergeCell ref="H85:I85"/>
    <mergeCell ref="D43:G43"/>
    <mergeCell ref="D45:G45"/>
    <mergeCell ref="D49:G49"/>
    <mergeCell ref="D56:G56"/>
    <mergeCell ref="D62:G62"/>
    <mergeCell ref="D70:G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421875" style="0" customWidth="1"/>
    <col min="2" max="2" width="5.00390625" style="0" customWidth="1"/>
    <col min="3" max="3" width="13.28125" style="0" customWidth="1"/>
    <col min="4" max="4" width="56.57421875" style="0" customWidth="1"/>
    <col min="5" max="5" width="10.421875" style="0" customWidth="1"/>
    <col min="6" max="6" width="60.7109375" style="0" customWidth="1"/>
    <col min="7" max="7" width="8.140625" style="0" customWidth="1"/>
    <col min="8" max="8" width="44.00390625" style="0" customWidth="1"/>
  </cols>
  <sheetData>
    <row r="1" spans="1:7" ht="21.75" customHeight="1">
      <c r="A1" s="71" t="s">
        <v>243</v>
      </c>
      <c r="B1" s="72"/>
      <c r="C1" s="72"/>
      <c r="D1" s="72"/>
      <c r="E1" s="72"/>
      <c r="F1" s="72"/>
      <c r="G1" s="72"/>
    </row>
    <row r="2" spans="1:8" ht="12.75">
      <c r="A2" s="73" t="s">
        <v>1</v>
      </c>
      <c r="B2" s="66"/>
      <c r="C2" s="55" t="s">
        <v>130</v>
      </c>
      <c r="D2" s="56"/>
      <c r="E2" s="62" t="s">
        <v>220</v>
      </c>
      <c r="F2" s="62" t="s">
        <v>225</v>
      </c>
      <c r="G2" s="67"/>
      <c r="H2" s="24"/>
    </row>
    <row r="3" spans="1:8" ht="12.75">
      <c r="A3" s="74"/>
      <c r="B3" s="63"/>
      <c r="C3" s="77"/>
      <c r="D3" s="77"/>
      <c r="E3" s="63"/>
      <c r="F3" s="63"/>
      <c r="G3" s="68"/>
      <c r="H3" s="24"/>
    </row>
    <row r="4" spans="1:8" ht="12.75">
      <c r="A4" s="75" t="s">
        <v>2</v>
      </c>
      <c r="B4" s="63"/>
      <c r="C4" s="64" t="s">
        <v>131</v>
      </c>
      <c r="D4" s="63"/>
      <c r="E4" s="64" t="s">
        <v>221</v>
      </c>
      <c r="F4" s="64" t="s">
        <v>226</v>
      </c>
      <c r="G4" s="68"/>
      <c r="H4" s="24"/>
    </row>
    <row r="5" spans="1:8" ht="12.75">
      <c r="A5" s="74"/>
      <c r="B5" s="63"/>
      <c r="C5" s="63"/>
      <c r="D5" s="63"/>
      <c r="E5" s="63"/>
      <c r="F5" s="63"/>
      <c r="G5" s="68"/>
      <c r="H5" s="24"/>
    </row>
    <row r="6" spans="1:8" ht="12.75">
      <c r="A6" s="75" t="s">
        <v>3</v>
      </c>
      <c r="B6" s="63"/>
      <c r="C6" s="64" t="s">
        <v>132</v>
      </c>
      <c r="D6" s="63"/>
      <c r="E6" s="64" t="s">
        <v>222</v>
      </c>
      <c r="F6" s="64"/>
      <c r="G6" s="68"/>
      <c r="H6" s="24"/>
    </row>
    <row r="7" spans="1:8" ht="12.75">
      <c r="A7" s="74"/>
      <c r="B7" s="63"/>
      <c r="C7" s="63"/>
      <c r="D7" s="63"/>
      <c r="E7" s="63"/>
      <c r="F7" s="63"/>
      <c r="G7" s="68"/>
      <c r="H7" s="24"/>
    </row>
    <row r="8" spans="1:8" ht="12.75">
      <c r="A8" s="75" t="s">
        <v>223</v>
      </c>
      <c r="B8" s="63"/>
      <c r="C8" s="64"/>
      <c r="D8" s="63"/>
      <c r="E8" s="64" t="s">
        <v>206</v>
      </c>
      <c r="F8" s="70"/>
      <c r="G8" s="68"/>
      <c r="H8" s="24"/>
    </row>
    <row r="9" spans="1:8" ht="12.75">
      <c r="A9" s="76"/>
      <c r="B9" s="65"/>
      <c r="C9" s="65"/>
      <c r="D9" s="65"/>
      <c r="E9" s="65"/>
      <c r="F9" s="65"/>
      <c r="G9" s="69"/>
      <c r="H9" s="38"/>
    </row>
    <row r="10" spans="1:9" ht="12.75">
      <c r="A10" s="33" t="s">
        <v>6</v>
      </c>
      <c r="B10" s="35" t="s">
        <v>61</v>
      </c>
      <c r="C10" s="35" t="s">
        <v>62</v>
      </c>
      <c r="D10" s="35" t="s">
        <v>134</v>
      </c>
      <c r="E10" s="35" t="s">
        <v>207</v>
      </c>
      <c r="F10" s="35" t="s">
        <v>244</v>
      </c>
      <c r="G10" s="36" t="s">
        <v>214</v>
      </c>
      <c r="H10" s="39" t="s">
        <v>281</v>
      </c>
      <c r="I10" s="25"/>
    </row>
    <row r="11" spans="1:8" ht="12.75">
      <c r="A11" s="34" t="s">
        <v>7</v>
      </c>
      <c r="B11" s="34"/>
      <c r="C11" s="34" t="s">
        <v>63</v>
      </c>
      <c r="D11" s="34" t="s">
        <v>136</v>
      </c>
      <c r="E11" s="34" t="s">
        <v>208</v>
      </c>
      <c r="F11" s="34" t="s">
        <v>245</v>
      </c>
      <c r="G11" s="37">
        <v>16.38</v>
      </c>
      <c r="H11" s="40"/>
    </row>
    <row r="12" spans="1:7" ht="12.75">
      <c r="A12" s="4" t="s">
        <v>8</v>
      </c>
      <c r="B12" s="4"/>
      <c r="C12" s="4" t="s">
        <v>64</v>
      </c>
      <c r="D12" s="4" t="s">
        <v>137</v>
      </c>
      <c r="E12" s="4" t="s">
        <v>208</v>
      </c>
      <c r="F12" s="4"/>
      <c r="G12" s="14">
        <v>16.38</v>
      </c>
    </row>
    <row r="13" spans="1:7" ht="12.75">
      <c r="A13" s="4" t="s">
        <v>9</v>
      </c>
      <c r="B13" s="4"/>
      <c r="C13" s="4" t="s">
        <v>65</v>
      </c>
      <c r="D13" s="4" t="s">
        <v>138</v>
      </c>
      <c r="E13" s="4" t="s">
        <v>208</v>
      </c>
      <c r="F13" s="4"/>
      <c r="G13" s="14">
        <v>16.38</v>
      </c>
    </row>
    <row r="14" spans="1:7" ht="12.75">
      <c r="A14" s="4" t="s">
        <v>10</v>
      </c>
      <c r="B14" s="4"/>
      <c r="C14" s="4" t="s">
        <v>67</v>
      </c>
      <c r="D14" s="4" t="s">
        <v>140</v>
      </c>
      <c r="E14" s="4" t="s">
        <v>208</v>
      </c>
      <c r="F14" s="4" t="s">
        <v>246</v>
      </c>
      <c r="G14" s="14">
        <v>7.82</v>
      </c>
    </row>
    <row r="15" spans="1:7" ht="12.75">
      <c r="A15" s="4" t="s">
        <v>11</v>
      </c>
      <c r="B15" s="4"/>
      <c r="C15" s="4" t="s">
        <v>68</v>
      </c>
      <c r="D15" s="4" t="s">
        <v>142</v>
      </c>
      <c r="E15" s="4" t="s">
        <v>209</v>
      </c>
      <c r="F15" s="4"/>
      <c r="G15" s="14">
        <v>100.4</v>
      </c>
    </row>
    <row r="16" spans="1:8" ht="25.5">
      <c r="A16" s="4" t="s">
        <v>12</v>
      </c>
      <c r="B16" s="4"/>
      <c r="C16" s="4" t="s">
        <v>69</v>
      </c>
      <c r="D16" s="4" t="s">
        <v>144</v>
      </c>
      <c r="E16" s="4" t="s">
        <v>210</v>
      </c>
      <c r="F16" s="4" t="s">
        <v>247</v>
      </c>
      <c r="G16" s="14">
        <v>2.25</v>
      </c>
      <c r="H16" s="41" t="s">
        <v>282</v>
      </c>
    </row>
    <row r="17" spans="1:7" ht="12.75">
      <c r="A17" s="4" t="s">
        <v>13</v>
      </c>
      <c r="B17" s="4"/>
      <c r="C17" s="4" t="s">
        <v>70</v>
      </c>
      <c r="D17" s="4" t="s">
        <v>146</v>
      </c>
      <c r="E17" s="4" t="s">
        <v>209</v>
      </c>
      <c r="F17" s="4" t="s">
        <v>248</v>
      </c>
      <c r="G17" s="14">
        <v>87.5</v>
      </c>
    </row>
    <row r="18" spans="1:7" ht="12.75">
      <c r="A18" s="4"/>
      <c r="B18" s="4"/>
      <c r="C18" s="4"/>
      <c r="D18" s="4"/>
      <c r="E18" s="4"/>
      <c r="F18" s="4" t="s">
        <v>249</v>
      </c>
      <c r="G18" s="14">
        <v>0</v>
      </c>
    </row>
    <row r="19" spans="1:7" ht="12.75">
      <c r="A19" s="4"/>
      <c r="B19" s="4"/>
      <c r="C19" s="4"/>
      <c r="D19" s="4"/>
      <c r="E19" s="4"/>
      <c r="F19" s="4" t="s">
        <v>250</v>
      </c>
      <c r="G19" s="14">
        <v>0</v>
      </c>
    </row>
    <row r="20" spans="1:7" ht="12.75">
      <c r="A20" s="4" t="s">
        <v>14</v>
      </c>
      <c r="B20" s="4"/>
      <c r="C20" s="4" t="s">
        <v>71</v>
      </c>
      <c r="D20" s="4" t="s">
        <v>148</v>
      </c>
      <c r="E20" s="4" t="s">
        <v>209</v>
      </c>
      <c r="F20" s="4"/>
      <c r="G20" s="14">
        <v>100.4</v>
      </c>
    </row>
    <row r="21" spans="1:8" ht="12.75">
      <c r="A21" s="4" t="s">
        <v>15</v>
      </c>
      <c r="B21" s="4"/>
      <c r="C21" s="4" t="s">
        <v>72</v>
      </c>
      <c r="D21" s="4" t="s">
        <v>149</v>
      </c>
      <c r="E21" s="4" t="s">
        <v>209</v>
      </c>
      <c r="F21" s="4"/>
      <c r="G21" s="14">
        <v>100.4</v>
      </c>
      <c r="H21" s="41" t="s">
        <v>283</v>
      </c>
    </row>
    <row r="22" spans="1:8" ht="12.75">
      <c r="A22" s="4" t="s">
        <v>16</v>
      </c>
      <c r="B22" s="4"/>
      <c r="C22" s="4" t="s">
        <v>73</v>
      </c>
      <c r="D22" s="4" t="s">
        <v>150</v>
      </c>
      <c r="E22" s="4" t="s">
        <v>209</v>
      </c>
      <c r="F22" s="4" t="s">
        <v>251</v>
      </c>
      <c r="G22" s="14">
        <v>14.28</v>
      </c>
      <c r="H22" s="41" t="s">
        <v>284</v>
      </c>
    </row>
    <row r="23" spans="1:8" ht="12.75">
      <c r="A23" s="4" t="s">
        <v>17</v>
      </c>
      <c r="B23" s="4"/>
      <c r="C23" s="4" t="s">
        <v>74</v>
      </c>
      <c r="D23" s="4" t="s">
        <v>151</v>
      </c>
      <c r="E23" s="4" t="s">
        <v>209</v>
      </c>
      <c r="F23" s="4"/>
      <c r="G23" s="14">
        <v>14.28</v>
      </c>
      <c r="H23" s="41" t="s">
        <v>285</v>
      </c>
    </row>
    <row r="24" spans="1:7" ht="12.75">
      <c r="A24" s="4" t="s">
        <v>18</v>
      </c>
      <c r="B24" s="4"/>
      <c r="C24" s="4" t="s">
        <v>76</v>
      </c>
      <c r="D24" s="4" t="s">
        <v>152</v>
      </c>
      <c r="E24" s="4" t="s">
        <v>209</v>
      </c>
      <c r="F24" s="4" t="s">
        <v>252</v>
      </c>
      <c r="G24" s="14">
        <v>15</v>
      </c>
    </row>
    <row r="25" spans="1:7" ht="12.75">
      <c r="A25" s="4" t="s">
        <v>19</v>
      </c>
      <c r="B25" s="4"/>
      <c r="C25" s="4" t="s">
        <v>77</v>
      </c>
      <c r="D25" s="4" t="s">
        <v>153</v>
      </c>
      <c r="E25" s="4" t="s">
        <v>209</v>
      </c>
      <c r="F25" s="4"/>
      <c r="G25" s="14">
        <v>15</v>
      </c>
    </row>
    <row r="26" spans="1:7" ht="12.75">
      <c r="A26" s="4" t="s">
        <v>20</v>
      </c>
      <c r="B26" s="4"/>
      <c r="C26" s="4" t="s">
        <v>79</v>
      </c>
      <c r="D26" s="4" t="s">
        <v>155</v>
      </c>
      <c r="E26" s="4" t="s">
        <v>209</v>
      </c>
      <c r="F26" s="4" t="s">
        <v>253</v>
      </c>
      <c r="G26" s="14">
        <v>200.42</v>
      </c>
    </row>
    <row r="27" spans="1:7" ht="12.75">
      <c r="A27" s="4" t="s">
        <v>21</v>
      </c>
      <c r="B27" s="4"/>
      <c r="C27" s="4" t="s">
        <v>80</v>
      </c>
      <c r="D27" s="4" t="s">
        <v>156</v>
      </c>
      <c r="E27" s="4" t="s">
        <v>209</v>
      </c>
      <c r="F27" s="4" t="s">
        <v>254</v>
      </c>
      <c r="G27" s="14">
        <v>93</v>
      </c>
    </row>
    <row r="28" spans="1:7" ht="12.75">
      <c r="A28" s="4" t="s">
        <v>22</v>
      </c>
      <c r="B28" s="4"/>
      <c r="C28" s="4" t="s">
        <v>82</v>
      </c>
      <c r="D28" s="4" t="s">
        <v>158</v>
      </c>
      <c r="E28" s="4" t="s">
        <v>209</v>
      </c>
      <c r="F28" s="4" t="s">
        <v>255</v>
      </c>
      <c r="G28" s="14">
        <v>22.5</v>
      </c>
    </row>
    <row r="29" spans="1:7" ht="12.75">
      <c r="A29" s="4" t="s">
        <v>23</v>
      </c>
      <c r="B29" s="4"/>
      <c r="C29" s="4" t="s">
        <v>83</v>
      </c>
      <c r="D29" s="4" t="s">
        <v>159</v>
      </c>
      <c r="E29" s="4" t="s">
        <v>211</v>
      </c>
      <c r="F29" s="4"/>
      <c r="G29" s="14">
        <v>1</v>
      </c>
    </row>
    <row r="30" spans="1:7" ht="12.75">
      <c r="A30" s="4" t="s">
        <v>24</v>
      </c>
      <c r="B30" s="4"/>
      <c r="C30" s="4" t="s">
        <v>84</v>
      </c>
      <c r="D30" s="4" t="s">
        <v>160</v>
      </c>
      <c r="E30" s="4" t="s">
        <v>209</v>
      </c>
      <c r="F30" s="4"/>
      <c r="G30" s="14">
        <v>2</v>
      </c>
    </row>
    <row r="31" spans="1:7" ht="12.75">
      <c r="A31" s="4" t="s">
        <v>25</v>
      </c>
      <c r="B31" s="4"/>
      <c r="C31" s="4" t="s">
        <v>86</v>
      </c>
      <c r="D31" s="4" t="s">
        <v>162</v>
      </c>
      <c r="E31" s="4" t="s">
        <v>209</v>
      </c>
      <c r="F31" s="4" t="s">
        <v>256</v>
      </c>
      <c r="G31" s="14">
        <v>100.4</v>
      </c>
    </row>
    <row r="32" spans="1:7" ht="12.75">
      <c r="A32" s="4"/>
      <c r="B32" s="4"/>
      <c r="C32" s="4"/>
      <c r="D32" s="4"/>
      <c r="E32" s="4"/>
      <c r="F32" s="4" t="s">
        <v>257</v>
      </c>
      <c r="G32" s="14">
        <v>0</v>
      </c>
    </row>
    <row r="33" spans="1:7" ht="12.75">
      <c r="A33" s="4" t="s">
        <v>26</v>
      </c>
      <c r="B33" s="4"/>
      <c r="C33" s="4" t="s">
        <v>87</v>
      </c>
      <c r="D33" s="4" t="s">
        <v>163</v>
      </c>
      <c r="E33" s="4" t="s">
        <v>209</v>
      </c>
      <c r="F33" s="4"/>
      <c r="G33" s="14">
        <v>100.4</v>
      </c>
    </row>
    <row r="34" spans="1:7" ht="12.75">
      <c r="A34" s="4" t="s">
        <v>27</v>
      </c>
      <c r="B34" s="4"/>
      <c r="C34" s="4" t="s">
        <v>88</v>
      </c>
      <c r="D34" s="4" t="s">
        <v>164</v>
      </c>
      <c r="E34" s="4" t="s">
        <v>209</v>
      </c>
      <c r="F34" s="4" t="s">
        <v>256</v>
      </c>
      <c r="G34" s="14">
        <v>106.55</v>
      </c>
    </row>
    <row r="35" spans="1:7" ht="12.75">
      <c r="A35" s="4"/>
      <c r="B35" s="4"/>
      <c r="C35" s="4"/>
      <c r="D35" s="4"/>
      <c r="E35" s="4"/>
      <c r="F35" s="4" t="s">
        <v>258</v>
      </c>
      <c r="G35" s="14">
        <v>0</v>
      </c>
    </row>
    <row r="36" spans="1:7" ht="12.75">
      <c r="A36" s="4"/>
      <c r="B36" s="4"/>
      <c r="C36" s="4"/>
      <c r="D36" s="4"/>
      <c r="E36" s="4"/>
      <c r="F36" s="4" t="s">
        <v>259</v>
      </c>
      <c r="G36" s="14">
        <v>0</v>
      </c>
    </row>
    <row r="37" spans="1:7" ht="12.75">
      <c r="A37" s="4"/>
      <c r="B37" s="4"/>
      <c r="C37" s="4"/>
      <c r="D37" s="4"/>
      <c r="E37" s="4"/>
      <c r="F37" s="4" t="s">
        <v>260</v>
      </c>
      <c r="G37" s="14">
        <v>0</v>
      </c>
    </row>
    <row r="38" spans="1:7" ht="12.75">
      <c r="A38" s="4" t="s">
        <v>28</v>
      </c>
      <c r="B38" s="4"/>
      <c r="C38" s="4" t="s">
        <v>90</v>
      </c>
      <c r="D38" s="4" t="s">
        <v>166</v>
      </c>
      <c r="E38" s="4" t="s">
        <v>211</v>
      </c>
      <c r="F38" s="4"/>
      <c r="G38" s="14">
        <v>4</v>
      </c>
    </row>
    <row r="39" spans="1:7" ht="12.75">
      <c r="A39" s="4" t="s">
        <v>29</v>
      </c>
      <c r="B39" s="4"/>
      <c r="C39" s="4" t="s">
        <v>92</v>
      </c>
      <c r="D39" s="4" t="s">
        <v>168</v>
      </c>
      <c r="E39" s="4" t="s">
        <v>209</v>
      </c>
      <c r="F39" s="4" t="s">
        <v>261</v>
      </c>
      <c r="G39" s="14">
        <v>51</v>
      </c>
    </row>
    <row r="40" spans="1:7" ht="12.75">
      <c r="A40" s="4" t="s">
        <v>30</v>
      </c>
      <c r="B40" s="4"/>
      <c r="C40" s="4" t="s">
        <v>93</v>
      </c>
      <c r="D40" s="4" t="s">
        <v>169</v>
      </c>
      <c r="E40" s="4" t="s">
        <v>209</v>
      </c>
      <c r="F40" s="4"/>
      <c r="G40" s="14">
        <v>51</v>
      </c>
    </row>
    <row r="41" spans="1:7" ht="12.75">
      <c r="A41" s="4" t="s">
        <v>31</v>
      </c>
      <c r="B41" s="4"/>
      <c r="C41" s="4" t="s">
        <v>94</v>
      </c>
      <c r="D41" s="4" t="s">
        <v>170</v>
      </c>
      <c r="E41" s="4" t="s">
        <v>209</v>
      </c>
      <c r="F41" s="4"/>
      <c r="G41" s="14">
        <v>51</v>
      </c>
    </row>
    <row r="42" spans="1:7" ht="12.75">
      <c r="A42" s="4" t="s">
        <v>32</v>
      </c>
      <c r="B42" s="4"/>
      <c r="C42" s="4" t="s">
        <v>96</v>
      </c>
      <c r="D42" s="4" t="s">
        <v>172</v>
      </c>
      <c r="E42" s="4" t="s">
        <v>209</v>
      </c>
      <c r="F42" s="4"/>
      <c r="G42" s="14">
        <v>74.07</v>
      </c>
    </row>
    <row r="43" spans="1:7" ht="12.75">
      <c r="A43" s="4" t="s">
        <v>33</v>
      </c>
      <c r="B43" s="4"/>
      <c r="C43" s="4" t="s">
        <v>97</v>
      </c>
      <c r="D43" s="4" t="s">
        <v>173</v>
      </c>
      <c r="E43" s="4" t="s">
        <v>209</v>
      </c>
      <c r="F43" s="4"/>
      <c r="G43" s="14">
        <v>74.01</v>
      </c>
    </row>
    <row r="44" spans="1:8" ht="12.75">
      <c r="A44" s="4" t="s">
        <v>34</v>
      </c>
      <c r="B44" s="4"/>
      <c r="C44" s="4" t="s">
        <v>98</v>
      </c>
      <c r="D44" s="4" t="s">
        <v>174</v>
      </c>
      <c r="E44" s="4" t="s">
        <v>212</v>
      </c>
      <c r="F44" s="4" t="s">
        <v>262</v>
      </c>
      <c r="G44" s="14">
        <v>22.95</v>
      </c>
      <c r="H44" s="41" t="s">
        <v>286</v>
      </c>
    </row>
    <row r="45" spans="1:8" ht="12.75">
      <c r="A45" s="4" t="s">
        <v>35</v>
      </c>
      <c r="B45" s="4"/>
      <c r="C45" s="4" t="s">
        <v>99</v>
      </c>
      <c r="D45" s="4" t="s">
        <v>175</v>
      </c>
      <c r="E45" s="4" t="s">
        <v>209</v>
      </c>
      <c r="F45" s="4" t="s">
        <v>263</v>
      </c>
      <c r="G45" s="14">
        <v>125.07</v>
      </c>
      <c r="H45" s="41" t="s">
        <v>287</v>
      </c>
    </row>
    <row r="46" spans="1:7" ht="12.75">
      <c r="A46" s="4"/>
      <c r="B46" s="4"/>
      <c r="C46" s="4"/>
      <c r="D46" s="4"/>
      <c r="E46" s="4"/>
      <c r="F46" s="4" t="s">
        <v>264</v>
      </c>
      <c r="G46" s="14">
        <v>0</v>
      </c>
    </row>
    <row r="47" spans="1:7" ht="12.75">
      <c r="A47" s="4"/>
      <c r="B47" s="4"/>
      <c r="C47" s="4"/>
      <c r="D47" s="4"/>
      <c r="E47" s="4"/>
      <c r="F47" s="4" t="s">
        <v>265</v>
      </c>
      <c r="G47" s="14">
        <v>0</v>
      </c>
    </row>
    <row r="48" spans="1:7" ht="12.75">
      <c r="A48" s="4" t="s">
        <v>36</v>
      </c>
      <c r="B48" s="4"/>
      <c r="C48" s="4" t="s">
        <v>100</v>
      </c>
      <c r="D48" s="4" t="s">
        <v>176</v>
      </c>
      <c r="E48" s="4" t="s">
        <v>209</v>
      </c>
      <c r="F48" s="4" t="s">
        <v>266</v>
      </c>
      <c r="G48" s="14">
        <v>74.07</v>
      </c>
    </row>
    <row r="49" spans="1:7" ht="12.75">
      <c r="A49" s="4" t="s">
        <v>37</v>
      </c>
      <c r="B49" s="4"/>
      <c r="C49" s="4" t="s">
        <v>101</v>
      </c>
      <c r="D49" s="4" t="s">
        <v>177</v>
      </c>
      <c r="E49" s="4" t="s">
        <v>209</v>
      </c>
      <c r="F49" s="4"/>
      <c r="G49" s="14">
        <v>74</v>
      </c>
    </row>
    <row r="50" spans="1:7" ht="12.75">
      <c r="A50" s="4" t="s">
        <v>38</v>
      </c>
      <c r="B50" s="4"/>
      <c r="C50" s="4" t="s">
        <v>103</v>
      </c>
      <c r="D50" s="4" t="s">
        <v>179</v>
      </c>
      <c r="E50" s="4" t="s">
        <v>209</v>
      </c>
      <c r="F50" s="4"/>
      <c r="G50" s="14">
        <v>97.18</v>
      </c>
    </row>
    <row r="51" spans="1:8" ht="12.75">
      <c r="A51" s="4" t="s">
        <v>39</v>
      </c>
      <c r="B51" s="4"/>
      <c r="C51" s="4" t="s">
        <v>104</v>
      </c>
      <c r="D51" s="4" t="s">
        <v>180</v>
      </c>
      <c r="E51" s="4" t="s">
        <v>209</v>
      </c>
      <c r="F51" s="4"/>
      <c r="G51" s="14">
        <v>97.18</v>
      </c>
      <c r="H51" s="41" t="s">
        <v>288</v>
      </c>
    </row>
    <row r="52" spans="1:7" ht="12.75">
      <c r="A52" s="4" t="s">
        <v>40</v>
      </c>
      <c r="B52" s="4"/>
      <c r="C52" s="4" t="s">
        <v>105</v>
      </c>
      <c r="D52" s="4" t="s">
        <v>181</v>
      </c>
      <c r="E52" s="4" t="s">
        <v>209</v>
      </c>
      <c r="F52" s="4" t="s">
        <v>267</v>
      </c>
      <c r="G52" s="14">
        <v>15.15</v>
      </c>
    </row>
    <row r="53" spans="1:8" ht="12.75">
      <c r="A53" s="4" t="s">
        <v>41</v>
      </c>
      <c r="B53" s="4"/>
      <c r="C53" s="4" t="s">
        <v>106</v>
      </c>
      <c r="D53" s="4" t="s">
        <v>182</v>
      </c>
      <c r="E53" s="4" t="s">
        <v>209</v>
      </c>
      <c r="F53" s="4" t="s">
        <v>268</v>
      </c>
      <c r="G53" s="14">
        <v>97.18</v>
      </c>
      <c r="H53" s="41" t="s">
        <v>289</v>
      </c>
    </row>
    <row r="54" spans="1:7" ht="12.75">
      <c r="A54" s="4"/>
      <c r="B54" s="4"/>
      <c r="C54" s="4"/>
      <c r="D54" s="4"/>
      <c r="E54" s="4"/>
      <c r="F54" s="4" t="s">
        <v>269</v>
      </c>
      <c r="G54" s="14">
        <v>0</v>
      </c>
    </row>
    <row r="55" spans="1:7" ht="12.75">
      <c r="A55" s="4"/>
      <c r="B55" s="4"/>
      <c r="C55" s="4"/>
      <c r="D55" s="4"/>
      <c r="E55" s="4"/>
      <c r="F55" s="4" t="s">
        <v>259</v>
      </c>
      <c r="G55" s="14">
        <v>0</v>
      </c>
    </row>
    <row r="56" spans="1:7" ht="12.75">
      <c r="A56" s="4"/>
      <c r="B56" s="4"/>
      <c r="C56" s="4"/>
      <c r="D56" s="4"/>
      <c r="E56" s="4"/>
      <c r="F56" s="4" t="s">
        <v>260</v>
      </c>
      <c r="G56" s="14">
        <v>0</v>
      </c>
    </row>
    <row r="57" spans="1:7" ht="12.75">
      <c r="A57" s="4"/>
      <c r="B57" s="4"/>
      <c r="C57" s="4"/>
      <c r="D57" s="4"/>
      <c r="E57" s="4"/>
      <c r="F57" s="4" t="s">
        <v>270</v>
      </c>
      <c r="G57" s="14">
        <v>0</v>
      </c>
    </row>
    <row r="58" spans="1:8" ht="12.75">
      <c r="A58" s="4" t="s">
        <v>42</v>
      </c>
      <c r="B58" s="4"/>
      <c r="C58" s="4" t="s">
        <v>107</v>
      </c>
      <c r="D58" s="4" t="s">
        <v>183</v>
      </c>
      <c r="E58" s="4" t="s">
        <v>209</v>
      </c>
      <c r="F58" s="4"/>
      <c r="G58" s="14">
        <v>97.18</v>
      </c>
      <c r="H58" s="41" t="s">
        <v>290</v>
      </c>
    </row>
    <row r="59" spans="1:7" ht="12.75">
      <c r="A59" s="4" t="s">
        <v>43</v>
      </c>
      <c r="B59" s="4"/>
      <c r="C59" s="4" t="s">
        <v>109</v>
      </c>
      <c r="D59" s="4" t="s">
        <v>184</v>
      </c>
      <c r="E59" s="4" t="s">
        <v>209</v>
      </c>
      <c r="F59" s="4"/>
      <c r="G59" s="14">
        <v>87.5</v>
      </c>
    </row>
    <row r="60" spans="1:7" ht="12.75">
      <c r="A60" s="4" t="s">
        <v>44</v>
      </c>
      <c r="B60" s="4"/>
      <c r="C60" s="4" t="s">
        <v>110</v>
      </c>
      <c r="D60" s="4" t="s">
        <v>185</v>
      </c>
      <c r="E60" s="4" t="s">
        <v>209</v>
      </c>
      <c r="F60" s="4"/>
      <c r="G60" s="14">
        <v>87.5</v>
      </c>
    </row>
    <row r="61" spans="1:7" ht="12.75">
      <c r="A61" s="4" t="s">
        <v>45</v>
      </c>
      <c r="B61" s="4"/>
      <c r="C61" s="4" t="s">
        <v>111</v>
      </c>
      <c r="D61" s="4" t="s">
        <v>186</v>
      </c>
      <c r="E61" s="4" t="s">
        <v>209</v>
      </c>
      <c r="F61" s="4"/>
      <c r="G61" s="14">
        <v>898.9</v>
      </c>
    </row>
    <row r="62" spans="1:7" ht="12.75">
      <c r="A62" s="4" t="s">
        <v>46</v>
      </c>
      <c r="B62" s="4"/>
      <c r="C62" s="4" t="s">
        <v>112</v>
      </c>
      <c r="D62" s="4" t="s">
        <v>187</v>
      </c>
      <c r="E62" s="4" t="s">
        <v>209</v>
      </c>
      <c r="F62" s="4"/>
      <c r="G62" s="14">
        <v>898.9</v>
      </c>
    </row>
    <row r="63" spans="1:7" ht="12.75">
      <c r="A63" s="4" t="s">
        <v>47</v>
      </c>
      <c r="B63" s="4"/>
      <c r="C63" s="4" t="s">
        <v>113</v>
      </c>
      <c r="D63" s="4" t="s">
        <v>188</v>
      </c>
      <c r="E63" s="4" t="s">
        <v>209</v>
      </c>
      <c r="F63" s="4" t="s">
        <v>271</v>
      </c>
      <c r="G63" s="14">
        <v>898.9</v>
      </c>
    </row>
    <row r="64" spans="1:7" ht="12.75">
      <c r="A64" s="4"/>
      <c r="B64" s="4"/>
      <c r="C64" s="4"/>
      <c r="D64" s="4"/>
      <c r="E64" s="4"/>
      <c r="F64" s="4"/>
      <c r="G64" s="14">
        <v>0</v>
      </c>
    </row>
    <row r="65" spans="1:7" ht="12.75">
      <c r="A65" s="4"/>
      <c r="B65" s="4"/>
      <c r="C65" s="4"/>
      <c r="D65" s="4"/>
      <c r="E65" s="4"/>
      <c r="F65" s="4" t="s">
        <v>272</v>
      </c>
      <c r="G65" s="14">
        <v>0</v>
      </c>
    </row>
    <row r="66" spans="1:7" ht="12.75">
      <c r="A66" s="4"/>
      <c r="B66" s="4"/>
      <c r="C66" s="4"/>
      <c r="D66" s="4"/>
      <c r="E66" s="4"/>
      <c r="F66" s="4" t="s">
        <v>273</v>
      </c>
      <c r="G66" s="14">
        <v>0</v>
      </c>
    </row>
    <row r="67" spans="1:7" ht="12.75">
      <c r="A67" s="4"/>
      <c r="B67" s="4"/>
      <c r="C67" s="4"/>
      <c r="D67" s="4"/>
      <c r="E67" s="4"/>
      <c r="F67" s="4" t="s">
        <v>274</v>
      </c>
      <c r="G67" s="14">
        <v>0</v>
      </c>
    </row>
    <row r="68" spans="1:7" ht="12.75">
      <c r="A68" s="4"/>
      <c r="B68" s="4"/>
      <c r="C68" s="4"/>
      <c r="D68" s="4"/>
      <c r="E68" s="4"/>
      <c r="F68" s="4" t="s">
        <v>275</v>
      </c>
      <c r="G68" s="14">
        <v>0</v>
      </c>
    </row>
    <row r="69" spans="1:7" ht="12.75">
      <c r="A69" s="4"/>
      <c r="B69" s="4"/>
      <c r="C69" s="4"/>
      <c r="D69" s="4"/>
      <c r="E69" s="4"/>
      <c r="F69" s="4" t="s">
        <v>276</v>
      </c>
      <c r="G69" s="14">
        <v>0</v>
      </c>
    </row>
    <row r="70" spans="1:7" ht="12.75">
      <c r="A70" s="4"/>
      <c r="B70" s="4"/>
      <c r="C70" s="4"/>
      <c r="D70" s="4"/>
      <c r="E70" s="4"/>
      <c r="F70" s="4" t="s">
        <v>277</v>
      </c>
      <c r="G70" s="14">
        <v>0</v>
      </c>
    </row>
    <row r="71" spans="1:7" ht="12.75">
      <c r="A71" s="4" t="s">
        <v>48</v>
      </c>
      <c r="B71" s="4"/>
      <c r="C71" s="4" t="s">
        <v>114</v>
      </c>
      <c r="D71" s="4" t="s">
        <v>189</v>
      </c>
      <c r="E71" s="4" t="s">
        <v>209</v>
      </c>
      <c r="F71" s="4"/>
      <c r="G71" s="14">
        <v>87.5</v>
      </c>
    </row>
    <row r="72" spans="1:7" ht="12.75">
      <c r="A72" s="4" t="s">
        <v>49</v>
      </c>
      <c r="B72" s="4"/>
      <c r="C72" s="4" t="s">
        <v>115</v>
      </c>
      <c r="D72" s="4" t="s">
        <v>190</v>
      </c>
      <c r="E72" s="4" t="s">
        <v>209</v>
      </c>
      <c r="F72" s="4"/>
      <c r="G72" s="14">
        <v>898.9</v>
      </c>
    </row>
    <row r="73" spans="1:7" ht="12.75">
      <c r="A73" s="4" t="s">
        <v>50</v>
      </c>
      <c r="B73" s="4"/>
      <c r="C73" s="4" t="s">
        <v>117</v>
      </c>
      <c r="D73" s="4" t="s">
        <v>191</v>
      </c>
      <c r="E73" s="4" t="s">
        <v>208</v>
      </c>
      <c r="F73" s="4"/>
      <c r="G73" s="14">
        <v>0.05</v>
      </c>
    </row>
    <row r="74" spans="1:7" ht="12.75">
      <c r="A74" s="4" t="s">
        <v>51</v>
      </c>
      <c r="B74" s="4"/>
      <c r="C74" s="4" t="s">
        <v>119</v>
      </c>
      <c r="D74" s="4" t="s">
        <v>192</v>
      </c>
      <c r="E74" s="4" t="s">
        <v>208</v>
      </c>
      <c r="F74" s="4"/>
      <c r="G74" s="14">
        <v>0.19</v>
      </c>
    </row>
    <row r="75" spans="1:7" ht="12.75">
      <c r="A75" s="4" t="s">
        <v>52</v>
      </c>
      <c r="B75" s="4"/>
      <c r="C75" s="4" t="s">
        <v>121</v>
      </c>
      <c r="D75" s="4" t="s">
        <v>193</v>
      </c>
      <c r="E75" s="4" t="s">
        <v>208</v>
      </c>
      <c r="F75" s="4"/>
      <c r="G75" s="14">
        <v>0.59</v>
      </c>
    </row>
    <row r="76" spans="1:7" ht="12.75">
      <c r="A76" s="6" t="s">
        <v>53</v>
      </c>
      <c r="B76" s="6"/>
      <c r="C76" s="6" t="s">
        <v>122</v>
      </c>
      <c r="D76" s="6" t="s">
        <v>195</v>
      </c>
      <c r="E76" s="6" t="s">
        <v>213</v>
      </c>
      <c r="F76" s="6"/>
      <c r="G76" s="15">
        <v>1</v>
      </c>
    </row>
    <row r="77" spans="1:7" ht="12.75">
      <c r="A77" s="6" t="s">
        <v>54</v>
      </c>
      <c r="B77" s="6"/>
      <c r="C77" s="6" t="s">
        <v>123</v>
      </c>
      <c r="D77" s="6" t="s">
        <v>196</v>
      </c>
      <c r="E77" s="6" t="s">
        <v>213</v>
      </c>
      <c r="F77" s="6"/>
      <c r="G77" s="15">
        <v>1</v>
      </c>
    </row>
    <row r="78" spans="1:7" ht="12.75">
      <c r="A78" s="6" t="s">
        <v>55</v>
      </c>
      <c r="B78" s="6"/>
      <c r="C78" s="6" t="s">
        <v>124</v>
      </c>
      <c r="D78" s="6" t="s">
        <v>197</v>
      </c>
      <c r="E78" s="6" t="s">
        <v>213</v>
      </c>
      <c r="F78" s="6"/>
      <c r="G78" s="15">
        <v>1</v>
      </c>
    </row>
    <row r="79" spans="1:7" ht="12.75">
      <c r="A79" s="6" t="s">
        <v>56</v>
      </c>
      <c r="B79" s="6"/>
      <c r="C79" s="6" t="s">
        <v>125</v>
      </c>
      <c r="D79" s="6" t="s">
        <v>198</v>
      </c>
      <c r="E79" s="6" t="s">
        <v>209</v>
      </c>
      <c r="F79" s="6" t="s">
        <v>278</v>
      </c>
      <c r="G79" s="15">
        <v>106.9</v>
      </c>
    </row>
    <row r="80" spans="1:7" ht="12.75">
      <c r="A80" s="6"/>
      <c r="B80" s="6"/>
      <c r="C80" s="6"/>
      <c r="D80" s="6"/>
      <c r="E80" s="6"/>
      <c r="F80" s="6" t="s">
        <v>279</v>
      </c>
      <c r="G80" s="15">
        <v>0</v>
      </c>
    </row>
    <row r="81" spans="1:7" ht="12.75">
      <c r="A81" s="6" t="s">
        <v>57</v>
      </c>
      <c r="B81" s="6"/>
      <c r="C81" s="6" t="s">
        <v>126</v>
      </c>
      <c r="D81" s="6" t="s">
        <v>199</v>
      </c>
      <c r="E81" s="6" t="s">
        <v>213</v>
      </c>
      <c r="F81" s="6"/>
      <c r="G81" s="15">
        <v>1</v>
      </c>
    </row>
    <row r="82" spans="1:7" ht="12.75">
      <c r="A82" s="6" t="s">
        <v>58</v>
      </c>
      <c r="B82" s="6"/>
      <c r="C82" s="6" t="s">
        <v>127</v>
      </c>
      <c r="D82" s="6" t="s">
        <v>200</v>
      </c>
      <c r="E82" s="6" t="s">
        <v>213</v>
      </c>
      <c r="F82" s="6"/>
      <c r="G82" s="15">
        <v>1</v>
      </c>
    </row>
    <row r="83" spans="1:7" ht="12.75">
      <c r="A83" s="6" t="s">
        <v>59</v>
      </c>
      <c r="B83" s="6"/>
      <c r="C83" s="6" t="s">
        <v>128</v>
      </c>
      <c r="D83" s="6" t="s">
        <v>201</v>
      </c>
      <c r="E83" s="6" t="s">
        <v>209</v>
      </c>
      <c r="F83" s="6" t="s">
        <v>280</v>
      </c>
      <c r="G83" s="15">
        <v>81.4</v>
      </c>
    </row>
    <row r="84" spans="1:7" ht="12.75">
      <c r="A84" s="6" t="s">
        <v>60</v>
      </c>
      <c r="B84" s="6"/>
      <c r="C84" s="6" t="s">
        <v>129</v>
      </c>
      <c r="D84" s="6" t="s">
        <v>202</v>
      </c>
      <c r="E84" s="6" t="s">
        <v>211</v>
      </c>
      <c r="F84" s="6"/>
      <c r="G84" s="15">
        <v>4</v>
      </c>
    </row>
  </sheetData>
  <sheetProtection/>
  <mergeCells count="17">
    <mergeCell ref="A1:G1"/>
    <mergeCell ref="A2:B3"/>
    <mergeCell ref="A4:B5"/>
    <mergeCell ref="A6:B7"/>
    <mergeCell ref="A8:B9"/>
    <mergeCell ref="C2:D3"/>
    <mergeCell ref="C4:D5"/>
    <mergeCell ref="C6:D7"/>
    <mergeCell ref="C8:D9"/>
    <mergeCell ref="E2:E3"/>
    <mergeCell ref="E4:E5"/>
    <mergeCell ref="E6:E7"/>
    <mergeCell ref="E8:E9"/>
    <mergeCell ref="F2:G3"/>
    <mergeCell ref="F4:G5"/>
    <mergeCell ref="F6:G7"/>
    <mergeCell ref="F8:G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5" customHeight="1">
      <c r="A1" s="102" t="s">
        <v>291</v>
      </c>
      <c r="B1" s="103"/>
      <c r="C1" s="103"/>
      <c r="D1" s="103"/>
      <c r="E1" s="103"/>
      <c r="F1" s="103"/>
      <c r="G1" s="103"/>
      <c r="H1" s="103"/>
      <c r="I1" s="103"/>
    </row>
    <row r="2" spans="1:10" ht="12.75">
      <c r="A2" s="73" t="s">
        <v>1</v>
      </c>
      <c r="B2" s="66"/>
      <c r="C2" s="55" t="s">
        <v>130</v>
      </c>
      <c r="D2" s="56"/>
      <c r="E2" s="62" t="s">
        <v>220</v>
      </c>
      <c r="F2" s="62" t="s">
        <v>225</v>
      </c>
      <c r="G2" s="66"/>
      <c r="H2" s="62" t="s">
        <v>326</v>
      </c>
      <c r="I2" s="95"/>
      <c r="J2" s="24"/>
    </row>
    <row r="3" spans="1:10" ht="12.75">
      <c r="A3" s="74"/>
      <c r="B3" s="63"/>
      <c r="C3" s="77"/>
      <c r="D3" s="77"/>
      <c r="E3" s="63"/>
      <c r="F3" s="63"/>
      <c r="G3" s="63"/>
      <c r="H3" s="63"/>
      <c r="I3" s="68"/>
      <c r="J3" s="24"/>
    </row>
    <row r="4" spans="1:10" ht="12.75">
      <c r="A4" s="75" t="s">
        <v>2</v>
      </c>
      <c r="B4" s="63"/>
      <c r="C4" s="64" t="s">
        <v>131</v>
      </c>
      <c r="D4" s="63"/>
      <c r="E4" s="64" t="s">
        <v>221</v>
      </c>
      <c r="F4" s="64" t="s">
        <v>226</v>
      </c>
      <c r="G4" s="63"/>
      <c r="H4" s="64" t="s">
        <v>326</v>
      </c>
      <c r="I4" s="96"/>
      <c r="J4" s="24"/>
    </row>
    <row r="5" spans="1:10" ht="12.75">
      <c r="A5" s="74"/>
      <c r="B5" s="63"/>
      <c r="C5" s="63"/>
      <c r="D5" s="63"/>
      <c r="E5" s="63"/>
      <c r="F5" s="63"/>
      <c r="G5" s="63"/>
      <c r="H5" s="63"/>
      <c r="I5" s="68"/>
      <c r="J5" s="24"/>
    </row>
    <row r="6" spans="1:10" ht="12.75">
      <c r="A6" s="75" t="s">
        <v>3</v>
      </c>
      <c r="B6" s="63"/>
      <c r="C6" s="64" t="s">
        <v>132</v>
      </c>
      <c r="D6" s="63"/>
      <c r="E6" s="64" t="s">
        <v>222</v>
      </c>
      <c r="F6" s="64"/>
      <c r="G6" s="63"/>
      <c r="H6" s="64" t="s">
        <v>326</v>
      </c>
      <c r="I6" s="96"/>
      <c r="J6" s="24"/>
    </row>
    <row r="7" spans="1:10" ht="12.75">
      <c r="A7" s="74"/>
      <c r="B7" s="63"/>
      <c r="C7" s="63"/>
      <c r="D7" s="63"/>
      <c r="E7" s="63"/>
      <c r="F7" s="63"/>
      <c r="G7" s="63"/>
      <c r="H7" s="63"/>
      <c r="I7" s="68"/>
      <c r="J7" s="24"/>
    </row>
    <row r="8" spans="1:10" ht="12.75">
      <c r="A8" s="75" t="s">
        <v>204</v>
      </c>
      <c r="B8" s="63"/>
      <c r="C8" s="64" t="s">
        <v>5</v>
      </c>
      <c r="D8" s="63"/>
      <c r="E8" s="64" t="s">
        <v>205</v>
      </c>
      <c r="F8" s="63"/>
      <c r="G8" s="63"/>
      <c r="H8" s="64" t="s">
        <v>327</v>
      </c>
      <c r="I8" s="96"/>
      <c r="J8" s="24"/>
    </row>
    <row r="9" spans="1:10" ht="12.75">
      <c r="A9" s="74"/>
      <c r="B9" s="63"/>
      <c r="C9" s="63"/>
      <c r="D9" s="63"/>
      <c r="E9" s="63"/>
      <c r="F9" s="63"/>
      <c r="G9" s="63"/>
      <c r="H9" s="63"/>
      <c r="I9" s="68"/>
      <c r="J9" s="24"/>
    </row>
    <row r="10" spans="1:10" ht="12.75">
      <c r="A10" s="75" t="s">
        <v>4</v>
      </c>
      <c r="B10" s="63"/>
      <c r="C10" s="64" t="s">
        <v>133</v>
      </c>
      <c r="D10" s="63"/>
      <c r="E10" s="64" t="s">
        <v>223</v>
      </c>
      <c r="F10" s="64"/>
      <c r="G10" s="63"/>
      <c r="H10" s="64" t="s">
        <v>328</v>
      </c>
      <c r="I10" s="97"/>
      <c r="J10" s="24"/>
    </row>
    <row r="11" spans="1:10" ht="12.75">
      <c r="A11" s="104"/>
      <c r="B11" s="101"/>
      <c r="C11" s="101"/>
      <c r="D11" s="101"/>
      <c r="E11" s="101"/>
      <c r="F11" s="101"/>
      <c r="G11" s="101"/>
      <c r="H11" s="101"/>
      <c r="I11" s="98"/>
      <c r="J11" s="24"/>
    </row>
    <row r="12" spans="1:9" ht="23.25" customHeight="1">
      <c r="A12" s="99" t="s">
        <v>292</v>
      </c>
      <c r="B12" s="100"/>
      <c r="C12" s="100"/>
      <c r="D12" s="100"/>
      <c r="E12" s="100"/>
      <c r="F12" s="100"/>
      <c r="G12" s="100"/>
      <c r="H12" s="100"/>
      <c r="I12" s="100"/>
    </row>
    <row r="13" spans="1:10" ht="26.25" customHeight="1">
      <c r="A13" s="42" t="s">
        <v>293</v>
      </c>
      <c r="B13" s="93" t="s">
        <v>304</v>
      </c>
      <c r="C13" s="94"/>
      <c r="D13" s="42" t="s">
        <v>306</v>
      </c>
      <c r="E13" s="93" t="s">
        <v>314</v>
      </c>
      <c r="F13" s="94"/>
      <c r="G13" s="42" t="s">
        <v>315</v>
      </c>
      <c r="H13" s="93" t="s">
        <v>329</v>
      </c>
      <c r="I13" s="94"/>
      <c r="J13" s="24"/>
    </row>
    <row r="14" spans="1:10" ht="15" customHeight="1">
      <c r="A14" s="43" t="s">
        <v>294</v>
      </c>
      <c r="B14" s="47" t="s">
        <v>305</v>
      </c>
      <c r="C14" s="50">
        <f>SUM('Stavební rozpočet'!R12:R84)</f>
        <v>0</v>
      </c>
      <c r="D14" s="89" t="s">
        <v>307</v>
      </c>
      <c r="E14" s="90"/>
      <c r="F14" s="50">
        <v>0</v>
      </c>
      <c r="G14" s="89" t="s">
        <v>316</v>
      </c>
      <c r="H14" s="90"/>
      <c r="I14" s="50">
        <f>ROUND(C22*(2.5/100),2)</f>
        <v>0</v>
      </c>
      <c r="J14" s="24"/>
    </row>
    <row r="15" spans="1:10" ht="15" customHeight="1">
      <c r="A15" s="44"/>
      <c r="B15" s="47" t="s">
        <v>224</v>
      </c>
      <c r="C15" s="50">
        <f>SUM('Stavební rozpočet'!S12:S84)</f>
        <v>0</v>
      </c>
      <c r="D15" s="89" t="s">
        <v>308</v>
      </c>
      <c r="E15" s="90"/>
      <c r="F15" s="50">
        <v>0</v>
      </c>
      <c r="G15" s="89" t="s">
        <v>317</v>
      </c>
      <c r="H15" s="90"/>
      <c r="I15" s="50">
        <v>0</v>
      </c>
      <c r="J15" s="24"/>
    </row>
    <row r="16" spans="1:10" ht="15" customHeight="1">
      <c r="A16" s="43" t="s">
        <v>295</v>
      </c>
      <c r="B16" s="47" t="s">
        <v>305</v>
      </c>
      <c r="C16" s="50">
        <f>SUM('Stavební rozpočet'!T12:T84)</f>
        <v>0</v>
      </c>
      <c r="D16" s="89" t="s">
        <v>309</v>
      </c>
      <c r="E16" s="90"/>
      <c r="F16" s="50">
        <f>ROUND(C22*(5/100),2)</f>
        <v>0</v>
      </c>
      <c r="G16" s="89" t="s">
        <v>318</v>
      </c>
      <c r="H16" s="90"/>
      <c r="I16" s="50">
        <v>0</v>
      </c>
      <c r="J16" s="24"/>
    </row>
    <row r="17" spans="1:10" ht="15" customHeight="1">
      <c r="A17" s="44"/>
      <c r="B17" s="47" t="s">
        <v>224</v>
      </c>
      <c r="C17" s="50">
        <f>SUM('Stavební rozpočet'!U12:U84)</f>
        <v>0</v>
      </c>
      <c r="D17" s="89"/>
      <c r="E17" s="90"/>
      <c r="F17" s="51"/>
      <c r="G17" s="89" t="s">
        <v>319</v>
      </c>
      <c r="H17" s="90"/>
      <c r="I17" s="50">
        <v>0</v>
      </c>
      <c r="J17" s="24"/>
    </row>
    <row r="18" spans="1:10" ht="15" customHeight="1">
      <c r="A18" s="43" t="s">
        <v>296</v>
      </c>
      <c r="B18" s="47" t="s">
        <v>305</v>
      </c>
      <c r="C18" s="50">
        <f>SUM('Stavební rozpočet'!V12:V84)</f>
        <v>0</v>
      </c>
      <c r="D18" s="89"/>
      <c r="E18" s="90"/>
      <c r="F18" s="51"/>
      <c r="G18" s="89" t="s">
        <v>320</v>
      </c>
      <c r="H18" s="90"/>
      <c r="I18" s="50">
        <v>0</v>
      </c>
      <c r="J18" s="24"/>
    </row>
    <row r="19" spans="1:10" ht="15" customHeight="1">
      <c r="A19" s="44"/>
      <c r="B19" s="47" t="s">
        <v>224</v>
      </c>
      <c r="C19" s="50">
        <f>SUM('Stavební rozpočet'!W12:W84)</f>
        <v>0</v>
      </c>
      <c r="D19" s="89"/>
      <c r="E19" s="90"/>
      <c r="F19" s="51"/>
      <c r="G19" s="89" t="s">
        <v>321</v>
      </c>
      <c r="H19" s="90"/>
      <c r="I19" s="50">
        <v>0</v>
      </c>
      <c r="J19" s="24"/>
    </row>
    <row r="20" spans="1:10" ht="15" customHeight="1">
      <c r="A20" s="91" t="s">
        <v>194</v>
      </c>
      <c r="B20" s="92"/>
      <c r="C20" s="50">
        <f>SUM('Stavební rozpočet'!X12:X84)</f>
        <v>0</v>
      </c>
      <c r="D20" s="89"/>
      <c r="E20" s="90"/>
      <c r="F20" s="51"/>
      <c r="G20" s="89"/>
      <c r="H20" s="90"/>
      <c r="I20" s="51"/>
      <c r="J20" s="24"/>
    </row>
    <row r="21" spans="1:10" ht="15" customHeight="1">
      <c r="A21" s="91" t="s">
        <v>297</v>
      </c>
      <c r="B21" s="92"/>
      <c r="C21" s="50">
        <f>SUM('Stavební rozpočet'!P12:P84)</f>
        <v>0</v>
      </c>
      <c r="D21" s="89"/>
      <c r="E21" s="90"/>
      <c r="F21" s="51"/>
      <c r="G21" s="89"/>
      <c r="H21" s="90"/>
      <c r="I21" s="51"/>
      <c r="J21" s="24"/>
    </row>
    <row r="22" spans="1:10" ht="16.5" customHeight="1">
      <c r="A22" s="91" t="s">
        <v>298</v>
      </c>
      <c r="B22" s="92"/>
      <c r="C22" s="50">
        <f>SUM(C14:C21)</f>
        <v>0</v>
      </c>
      <c r="D22" s="91" t="s">
        <v>310</v>
      </c>
      <c r="E22" s="92"/>
      <c r="F22" s="50">
        <f>SUM(F14:F21)</f>
        <v>0</v>
      </c>
      <c r="G22" s="91" t="s">
        <v>322</v>
      </c>
      <c r="H22" s="92"/>
      <c r="I22" s="50">
        <f>SUM(I14:I21)</f>
        <v>0</v>
      </c>
      <c r="J22" s="24"/>
    </row>
    <row r="23" spans="1:9" ht="12.75">
      <c r="A23" s="45"/>
      <c r="B23" s="45"/>
      <c r="C23" s="45"/>
      <c r="D23" s="8"/>
      <c r="E23" s="8"/>
      <c r="F23" s="8"/>
      <c r="G23" s="8"/>
      <c r="H23" s="8"/>
      <c r="I23" s="8"/>
    </row>
    <row r="24" spans="1:9" ht="15" customHeight="1">
      <c r="A24" s="84" t="s">
        <v>299</v>
      </c>
      <c r="B24" s="85"/>
      <c r="C24" s="52">
        <f>ROUND(SUM('Stavební rozpočet'!Z12:Z84),2)</f>
        <v>0</v>
      </c>
      <c r="D24" s="48"/>
      <c r="E24" s="49"/>
      <c r="F24" s="49"/>
      <c r="G24" s="49"/>
      <c r="H24" s="49"/>
      <c r="I24" s="49"/>
    </row>
    <row r="25" spans="1:10" ht="15" customHeight="1">
      <c r="A25" s="84" t="s">
        <v>300</v>
      </c>
      <c r="B25" s="85"/>
      <c r="C25" s="52">
        <f>ROUND(SUM('Stavební rozpočet'!AA12:AA84),2)</f>
        <v>0</v>
      </c>
      <c r="D25" s="84" t="s">
        <v>311</v>
      </c>
      <c r="E25" s="85"/>
      <c r="F25" s="52">
        <f>ROUND(C25*(15/100),2)</f>
        <v>0</v>
      </c>
      <c r="G25" s="84" t="s">
        <v>323</v>
      </c>
      <c r="H25" s="85"/>
      <c r="I25" s="52">
        <f>SUM(C24:C26)</f>
        <v>0</v>
      </c>
      <c r="J25" s="24"/>
    </row>
    <row r="26" spans="1:10" ht="15" customHeight="1">
      <c r="A26" s="84" t="s">
        <v>301</v>
      </c>
      <c r="B26" s="85"/>
      <c r="C26" s="52">
        <f>ROUND(SUM('Stavební rozpočet'!AB12:AB84)+(F22+I22),2)</f>
        <v>0</v>
      </c>
      <c r="D26" s="84" t="s">
        <v>312</v>
      </c>
      <c r="E26" s="85"/>
      <c r="F26" s="52">
        <f>ROUND(C26*(21/100),2)</f>
        <v>0</v>
      </c>
      <c r="G26" s="84" t="s">
        <v>324</v>
      </c>
      <c r="H26" s="85"/>
      <c r="I26" s="52">
        <f>ROUND(SUM(F25:F26)+I25,2)</f>
        <v>0</v>
      </c>
      <c r="J26" s="24"/>
    </row>
    <row r="27" spans="1:9" ht="12.75">
      <c r="A27" s="46"/>
      <c r="B27" s="46"/>
      <c r="C27" s="46"/>
      <c r="D27" s="46"/>
      <c r="E27" s="46"/>
      <c r="F27" s="46"/>
      <c r="G27" s="46"/>
      <c r="H27" s="46"/>
      <c r="I27" s="46"/>
    </row>
    <row r="28" spans="1:10" ht="14.25" customHeight="1">
      <c r="A28" s="86" t="s">
        <v>302</v>
      </c>
      <c r="B28" s="87"/>
      <c r="C28" s="88"/>
      <c r="D28" s="86" t="s">
        <v>313</v>
      </c>
      <c r="E28" s="87"/>
      <c r="F28" s="88"/>
      <c r="G28" s="86" t="s">
        <v>325</v>
      </c>
      <c r="H28" s="87"/>
      <c r="I28" s="88"/>
      <c r="J28" s="25"/>
    </row>
    <row r="29" spans="1:10" ht="14.25" customHeight="1">
      <c r="A29" s="78"/>
      <c r="B29" s="79"/>
      <c r="C29" s="80"/>
      <c r="D29" s="78"/>
      <c r="E29" s="79"/>
      <c r="F29" s="80"/>
      <c r="G29" s="78"/>
      <c r="H29" s="79"/>
      <c r="I29" s="80"/>
      <c r="J29" s="25"/>
    </row>
    <row r="30" spans="1:10" ht="14.25" customHeight="1">
      <c r="A30" s="78"/>
      <c r="B30" s="79"/>
      <c r="C30" s="80"/>
      <c r="D30" s="78"/>
      <c r="E30" s="79"/>
      <c r="F30" s="80"/>
      <c r="G30" s="78"/>
      <c r="H30" s="79"/>
      <c r="I30" s="80"/>
      <c r="J30" s="25"/>
    </row>
    <row r="31" spans="1:10" ht="14.25" customHeight="1">
      <c r="A31" s="78"/>
      <c r="B31" s="79"/>
      <c r="C31" s="80"/>
      <c r="D31" s="78"/>
      <c r="E31" s="79"/>
      <c r="F31" s="80"/>
      <c r="G31" s="78"/>
      <c r="H31" s="79"/>
      <c r="I31" s="80"/>
      <c r="J31" s="25"/>
    </row>
    <row r="32" spans="1:10" ht="14.25" customHeight="1">
      <c r="A32" s="81" t="s">
        <v>303</v>
      </c>
      <c r="B32" s="82"/>
      <c r="C32" s="83"/>
      <c r="D32" s="81" t="s">
        <v>303</v>
      </c>
      <c r="E32" s="82"/>
      <c r="F32" s="83"/>
      <c r="G32" s="81" t="s">
        <v>303</v>
      </c>
      <c r="H32" s="82"/>
      <c r="I32" s="83"/>
      <c r="J32" s="25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8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6:G7"/>
    <mergeCell ref="F8:G9"/>
    <mergeCell ref="F10:G11"/>
    <mergeCell ref="H2:H3"/>
    <mergeCell ref="H4:H5"/>
    <mergeCell ref="H6:H7"/>
    <mergeCell ref="H8:H9"/>
    <mergeCell ref="H10:H11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D29:F29"/>
    <mergeCell ref="D30:F30"/>
    <mergeCell ref="D31:F31"/>
    <mergeCell ref="D32:F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Filip_Kessler</dc:creator>
  <cp:keywords/>
  <dc:description/>
  <cp:lastModifiedBy>Filip_Kessler</cp:lastModifiedBy>
  <dcterms:created xsi:type="dcterms:W3CDTF">2018-04-06T13:17:33Z</dcterms:created>
  <dcterms:modified xsi:type="dcterms:W3CDTF">2018-04-09T09:16:34Z</dcterms:modified>
  <cp:category/>
  <cp:version/>
  <cp:contentType/>
  <cp:contentStatus/>
</cp:coreProperties>
</file>