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A1 - Stavební práce - Stě..." sheetId="2" r:id="rId2"/>
    <sheet name="A2 - Stavební práce - Pod..." sheetId="3" r:id="rId3"/>
    <sheet name="A3 - Stavební práce - Ost..." sheetId="4" r:id="rId4"/>
    <sheet name="A4 - Stavební práce - Úpr..." sheetId="5" r:id="rId5"/>
    <sheet name="A5 - Stavební práce - Kom..." sheetId="6" r:id="rId6"/>
    <sheet name="B - Zdravotechnika" sheetId="7" r:id="rId7"/>
    <sheet name="C - Elektroinstalace" sheetId="8" r:id="rId8"/>
    <sheet name="D - Ostatní položky" sheetId="9" r:id="rId9"/>
  </sheets>
  <definedNames>
    <definedName name="_xlnm.Print_Titles" localSheetId="1">'A1 - Stavební práce - Stě...'!$118:$118</definedName>
    <definedName name="_xlnm.Print_Titles" localSheetId="2">'A2 - Stavební práce - Pod...'!$114:$114</definedName>
    <definedName name="_xlnm.Print_Titles" localSheetId="3">'A3 - Stavební práce - Ost...'!$111:$111</definedName>
    <definedName name="_xlnm.Print_Titles" localSheetId="4">'A4 - Stavební práce - Úpr...'!$114:$114</definedName>
    <definedName name="_xlnm.Print_Titles" localSheetId="5">'A5 - Stavební práce - Kom...'!$114:$114</definedName>
    <definedName name="_xlnm.Print_Titles" localSheetId="6">'B - Zdravotechnika'!$117:$117</definedName>
    <definedName name="_xlnm.Print_Titles" localSheetId="7">'C - Elektroinstalace'!$110:$110</definedName>
    <definedName name="_xlnm.Print_Titles" localSheetId="8">'D - Ostatní položky'!$112:$112</definedName>
    <definedName name="_xlnm.Print_Titles" localSheetId="0">'Rekapitulace stavby'!$85:$85</definedName>
    <definedName name="_xlnm.Print_Area" localSheetId="1">'A1 - Stavební práce - Stě...'!$C$4:$Q$70,'A1 - Stavební práce - Stě...'!$C$76:$Q$102,'A1 - Stavební práce - Stě...'!$C$108:$Q$167</definedName>
    <definedName name="_xlnm.Print_Area" localSheetId="2">'A2 - Stavební práce - Pod...'!$C$4:$Q$70,'A2 - Stavební práce - Pod...'!$C$76:$Q$98,'A2 - Stavební práce - Pod...'!$C$104:$Q$147</definedName>
    <definedName name="_xlnm.Print_Area" localSheetId="3">'A3 - Stavební práce - Ost...'!$C$4:$Q$70,'A3 - Stavební práce - Ost...'!$C$76:$Q$95,'A3 - Stavební práce - Ost...'!$C$101:$Q$127</definedName>
    <definedName name="_xlnm.Print_Area" localSheetId="4">'A4 - Stavební práce - Úpr...'!$C$4:$Q$70,'A4 - Stavební práce - Úpr...'!$C$76:$Q$98,'A4 - Stavební práce - Úpr...'!$C$104:$Q$135</definedName>
    <definedName name="_xlnm.Print_Area" localSheetId="5">'A5 - Stavební práce - Kom...'!$C$4:$Q$70,'A5 - Stavební práce - Kom...'!$C$76:$Q$98,'A5 - Stavební práce - Kom...'!$C$104:$Q$134</definedName>
    <definedName name="_xlnm.Print_Area" localSheetId="6">'B - Zdravotechnika'!$C$4:$Q$70,'B - Zdravotechnika'!$C$76:$Q$101,'B - Zdravotechnika'!$C$107:$Q$148</definedName>
    <definedName name="_xlnm.Print_Area" localSheetId="7">'C - Elektroinstalace'!$C$4:$Q$70,'C - Elektroinstalace'!$C$76:$Q$94,'C - Elektroinstalace'!$C$100:$Q$116</definedName>
    <definedName name="_xlnm.Print_Area" localSheetId="8">'D - Ostatní položky'!$C$4:$Q$70,'D - Ostatní položky'!$C$76:$Q$96,'D - Ostatní položky'!$C$102:$Q$119</definedName>
    <definedName name="_xlnm.Print_Area" localSheetId="0">'Rekapitulace stavby'!$C$4:$AP$70,'Rekapitulace stavby'!$C$76:$AP$99</definedName>
  </definedNames>
  <calcPr fullCalcOnLoad="1"/>
</workbook>
</file>

<file path=xl/sharedStrings.xml><?xml version="1.0" encoding="utf-8"?>
<sst xmlns="http://schemas.openxmlformats.org/spreadsheetml/2006/main" count="2631" uniqueCount="542">
  <si>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</si>
  <si>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</si>
  <si>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</si>
  <si>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</si>
  <si>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</si>
  <si>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</si>
  <si>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</si>
  <si>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</si>
  <si>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</si>
  <si>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</si>
  <si>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</si>
  <si>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</si>
  <si>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</si>
  <si>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20161023</t>
  </si>
  <si>
    <t>Stavba:</t>
  </si>
  <si>
    <t>UK-stavební práce</t>
  </si>
  <si>
    <t>0,1</t>
  </si>
  <si>
    <t>JKSO:</t>
  </si>
  <si>
    <t>CC-CZ:</t>
  </si>
  <si>
    <t>1</t>
  </si>
  <si>
    <t>Místo:</t>
  </si>
  <si>
    <t xml:space="preserve"> </t>
  </si>
  <si>
    <t>Datum:</t>
  </si>
  <si>
    <t>23.10.2016</t>
  </si>
  <si>
    <t>10</t>
  </si>
  <si>
    <t>100</t>
  </si>
  <si>
    <t>Objednavatel:</t>
  </si>
  <si>
    <t>IČ:</t>
  </si>
  <si>
    <t>00216208</t>
  </si>
  <si>
    <t>Univerzita Karlova - Správa budov a zařízení</t>
  </si>
  <si>
    <t>DIČ:</t>
  </si>
  <si>
    <t>CZ00216208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</si>
  <si>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</si>
  <si>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</si>
  <si>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</si>
  <si>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</si>
  <si>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</si>
  <si>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</si>
  <si>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</si>
  <si>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</si>
  <si>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</si>
  <si>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</si>
  <si>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</si>
  <si>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</si>
  <si>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</si>
  <si>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</si>
  <si>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</si>
  <si>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</si>
  <si>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</si>
  <si>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</si>
  <si>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</si>
  <si>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</si>
  <si>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</si>
  <si>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</si>
  <si>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</si>
  <si>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</si>
  <si>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</si>
  <si>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</si>
  <si>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</si>
  <si>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</si>
  <si>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</si>
  <si>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</si>
  <si>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</si>
  <si>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</si>
  <si>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</si>
  <si>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</si>
  <si>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</si>
  <si>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</si>
  <si>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</si>
  <si>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</si>
  <si>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</si>
  <si>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</si>
  <si>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</si>
  <si>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</si>
  <si>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</si>
  <si>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</si>
  <si>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</si>
  <si>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</si>
  <si>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</si>
  <si>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{942334D3-67DF-4AB3-AE70-76941AAD0204}</t>
  </si>
  <si>
    <t>{00000000-0000-0000-0000-000000000000}</t>
  </si>
  <si>
    <t>A1</t>
  </si>
  <si>
    <t>Stavební práce - Stěny a strop</t>
  </si>
  <si>
    <t>{A5983989-C676-47CC-A0C9-D6C50A0687FE}</t>
  </si>
  <si>
    <t>A2</t>
  </si>
  <si>
    <t>Stavební práce - Podlahy</t>
  </si>
  <si>
    <t>{A82CDCFE-C400-4C05-9A09-A6BF988F0651}</t>
  </si>
  <si>
    <t>A3</t>
  </si>
  <si>
    <t>Stavební práce - Ostatní stavební práce</t>
  </si>
  <si>
    <t>{8F2C1D23-63DC-4297-B93E-CB77B0914475}</t>
  </si>
  <si>
    <t>A4</t>
  </si>
  <si>
    <t>Stavební práce - Úpravy povrchů vnější</t>
  </si>
  <si>
    <t>{8B212EF6-5643-4B8F-8EC7-173498DC91F2}</t>
  </si>
  <si>
    <t>A5</t>
  </si>
  <si>
    <t>Stavební práce - Komunikace</t>
  </si>
  <si>
    <t>{FCA65ED9-AE77-4A05-A51E-BFFB6EF498A3}</t>
  </si>
  <si>
    <t>B</t>
  </si>
  <si>
    <t>Zdravotechnika</t>
  </si>
  <si>
    <t>{C619558D-C26B-4F58-B54F-C6C50253255A}</t>
  </si>
  <si>
    <t>C</t>
  </si>
  <si>
    <t>Elektroinstalace</t>
  </si>
  <si>
    <t>{1ED57649-03FE-4FD3-9344-8C1491A07DF6}</t>
  </si>
  <si>
    <t>Ostatní položky</t>
  </si>
  <si>
    <t>{DEB173F2-F292-4A0C-8A54-A8000A1CD881}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</si>
  <si>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</si>
  <si>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</si>
  <si>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</si>
  <si>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</si>
  <si>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</si>
  <si>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</si>
  <si>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</si>
  <si>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</si>
  <si>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A1 - Stavební práce - Stěny a strop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</si>
  <si>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</si>
  <si>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</si>
  <si>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</si>
  <si>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</si>
  <si>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</si>
  <si>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</si>
  <si>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</si>
  <si>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</si>
  <si>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</si>
  <si>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</si>
  <si>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</si>
  <si>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</si>
  <si>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</si>
  <si>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763 - Konstrukce suché výstavby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</si>
  <si>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</si>
  <si>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</si>
  <si>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</si>
  <si>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</si>
  <si>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</si>
  <si>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</si>
  <si>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</si>
  <si>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</si>
  <si>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</si>
  <si>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</si>
  <si>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</si>
  <si>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</si>
  <si>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</si>
  <si>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</si>
  <si>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</si>
  <si>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</si>
  <si>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</si>
  <si>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</si>
  <si>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</si>
  <si>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</si>
  <si>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7</t>
  </si>
  <si>
    <t>K</t>
  </si>
  <si>
    <t>31712R</t>
  </si>
  <si>
    <t>Dodávka a montáž překladů z 2 ks U profilu č. 10 dl. 1200 mm</t>
  </si>
  <si>
    <t>kus</t>
  </si>
  <si>
    <t>4</t>
  </si>
  <si>
    <t>-389979028</t>
  </si>
  <si>
    <t>Do příčky tl. 150 mm (2 ks)</t>
  </si>
  <si>
    <t>P</t>
  </si>
  <si>
    <t>9</t>
  </si>
  <si>
    <t>340239235</t>
  </si>
  <si>
    <t>Zazdívka otvorů pl do 4 m2 v příčkách nebo stěnách z příčkovek Ytong tl 150 mm</t>
  </si>
  <si>
    <t>m2</t>
  </si>
  <si>
    <t>-1400550513</t>
  </si>
  <si>
    <t>12</t>
  </si>
  <si>
    <t>611131121</t>
  </si>
  <si>
    <t>Penetrace akrylát-silikonová vnitřních stropů nanášená ručně</t>
  </si>
  <si>
    <t>-381886675</t>
  </si>
  <si>
    <t>Penetrace stěn a stropů pod následnou malbu</t>
  </si>
  <si>
    <t>11</t>
  </si>
  <si>
    <t>612135001</t>
  </si>
  <si>
    <t>Vyrovnání podkladu vnitřních stěn maltou vápenocementovou tl do 10 mm</t>
  </si>
  <si>
    <t>-1499520735</t>
  </si>
  <si>
    <t>Vyspravení stávajících stěn a stropů (odhad 10 % z celkové plochy pro malbu)</t>
  </si>
  <si>
    <t>612142001</t>
  </si>
  <si>
    <t>Potažení vnitřních stěn sklovláknitým pletivem vtlačeným do tenkovrstvé hmoty</t>
  </si>
  <si>
    <t>-2120598176</t>
  </si>
  <si>
    <t xml:space="preserve">Zazděné otvory tvarovkami Ytong tl. 150 mm </t>
  </si>
  <si>
    <t>612311131</t>
  </si>
  <si>
    <t>Potažení vnitřních stěn vápenným štukem tloušťky do 3 mm</t>
  </si>
  <si>
    <t>658907209</t>
  </si>
  <si>
    <t>3</t>
  </si>
  <si>
    <t>612321121</t>
  </si>
  <si>
    <t>Vápenocementová omítka hladká jednovrstvá vnitřních stěn nanášená ručně</t>
  </si>
  <si>
    <t>-1707537237</t>
  </si>
  <si>
    <t>Vyspravení podkladu pro nový obklad - jádrová omítka</t>
  </si>
  <si>
    <t>8</t>
  </si>
  <si>
    <t>642942111</t>
  </si>
  <si>
    <t>Osazování zárubní nebo rámů dveřních kovových do 2,5 m2 na MC</t>
  </si>
  <si>
    <t>-2111391767</t>
  </si>
  <si>
    <t>Montáž zárubní do nově vybouraného otvoru včetně zednického začištění</t>
  </si>
  <si>
    <t>M</t>
  </si>
  <si>
    <t>553311130</t>
  </si>
  <si>
    <t>zárubeň ocelová pro běžné zdění H 110 600 L/P</t>
  </si>
  <si>
    <t>301278112</t>
  </si>
  <si>
    <t>962031133</t>
  </si>
  <si>
    <t>Bourání příček z cihel pálených na MVC tl do 150 mm</t>
  </si>
  <si>
    <t>26275524</t>
  </si>
  <si>
    <t>Bourání otvoru do příčky tl. 150 mm</t>
  </si>
  <si>
    <t>978013191</t>
  </si>
  <si>
    <t>Otlučení vnitřní vápenné nebo vápenocementové omítky stěn stěn v rozsahu do 100 %</t>
  </si>
  <si>
    <t>1208899248</t>
  </si>
  <si>
    <t>Vyspravení podkladu pro nový obklad</t>
  </si>
  <si>
    <t>998011003</t>
  </si>
  <si>
    <t>Přesun hmot pro budovy zděné v do 24 m</t>
  </si>
  <si>
    <t>t</t>
  </si>
  <si>
    <t>1943060345</t>
  </si>
  <si>
    <t>763111314x</t>
  </si>
  <si>
    <t>SDK příčka tl 100 mm W 111 s izolací včetně konstrukce</t>
  </si>
  <si>
    <t>16</t>
  </si>
  <si>
    <t>-1176099383</t>
  </si>
  <si>
    <t>dokončení pro výmalbu</t>
  </si>
  <si>
    <t>998763102</t>
  </si>
  <si>
    <t>Přesun hmot tonážní pro dřevostavby v objektech v do 24 m</t>
  </si>
  <si>
    <t>-1964722798</t>
  </si>
  <si>
    <t>6</t>
  </si>
  <si>
    <t>771571121</t>
  </si>
  <si>
    <t>Montáž podlah z keramických dlaždic režných hladkých do malty do 100ks/m2</t>
  </si>
  <si>
    <t>629814338</t>
  </si>
  <si>
    <t>Včetně spárování, silikonování, ukončení lištou</t>
  </si>
  <si>
    <t>5976111R</t>
  </si>
  <si>
    <t>dlaždice keramické RAKO TAURUS 100 x 100 mm</t>
  </si>
  <si>
    <t>32</t>
  </si>
  <si>
    <t>-1545357045</t>
  </si>
  <si>
    <t>771571810</t>
  </si>
  <si>
    <t>Demontáž podlah z dlaždic keramických kladených do malty</t>
  </si>
  <si>
    <t>-987679931</t>
  </si>
  <si>
    <t>771990112</t>
  </si>
  <si>
    <t>Vyrovnání podkladu samonivelační stěrkou tl 4 mm pevnosti 30 Mpa</t>
  </si>
  <si>
    <t>1696674966</t>
  </si>
  <si>
    <t>Vyspravení podkladu pod novou dlažbu</t>
  </si>
  <si>
    <t>998771103</t>
  </si>
  <si>
    <t>Přesun hmot tonážní pro podlahy z dlaždic v objektech v do 24 m</t>
  </si>
  <si>
    <t>1065881738</t>
  </si>
  <si>
    <t>781411810</t>
  </si>
  <si>
    <t>Demontáž obkladů z obkladaček pórovinových kladených do malty</t>
  </si>
  <si>
    <t>1198061981</t>
  </si>
  <si>
    <t>5</t>
  </si>
  <si>
    <t>781471119</t>
  </si>
  <si>
    <t>Montáž obkladů vnitřních keramických hladkých do 85 ks/m2 kladených do malty</t>
  </si>
  <si>
    <t>-1664546348</t>
  </si>
  <si>
    <t>597611R</t>
  </si>
  <si>
    <t>dlaždice keramické RAKO - 100 x 100 Color One</t>
  </si>
  <si>
    <t>-1096039972</t>
  </si>
  <si>
    <t>998781103</t>
  </si>
  <si>
    <t>Přesun hmot tonážní pro obklady keramické v objektech v do 24 m</t>
  </si>
  <si>
    <t>1905410508</t>
  </si>
  <si>
    <t>13</t>
  </si>
  <si>
    <t>784221101</t>
  </si>
  <si>
    <t>Dvojnásobné bílé malby  ze směsí za sucha dobře otěruvzdorných v místnostech do 3,80 m</t>
  </si>
  <si>
    <t>715216981</t>
  </si>
  <si>
    <t>Např. Primalex Plus - 2x</t>
  </si>
  <si>
    <t>A2 - Stavební práce - Podlahy</t>
  </si>
  <si>
    <t xml:space="preserve">    775 - Podlahy skládané</t>
  </si>
  <si>
    <t xml:space="preserve">    776 - Podlahy povlakové</t>
  </si>
  <si>
    <t>633811111</t>
  </si>
  <si>
    <t>Broušení nerovností betonových podlah do 2 mm - stržení šlemu</t>
  </si>
  <si>
    <t>-1042191006</t>
  </si>
  <si>
    <t>Zbroušení stávajícího podkladu</t>
  </si>
  <si>
    <t>20</t>
  </si>
  <si>
    <t>634111113</t>
  </si>
  <si>
    <t>Obvodová dilatace pružnou těsnicí páskou v 80 mm mezi stěnou a mazaninou</t>
  </si>
  <si>
    <t>m</t>
  </si>
  <si>
    <t>1867454072</t>
  </si>
  <si>
    <t>např. Egger 22x40x2400 mm</t>
  </si>
  <si>
    <t>2063492983</t>
  </si>
  <si>
    <t xml:space="preserve">Tvrdá samonivelační stěrka tl. cca 3 mm </t>
  </si>
  <si>
    <t>1882350948</t>
  </si>
  <si>
    <t>23</t>
  </si>
  <si>
    <t>775429121</t>
  </si>
  <si>
    <t>Montáž podlahové lišty přechodové připevněné vruty</t>
  </si>
  <si>
    <t>292569396</t>
  </si>
  <si>
    <t>5534311R</t>
  </si>
  <si>
    <t>Kovová přechodová lišta 1, 25 m</t>
  </si>
  <si>
    <t>556259810</t>
  </si>
  <si>
    <t>18</t>
  </si>
  <si>
    <t>7755411R</t>
  </si>
  <si>
    <t>Dodávka a montáž podlah plovoucích z lamel dýhovaných a laminovaných lepených v drážce š dílce do 150 mm včetně materiálu</t>
  </si>
  <si>
    <t>1583678329</t>
  </si>
  <si>
    <t>Pokládka laminátové plovoucí podlahy (např. Egger DPR Vivo) včetně materiálu</t>
  </si>
  <si>
    <t>19</t>
  </si>
  <si>
    <t>775591191</t>
  </si>
  <si>
    <t>Montáž podložky vyrovnávací a tlumící pro plovoucí podlahy</t>
  </si>
  <si>
    <t>-1200766181</t>
  </si>
  <si>
    <t>6115535R</t>
  </si>
  <si>
    <t>podložka pro kročejový útlum BENEFLOOR PERFORMANCE PLUS tl. 6 mm</t>
  </si>
  <si>
    <t>982388810</t>
  </si>
  <si>
    <t xml:space="preserve">Podložka pod plovoucí podlahu např. Adipan 5,5 mm </t>
  </si>
  <si>
    <t>998775103</t>
  </si>
  <si>
    <t>Přesun hmot tonážní pro podlahy dřevěné v objektech v do 24 m</t>
  </si>
  <si>
    <t>-761232840</t>
  </si>
  <si>
    <t>14</t>
  </si>
  <si>
    <t>776201811</t>
  </si>
  <si>
    <t>Demontáž lepených povlakových podlah bez podložky ručně</t>
  </si>
  <si>
    <t>1568749019</t>
  </si>
  <si>
    <t>Stržení stávajícího PVC</t>
  </si>
  <si>
    <t>776221111</t>
  </si>
  <si>
    <t>Lepení pásů z PVC standardním lepidlem</t>
  </si>
  <si>
    <t>-554620104</t>
  </si>
  <si>
    <t>Pokládka PVC do tl. 2,5 mm</t>
  </si>
  <si>
    <t>284110R</t>
  </si>
  <si>
    <t>PVC heterogenní zátěžové do tl. 2,5 mm</t>
  </si>
  <si>
    <t>-538318524</t>
  </si>
  <si>
    <t>17</t>
  </si>
  <si>
    <t>7763R</t>
  </si>
  <si>
    <t>Pokládka koberce vč. soklu</t>
  </si>
  <si>
    <t>2121406510</t>
  </si>
  <si>
    <t>6975100R</t>
  </si>
  <si>
    <t>koberec zátěžový-vysoká zátěž smyčka, 1500 g/m2</t>
  </si>
  <si>
    <t>-1284816975</t>
  </si>
  <si>
    <t>Dodávka + montáž do ceny 500 kč/m2 (vč. soklové části)</t>
  </si>
  <si>
    <t>22</t>
  </si>
  <si>
    <t>776521R</t>
  </si>
  <si>
    <t>Dodávka a montáž PVC soklu vč. materiálu</t>
  </si>
  <si>
    <t>498906088</t>
  </si>
  <si>
    <t>včetně materiálu</t>
  </si>
  <si>
    <t>998776103</t>
  </si>
  <si>
    <t>Přesun hmot tonážní pro podlahy povlakové v objektech v do 24 m</t>
  </si>
  <si>
    <t>834516763</t>
  </si>
  <si>
    <t>A3 - Stavební práce - Ostatní stavební práce</t>
  </si>
  <si>
    <t xml:space="preserve">    783 - Dokončovací práce - nátěry</t>
  </si>
  <si>
    <t xml:space="preserve">    789 - Povrchové úpravy ocelových konstrukcí a technologických zařízení</t>
  </si>
  <si>
    <t>24</t>
  </si>
  <si>
    <t>783125230</t>
  </si>
  <si>
    <t>Nátěry syntetické OK lehkých "C" barva standardní jednonásobné a 2x email</t>
  </si>
  <si>
    <t>2025731693</t>
  </si>
  <si>
    <t>Nátěr stávajících zárubní včetně obroušení (přebroušení, 1x základní nátěr, 2x vrchní nátěr)</t>
  </si>
  <si>
    <t>25</t>
  </si>
  <si>
    <t>783314340</t>
  </si>
  <si>
    <t>Nátěry olejové otopných těles litinových radiátorů dvojnásobné 2x email a základní</t>
  </si>
  <si>
    <t>-720058550</t>
  </si>
  <si>
    <t>Obroušení stávajícího nátěru, 1xzákladní nátěr, 2xvrchní nátěr</t>
  </si>
  <si>
    <t>26</t>
  </si>
  <si>
    <t>783601811</t>
  </si>
  <si>
    <t>Odstranění nátěrů z dřevěných oken, portálů a výkladců oškrabáním s obroušením</t>
  </si>
  <si>
    <t>-308244311</t>
  </si>
  <si>
    <t>opálení starého nátěru (přebroušení) okna, oprava kytování, tmelení</t>
  </si>
  <si>
    <t>(1,05*1,7)*6</t>
  </si>
  <si>
    <t>VV</t>
  </si>
  <si>
    <t>27</t>
  </si>
  <si>
    <t>7836018R</t>
  </si>
  <si>
    <t>Oprava nátěru parapetů (přebroušení, odmaštění, tmelení, 2x zákl.nátěr, 2x vrchní nátěr)</t>
  </si>
  <si>
    <t>-806371035</t>
  </si>
  <si>
    <t>7836211R</t>
  </si>
  <si>
    <t>Nátěry truhlářských konstrukcí 1x základní nátěr, 2x vrchní nátěr</t>
  </si>
  <si>
    <t>-804499646</t>
  </si>
  <si>
    <t>Nátěr okna (1050x1700mm), 6ks</t>
  </si>
  <si>
    <t>789121240</t>
  </si>
  <si>
    <t>Odmaštění ocelových konstrukcí třídy I</t>
  </si>
  <si>
    <t>-102264482</t>
  </si>
  <si>
    <t>odmaštění stávajících zárubní před následným nátěrem</t>
  </si>
  <si>
    <t>A4 - Stavební práce - Úpravy povrchů vnější</t>
  </si>
  <si>
    <t>622131121</t>
  </si>
  <si>
    <t>Penetrace akrylát-silikon vnějších stěn nanášená ručně</t>
  </si>
  <si>
    <t>-1227927675</t>
  </si>
  <si>
    <t>31</t>
  </si>
  <si>
    <t>622321141</t>
  </si>
  <si>
    <t>Vápenocementová omítka štuková dvouvrstvá vnějších stěn nanášená ručně</t>
  </si>
  <si>
    <t>322010328</t>
  </si>
  <si>
    <t>30</t>
  </si>
  <si>
    <t>622321191</t>
  </si>
  <si>
    <t>Příplatek k vápenocementové omítce vnějších stěn za každých dalších 5 mm tloušťky ručně</t>
  </si>
  <si>
    <t>-1062926927</t>
  </si>
  <si>
    <t>tl. jádrové omítky 20-40 mm (pozn.v položce č. 31 naceněno 15 mm jádrové omítky)</t>
  </si>
  <si>
    <t>29</t>
  </si>
  <si>
    <t>622321391</t>
  </si>
  <si>
    <t>Příplatek k vápenocementové omítce vnějších stěn za každých dalších 5 mm tloušťky strojně</t>
  </si>
  <si>
    <t>819182426</t>
  </si>
  <si>
    <t>tl. jádrové omítky do 20 mm (pozn.v položce č. 31 naceněno 15 mm jádrové omítky)</t>
  </si>
  <si>
    <t>33</t>
  </si>
  <si>
    <t>622611102</t>
  </si>
  <si>
    <t>Nátěr silikátový jednonásobný vnějších omítaných stěn bez penetrace provedený ručně</t>
  </si>
  <si>
    <t>340630289</t>
  </si>
  <si>
    <t>35</t>
  </si>
  <si>
    <t>941112131</t>
  </si>
  <si>
    <t>Montáž lešení řadového trubkového lehkého bez podlah zatížení do 200 kg/m2 š do 1,5 m v do 10 m</t>
  </si>
  <si>
    <t>596520699</t>
  </si>
  <si>
    <t>36</t>
  </si>
  <si>
    <t>941112211</t>
  </si>
  <si>
    <t>Příplatek k lešení řadovému trubkovému lehkému bez podlah š 0,9 m v 10m za první a ZKD den použití</t>
  </si>
  <si>
    <t>800340144</t>
  </si>
  <si>
    <t>odhad 10 dní práce na lešení</t>
  </si>
  <si>
    <t>37</t>
  </si>
  <si>
    <t>941112831</t>
  </si>
  <si>
    <t>Demontáž lešení řadového trubkového lehkého bez podlah zatížení do 200 kg/m2 š do 1,5 m v do 10 m</t>
  </si>
  <si>
    <t>1362151085</t>
  </si>
  <si>
    <t>28</t>
  </si>
  <si>
    <t>985111111</t>
  </si>
  <si>
    <t>Otlučení omítek stěn</t>
  </si>
  <si>
    <t>-1307392983</t>
  </si>
  <si>
    <t>-58745110</t>
  </si>
  <si>
    <t>34</t>
  </si>
  <si>
    <t>784312R</t>
  </si>
  <si>
    <t>Nátěr fasády vápennou barvou</t>
  </si>
  <si>
    <t>-733218239</t>
  </si>
  <si>
    <t>A5 - Stavební práce - Komunikace</t>
  </si>
  <si>
    <t xml:space="preserve">    1 - Zemní práce</t>
  </si>
  <si>
    <t xml:space="preserve">    5 - Komunikace pozemní</t>
  </si>
  <si>
    <t xml:space="preserve">    997 - Přesun sutě</t>
  </si>
  <si>
    <t>M - Práce a dodávky M</t>
  </si>
  <si>
    <t xml:space="preserve">    46-M - Zemní práce při extr.mont.pracích</t>
  </si>
  <si>
    <t>113106111</t>
  </si>
  <si>
    <t>Rozebrání dlažeb komunikací pro pěší z mozaiky</t>
  </si>
  <si>
    <t>-1174846429</t>
  </si>
  <si>
    <t>113107121</t>
  </si>
  <si>
    <t>Odstranění podkladu pl do 50 m2 z kameniva drceného tl 100 mm</t>
  </si>
  <si>
    <t>1505156180</t>
  </si>
  <si>
    <t>Podklad pod dlažbu</t>
  </si>
  <si>
    <t>39</t>
  </si>
  <si>
    <t>181202301</t>
  </si>
  <si>
    <t>Úprava pláně na násypech bez zhutnění</t>
  </si>
  <si>
    <t>-1947993536</t>
  </si>
  <si>
    <t>40</t>
  </si>
  <si>
    <t>59141111R</t>
  </si>
  <si>
    <t>Kladení dlažby z mozaiky a kostek kamenných komunikací pro pěší lože z kameniva</t>
  </si>
  <si>
    <t>-303550200</t>
  </si>
  <si>
    <t>Podklad štěrkodrť tl. 50 mm</t>
  </si>
  <si>
    <t>997013501</t>
  </si>
  <si>
    <t>Odvoz suti a vybouraných hmot na skládku nebo meziskládku do 1 km se složením</t>
  </si>
  <si>
    <t>186102041</t>
  </si>
  <si>
    <t>Odstraněný podklad pod dlažbu</t>
  </si>
  <si>
    <t>997013509</t>
  </si>
  <si>
    <t>Příplatek k odvozu suti a vybouraných hmot na skládku ZKD 1 km přes 1 km</t>
  </si>
  <si>
    <t>-210941997</t>
  </si>
  <si>
    <t>997221855</t>
  </si>
  <si>
    <t>Poplatek za uložení odpadu z kameniva na skládce (skládkovné)</t>
  </si>
  <si>
    <t>1401596622</t>
  </si>
  <si>
    <t>41</t>
  </si>
  <si>
    <t>58380010R</t>
  </si>
  <si>
    <t xml:space="preserve">mozaika dlažební - pražská kostka 50x50 mm </t>
  </si>
  <si>
    <t>128</t>
  </si>
  <si>
    <t>-2032263186</t>
  </si>
  <si>
    <t>42</t>
  </si>
  <si>
    <t>583800R</t>
  </si>
  <si>
    <t>Kostka kamenná 8/10 barva žula</t>
  </si>
  <si>
    <t>-1955546476</t>
  </si>
  <si>
    <t>460650173</t>
  </si>
  <si>
    <t>Očištění kostek kamenných mozaikových z rozebraných dlažeb</t>
  </si>
  <si>
    <t>64</t>
  </si>
  <si>
    <t>1930800817</t>
  </si>
  <si>
    <t>B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</si>
  <si>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</si>
  <si>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</si>
  <si>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</si>
  <si>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52</t>
  </si>
  <si>
    <t>3462443R</t>
  </si>
  <si>
    <t>Zazdívka o tl 50 mm rýh, nik nebo kapes pomocí tvarovek (např. YTONG), vč. zednického začištění</t>
  </si>
  <si>
    <t>1213126157</t>
  </si>
  <si>
    <t>Zazdění drážky pro stoupací potrubí</t>
  </si>
  <si>
    <t>53</t>
  </si>
  <si>
    <t>3462443R2</t>
  </si>
  <si>
    <t>Zazdívka rýh ve zdivu cihelném pro připojovacé potrubí k jednotl. zařiz. předmětům - 1x umyvadlo vč. zednického začištění</t>
  </si>
  <si>
    <t>-841435454</t>
  </si>
  <si>
    <t>974031132</t>
  </si>
  <si>
    <t>Vysekání rýh ve zdivu cihelném hl do 50 mm š do 70 mm</t>
  </si>
  <si>
    <t>-1290347253</t>
  </si>
  <si>
    <t>Vysekání drážky pro výměnu vedení zdrav. instalací</t>
  </si>
  <si>
    <t>54</t>
  </si>
  <si>
    <t>974R</t>
  </si>
  <si>
    <t>Zapravení drážek pro rozvody elektroinstalací ve zděných stěnách</t>
  </si>
  <si>
    <t>133382426</t>
  </si>
  <si>
    <t>1056297920</t>
  </si>
  <si>
    <t>43</t>
  </si>
  <si>
    <t>721140806R</t>
  </si>
  <si>
    <t>Demontáž potrubí litinové do DN 200 s vysekáním ze zdi</t>
  </si>
  <si>
    <t>1406314818</t>
  </si>
  <si>
    <t>50</t>
  </si>
  <si>
    <t>721174042</t>
  </si>
  <si>
    <t>Potrubí kanalizační z PP připojovací systém HT DN 40</t>
  </si>
  <si>
    <t>-281899788</t>
  </si>
  <si>
    <t>49</t>
  </si>
  <si>
    <t>721174044R</t>
  </si>
  <si>
    <t>Potrubí kanalizační z PP připojovací systém HT DN 75 x 1,8</t>
  </si>
  <si>
    <t>1283697125</t>
  </si>
  <si>
    <t>51</t>
  </si>
  <si>
    <t>721194104</t>
  </si>
  <si>
    <t>Vyvedení a upevnění odpadních výpustek DN 40</t>
  </si>
  <si>
    <t>940261879</t>
  </si>
  <si>
    <t>D 40 x 1,8</t>
  </si>
  <si>
    <t>44</t>
  </si>
  <si>
    <t>722130803</t>
  </si>
  <si>
    <t>Demontáž potrubí ocelové pozinkované závitové do DN 50</t>
  </si>
  <si>
    <t>-620347443</t>
  </si>
  <si>
    <t>46</t>
  </si>
  <si>
    <t>722174002</t>
  </si>
  <si>
    <t>Potrubí vodovodní plastové PPR svar polyfuze PN 16 D 20 x 2,8 mm</t>
  </si>
  <si>
    <t>1010532502</t>
  </si>
  <si>
    <t>45</t>
  </si>
  <si>
    <t>722174003</t>
  </si>
  <si>
    <t>Potrubí vodovodní plastové PPR svar polyfuze PN 16 D 25 x 3,5 mm</t>
  </si>
  <si>
    <t>-944582676</t>
  </si>
  <si>
    <t>56</t>
  </si>
  <si>
    <t>7252108R</t>
  </si>
  <si>
    <t>Demontáž a zpětná montáž umyvadel včetně výtokových armatur, konzolí pro zavěšení, stojánkové baterie</t>
  </si>
  <si>
    <t>soubor</t>
  </si>
  <si>
    <t>1898698405</t>
  </si>
  <si>
    <t>57</t>
  </si>
  <si>
    <t>725980123R</t>
  </si>
  <si>
    <t>Dvířka revizní 30/30 k vodovodním uzávěrům</t>
  </si>
  <si>
    <t>-349650768</t>
  </si>
  <si>
    <t>plastová</t>
  </si>
  <si>
    <t>58</t>
  </si>
  <si>
    <t>725R</t>
  </si>
  <si>
    <t>Přemístění stávajících vývodů nástěnné baterie pod umyvadlo (pro stojánk. baterii) vč. montáže rohových ventilů a zednického začištění</t>
  </si>
  <si>
    <t>-1620009019</t>
  </si>
  <si>
    <t>55</t>
  </si>
  <si>
    <t>763121411R</t>
  </si>
  <si>
    <t>SDK stěna předsazená tl 62,5 mm profil CW+UW 50 deska 1xA 12,5 bez TI EI 15 včetně úprav pro uchycení umyvadla</t>
  </si>
  <si>
    <t>-1561577940</t>
  </si>
  <si>
    <t>763172312</t>
  </si>
  <si>
    <t>Montáž revizních dvířek SDK kcí vel. 300x300 mm</t>
  </si>
  <si>
    <t>-282831001</t>
  </si>
  <si>
    <t>C - Elektroinstalace</t>
  </si>
  <si>
    <t xml:space="preserve">    748 - Elektromontáže - osvětlovací zařízení a svítidla</t>
  </si>
  <si>
    <t>60</t>
  </si>
  <si>
    <t>741R</t>
  </si>
  <si>
    <t>Elektro páce silnoproud - přemístění el. přívodu světla včetně drážkování a konečného zapravení</t>
  </si>
  <si>
    <t>1021057096</t>
  </si>
  <si>
    <t>61</t>
  </si>
  <si>
    <t>741R1</t>
  </si>
  <si>
    <t>Přemístění vypínače vč. drážkování, konečeného zapravení, dodávky a montáže rámečku, těla a ovladače</t>
  </si>
  <si>
    <t>1446040287</t>
  </si>
  <si>
    <t>59</t>
  </si>
  <si>
    <t>74811R-D</t>
  </si>
  <si>
    <t>Demontáž a zpětná montáž stávajícíh svítidel</t>
  </si>
  <si>
    <t>1926750094</t>
  </si>
  <si>
    <t>D - Ostatní položky</t>
  </si>
  <si>
    <t>VRN - Vedlejší rozpočtové náklady</t>
  </si>
  <si>
    <t xml:space="preserve">    VRN8 - Přesun stavebních kapacit</t>
  </si>
  <si>
    <t>9529020R</t>
  </si>
  <si>
    <t>Závěrečný úklid a přesun hmot v rámci objektu</t>
  </si>
  <si>
    <t>kpl</t>
  </si>
  <si>
    <t>2053235403</t>
  </si>
  <si>
    <t>081103R</t>
  </si>
  <si>
    <t>Doprava mimo Prahu</t>
  </si>
  <si>
    <t>km</t>
  </si>
  <si>
    <t>1024</t>
  </si>
  <si>
    <t>-760132370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</si>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</sst>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69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34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top" wrapText="1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0" borderId="33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0" fontId="70" fillId="33" borderId="0" xfId="36" applyFont="1" applyFill="1" applyAlignment="1" applyProtection="1">
      <alignment horizontal="center" vertical="center"/>
      <protection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83C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BD9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45A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C35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160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ECD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1DA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E2D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8EE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83C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5BD9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45A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CC35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160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ECD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21DA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9E2D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8EE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zoomScalePageLayoutView="0" workbookViewId="0" topLeftCell="A1">
      <pane ySplit="1" topLeftCell="A32" activePane="bottomLeft" state="frozen"/>
      <selection pane="topLeft" activeCell="A1" sqref="A1"/>
      <selection pane="bottomLeft" activeCell="A40" sqref="A40:IV69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36" t="s">
        <v>0</v>
      </c>
      <c r="B1" s="137"/>
      <c r="C1" s="137"/>
      <c r="D1" s="138" t="s">
        <v>1</v>
      </c>
      <c r="E1" s="137"/>
      <c r="F1" s="137"/>
      <c r="G1" s="137"/>
      <c r="H1" s="137"/>
      <c r="I1" s="137"/>
      <c r="J1" s="137"/>
      <c r="K1" s="139" t="s">
        <v>535</v>
      </c>
      <c r="L1" s="139"/>
      <c r="M1" s="139"/>
      <c r="N1" s="139"/>
      <c r="O1" s="139"/>
      <c r="P1" s="139"/>
      <c r="Q1" s="139"/>
      <c r="R1" s="139"/>
      <c r="S1" s="139"/>
      <c r="T1" s="137"/>
      <c r="U1" s="137"/>
      <c r="V1" s="137"/>
      <c r="W1" s="139" t="s">
        <v>536</v>
      </c>
      <c r="X1" s="139"/>
      <c r="Y1" s="139"/>
      <c r="Z1" s="139"/>
      <c r="AA1" s="139"/>
      <c r="AB1" s="139"/>
      <c r="AC1" s="139"/>
      <c r="AD1" s="139"/>
      <c r="AE1" s="139"/>
      <c r="AF1" s="139"/>
      <c r="AG1" s="137"/>
      <c r="AH1" s="137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1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R2" s="168" t="s">
        <v>5</v>
      </c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43" t="s">
        <v>9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44" t="s">
        <v>13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45" t="s">
        <v>15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 t="s">
        <v>23</v>
      </c>
      <c r="AQ8" s="11"/>
      <c r="BS8" s="6" t="s">
        <v>24</v>
      </c>
    </row>
    <row r="9" spans="2:71" s="2" customFormat="1" ht="15" customHeight="1">
      <c r="B9" s="10"/>
      <c r="AQ9" s="11"/>
      <c r="BS9" s="6" t="s">
        <v>25</v>
      </c>
    </row>
    <row r="10" spans="2:71" s="2" customFormat="1" ht="15" customHeight="1">
      <c r="B10" s="10"/>
      <c r="D10" s="16" t="s">
        <v>26</v>
      </c>
      <c r="AK10" s="16" t="s">
        <v>27</v>
      </c>
      <c r="AN10" s="14" t="s">
        <v>28</v>
      </c>
      <c r="AQ10" s="11"/>
      <c r="BS10" s="6" t="s">
        <v>16</v>
      </c>
    </row>
    <row r="11" spans="2:71" s="2" customFormat="1" ht="19.5" customHeight="1">
      <c r="B11" s="10"/>
      <c r="E11" s="14" t="s">
        <v>29</v>
      </c>
      <c r="AK11" s="16" t="s">
        <v>30</v>
      </c>
      <c r="AN11" s="14" t="s">
        <v>31</v>
      </c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32</v>
      </c>
      <c r="AK13" s="16" t="s">
        <v>27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21</v>
      </c>
      <c r="AK14" s="16" t="s">
        <v>30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33</v>
      </c>
      <c r="AK16" s="16" t="s">
        <v>27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21</v>
      </c>
      <c r="AK17" s="16" t="s">
        <v>30</v>
      </c>
      <c r="AN17" s="14"/>
      <c r="AQ17" s="11"/>
      <c r="BS17" s="6" t="s">
        <v>34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35</v>
      </c>
      <c r="AK19" s="16" t="s">
        <v>27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21</v>
      </c>
      <c r="AK20" s="16" t="s">
        <v>30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36</v>
      </c>
      <c r="AQ22" s="11"/>
    </row>
    <row r="23" spans="2:43" s="2" customFormat="1" ht="15.75" customHeight="1">
      <c r="B23" s="10"/>
      <c r="E23" s="146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37</v>
      </c>
      <c r="AK26" s="147">
        <f>ROUND($AG$87,2)</f>
        <v>312767.01</v>
      </c>
      <c r="AL26" s="142"/>
      <c r="AM26" s="142"/>
      <c r="AN26" s="142"/>
      <c r="AO26" s="142"/>
      <c r="AQ26" s="11"/>
    </row>
    <row r="27" spans="2:43" s="2" customFormat="1" ht="15" customHeight="1">
      <c r="B27" s="10"/>
      <c r="D27" s="18" t="s">
        <v>38</v>
      </c>
      <c r="AK27" s="147">
        <f>ROUND($AG$97,2)</f>
        <v>0</v>
      </c>
      <c r="AL27" s="142"/>
      <c r="AM27" s="142"/>
      <c r="AN27" s="142"/>
      <c r="AO27" s="142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39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48">
        <f>ROUND($AK$26+$AK$27,2)</f>
        <v>312767.01</v>
      </c>
      <c r="AL29" s="149"/>
      <c r="AM29" s="149"/>
      <c r="AN29" s="149"/>
      <c r="AO29" s="149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40</v>
      </c>
      <c r="F31" s="24" t="s">
        <v>41</v>
      </c>
      <c r="L31" s="150">
        <v>0.21</v>
      </c>
      <c r="M31" s="151"/>
      <c r="N31" s="151"/>
      <c r="O31" s="151"/>
      <c r="T31" s="26" t="s">
        <v>42</v>
      </c>
      <c r="W31" s="152">
        <f>ROUND($AZ$87+SUM($CD$98:$CD$98),2)</f>
        <v>312767.01</v>
      </c>
      <c r="X31" s="151"/>
      <c r="Y31" s="151"/>
      <c r="Z31" s="151"/>
      <c r="AA31" s="151"/>
      <c r="AB31" s="151"/>
      <c r="AC31" s="151"/>
      <c r="AD31" s="151"/>
      <c r="AE31" s="151"/>
      <c r="AK31" s="152">
        <f>ROUND($AV$87+SUM($BY$98:$BY$98),2)</f>
        <v>65681.07</v>
      </c>
      <c r="AL31" s="151"/>
      <c r="AM31" s="151"/>
      <c r="AN31" s="151"/>
      <c r="AO31" s="151"/>
      <c r="AQ31" s="27"/>
    </row>
    <row r="32" spans="2:43" s="6" customFormat="1" ht="15" customHeight="1">
      <c r="B32" s="23"/>
      <c r="F32" s="24" t="s">
        <v>43</v>
      </c>
      <c r="L32" s="150">
        <v>0.15</v>
      </c>
      <c r="M32" s="151"/>
      <c r="N32" s="151"/>
      <c r="O32" s="151"/>
      <c r="T32" s="26" t="s">
        <v>42</v>
      </c>
      <c r="W32" s="152">
        <f>ROUND($BA$87+SUM($CE$98:$CE$98),2)</f>
        <v>0</v>
      </c>
      <c r="X32" s="151"/>
      <c r="Y32" s="151"/>
      <c r="Z32" s="151"/>
      <c r="AA32" s="151"/>
      <c r="AB32" s="151"/>
      <c r="AC32" s="151"/>
      <c r="AD32" s="151"/>
      <c r="AE32" s="151"/>
      <c r="AK32" s="152">
        <f>ROUND($AW$87+SUM($BZ$98:$BZ$98),2)</f>
        <v>0</v>
      </c>
      <c r="AL32" s="151"/>
      <c r="AM32" s="151"/>
      <c r="AN32" s="151"/>
      <c r="AO32" s="151"/>
      <c r="AQ32" s="27"/>
    </row>
    <row r="33" spans="2:43" s="6" customFormat="1" ht="15" customHeight="1" hidden="1">
      <c r="B33" s="23"/>
      <c r="F33" s="24" t="s">
        <v>44</v>
      </c>
      <c r="L33" s="150">
        <v>0.21</v>
      </c>
      <c r="M33" s="151"/>
      <c r="N33" s="151"/>
      <c r="O33" s="151"/>
      <c r="T33" s="26" t="s">
        <v>42</v>
      </c>
      <c r="W33" s="152">
        <f>ROUND($BB$87+SUM($CF$98:$CF$98),2)</f>
        <v>0</v>
      </c>
      <c r="X33" s="151"/>
      <c r="Y33" s="151"/>
      <c r="Z33" s="151"/>
      <c r="AA33" s="151"/>
      <c r="AB33" s="151"/>
      <c r="AC33" s="151"/>
      <c r="AD33" s="151"/>
      <c r="AE33" s="151"/>
      <c r="AK33" s="152">
        <v>0</v>
      </c>
      <c r="AL33" s="151"/>
      <c r="AM33" s="151"/>
      <c r="AN33" s="151"/>
      <c r="AO33" s="151"/>
      <c r="AQ33" s="27"/>
    </row>
    <row r="34" spans="2:43" s="6" customFormat="1" ht="15" customHeight="1" hidden="1">
      <c r="B34" s="23"/>
      <c r="F34" s="24" t="s">
        <v>45</v>
      </c>
      <c r="L34" s="150">
        <v>0.15</v>
      </c>
      <c r="M34" s="151"/>
      <c r="N34" s="151"/>
      <c r="O34" s="151"/>
      <c r="T34" s="26" t="s">
        <v>42</v>
      </c>
      <c r="W34" s="152">
        <f>ROUND($BC$87+SUM($CG$98:$CG$98),2)</f>
        <v>0</v>
      </c>
      <c r="X34" s="151"/>
      <c r="Y34" s="151"/>
      <c r="Z34" s="151"/>
      <c r="AA34" s="151"/>
      <c r="AB34" s="151"/>
      <c r="AC34" s="151"/>
      <c r="AD34" s="151"/>
      <c r="AE34" s="151"/>
      <c r="AK34" s="152">
        <v>0</v>
      </c>
      <c r="AL34" s="151"/>
      <c r="AM34" s="151"/>
      <c r="AN34" s="151"/>
      <c r="AO34" s="151"/>
      <c r="AQ34" s="27"/>
    </row>
    <row r="35" spans="2:43" s="6" customFormat="1" ht="15" customHeight="1" hidden="1">
      <c r="B35" s="23"/>
      <c r="F35" s="24" t="s">
        <v>46</v>
      </c>
      <c r="L35" s="150">
        <v>0</v>
      </c>
      <c r="M35" s="151"/>
      <c r="N35" s="151"/>
      <c r="O35" s="151"/>
      <c r="T35" s="26" t="s">
        <v>42</v>
      </c>
      <c r="W35" s="152">
        <f>ROUND($BD$87+SUM($CH$98:$CH$98),2)</f>
        <v>0</v>
      </c>
      <c r="X35" s="151"/>
      <c r="Y35" s="151"/>
      <c r="Z35" s="151"/>
      <c r="AA35" s="151"/>
      <c r="AB35" s="151"/>
      <c r="AC35" s="151"/>
      <c r="AD35" s="151"/>
      <c r="AE35" s="151"/>
      <c r="AK35" s="152">
        <v>0</v>
      </c>
      <c r="AL35" s="151"/>
      <c r="AM35" s="151"/>
      <c r="AN35" s="151"/>
      <c r="AO35" s="151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47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48</v>
      </c>
      <c r="U37" s="30"/>
      <c r="V37" s="30"/>
      <c r="W37" s="30"/>
      <c r="X37" s="153" t="s">
        <v>49</v>
      </c>
      <c r="Y37" s="154"/>
      <c r="Z37" s="154"/>
      <c r="AA37" s="154"/>
      <c r="AB37" s="154"/>
      <c r="AC37" s="30"/>
      <c r="AD37" s="30"/>
      <c r="AE37" s="30"/>
      <c r="AF37" s="30"/>
      <c r="AG37" s="30"/>
      <c r="AH37" s="30"/>
      <c r="AI37" s="30"/>
      <c r="AJ37" s="30"/>
      <c r="AK37" s="155">
        <f>SUM($AK$29:$AK$35)</f>
        <v>378448.08</v>
      </c>
      <c r="AL37" s="154"/>
      <c r="AM37" s="154"/>
      <c r="AN37" s="154"/>
      <c r="AO37" s="156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 hidden="1">
      <c r="B40" s="10"/>
      <c r="AQ40" s="11"/>
    </row>
    <row r="41" spans="2:43" s="2" customFormat="1" ht="14.25" customHeight="1" hidden="1">
      <c r="B41" s="10"/>
      <c r="AQ41" s="11"/>
    </row>
    <row r="42" spans="2:43" s="2" customFormat="1" ht="14.25" customHeight="1" hidden="1">
      <c r="B42" s="10"/>
      <c r="AQ42" s="11"/>
    </row>
    <row r="43" spans="2:43" s="2" customFormat="1" ht="14.25" customHeight="1" hidden="1">
      <c r="B43" s="10"/>
      <c r="AQ43" s="11"/>
    </row>
    <row r="44" spans="2:43" s="2" customFormat="1" ht="14.25" customHeight="1" hidden="1">
      <c r="B44" s="10"/>
      <c r="AQ44" s="11"/>
    </row>
    <row r="45" spans="2:43" s="2" customFormat="1" ht="14.25" customHeight="1" hidden="1">
      <c r="B45" s="10"/>
      <c r="AQ45" s="11"/>
    </row>
    <row r="46" spans="2:43" s="2" customFormat="1" ht="14.25" customHeight="1" hidden="1">
      <c r="B46" s="10"/>
      <c r="AQ46" s="11"/>
    </row>
    <row r="47" spans="2:43" s="2" customFormat="1" ht="14.25" customHeight="1" hidden="1">
      <c r="B47" s="10"/>
      <c r="AQ47" s="11"/>
    </row>
    <row r="48" spans="2:43" s="2" customFormat="1" ht="14.25" customHeight="1" hidden="1">
      <c r="B48" s="10"/>
      <c r="AQ48" s="11"/>
    </row>
    <row r="49" spans="2:43" s="6" customFormat="1" ht="15.75" customHeight="1" hidden="1">
      <c r="B49" s="19"/>
      <c r="D49" s="32" t="s">
        <v>50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51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 hidden="1">
      <c r="B50" s="10"/>
      <c r="D50" s="35"/>
      <c r="Z50" s="36"/>
      <c r="AC50" s="35"/>
      <c r="AO50" s="36"/>
      <c r="AQ50" s="11"/>
    </row>
    <row r="51" spans="2:43" s="2" customFormat="1" ht="14.25" customHeight="1" hidden="1">
      <c r="B51" s="10"/>
      <c r="D51" s="35"/>
      <c r="Z51" s="36"/>
      <c r="AC51" s="35"/>
      <c r="AO51" s="36"/>
      <c r="AQ51" s="11"/>
    </row>
    <row r="52" spans="2:43" s="2" customFormat="1" ht="14.25" customHeight="1" hidden="1">
      <c r="B52" s="10"/>
      <c r="D52" s="35"/>
      <c r="Z52" s="36"/>
      <c r="AC52" s="35"/>
      <c r="AO52" s="36"/>
      <c r="AQ52" s="11"/>
    </row>
    <row r="53" spans="2:43" s="2" customFormat="1" ht="14.25" customHeight="1" hidden="1">
      <c r="B53" s="10"/>
      <c r="D53" s="35"/>
      <c r="Z53" s="36"/>
      <c r="AC53" s="35"/>
      <c r="AO53" s="36"/>
      <c r="AQ53" s="11"/>
    </row>
    <row r="54" spans="2:43" s="2" customFormat="1" ht="14.25" customHeight="1" hidden="1">
      <c r="B54" s="10"/>
      <c r="D54" s="35"/>
      <c r="Z54" s="36"/>
      <c r="AC54" s="35"/>
      <c r="AO54" s="36"/>
      <c r="AQ54" s="11"/>
    </row>
    <row r="55" spans="2:43" s="2" customFormat="1" ht="14.25" customHeight="1" hidden="1">
      <c r="B55" s="10"/>
      <c r="D55" s="35"/>
      <c r="Z55" s="36"/>
      <c r="AC55" s="35"/>
      <c r="AO55" s="36"/>
      <c r="AQ55" s="11"/>
    </row>
    <row r="56" spans="2:43" s="2" customFormat="1" ht="14.25" customHeight="1" hidden="1">
      <c r="B56" s="10"/>
      <c r="D56" s="35"/>
      <c r="Z56" s="36"/>
      <c r="AC56" s="35"/>
      <c r="AO56" s="36"/>
      <c r="AQ56" s="11"/>
    </row>
    <row r="57" spans="2:43" s="2" customFormat="1" ht="14.25" customHeight="1" hidden="1">
      <c r="B57" s="10"/>
      <c r="D57" s="35"/>
      <c r="Z57" s="36"/>
      <c r="AC57" s="35"/>
      <c r="AO57" s="36"/>
      <c r="AQ57" s="11"/>
    </row>
    <row r="58" spans="2:43" s="6" customFormat="1" ht="15.75" customHeight="1" hidden="1">
      <c r="B58" s="19"/>
      <c r="D58" s="37" t="s">
        <v>52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53</v>
      </c>
      <c r="S58" s="38"/>
      <c r="T58" s="38"/>
      <c r="U58" s="38"/>
      <c r="V58" s="38"/>
      <c r="W58" s="38"/>
      <c r="X58" s="38"/>
      <c r="Y58" s="38"/>
      <c r="Z58" s="40"/>
      <c r="AC58" s="37" t="s">
        <v>52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53</v>
      </c>
      <c r="AN58" s="38"/>
      <c r="AO58" s="40"/>
      <c r="AQ58" s="20"/>
    </row>
    <row r="59" spans="2:43" s="2" customFormat="1" ht="14.25" customHeight="1" hidden="1">
      <c r="B59" s="10"/>
      <c r="AQ59" s="11"/>
    </row>
    <row r="60" spans="2:43" s="6" customFormat="1" ht="15.75" customHeight="1" hidden="1">
      <c r="B60" s="19"/>
      <c r="D60" s="32" t="s">
        <v>54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55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 hidden="1">
      <c r="B61" s="10"/>
      <c r="D61" s="35"/>
      <c r="Z61" s="36"/>
      <c r="AC61" s="35"/>
      <c r="AO61" s="36"/>
      <c r="AQ61" s="11"/>
    </row>
    <row r="62" spans="2:43" s="2" customFormat="1" ht="14.25" customHeight="1" hidden="1">
      <c r="B62" s="10"/>
      <c r="D62" s="35"/>
      <c r="Z62" s="36"/>
      <c r="AC62" s="35"/>
      <c r="AO62" s="36"/>
      <c r="AQ62" s="11"/>
    </row>
    <row r="63" spans="2:43" s="2" customFormat="1" ht="14.25" customHeight="1" hidden="1">
      <c r="B63" s="10"/>
      <c r="D63" s="35"/>
      <c r="Z63" s="36"/>
      <c r="AC63" s="35"/>
      <c r="AO63" s="36"/>
      <c r="AQ63" s="11"/>
    </row>
    <row r="64" spans="2:43" s="2" customFormat="1" ht="14.25" customHeight="1" hidden="1">
      <c r="B64" s="10"/>
      <c r="D64" s="35"/>
      <c r="Z64" s="36"/>
      <c r="AC64" s="35"/>
      <c r="AO64" s="36"/>
      <c r="AQ64" s="11"/>
    </row>
    <row r="65" spans="2:43" s="2" customFormat="1" ht="14.25" customHeight="1" hidden="1">
      <c r="B65" s="10"/>
      <c r="D65" s="35"/>
      <c r="Z65" s="36"/>
      <c r="AC65" s="35"/>
      <c r="AO65" s="36"/>
      <c r="AQ65" s="11"/>
    </row>
    <row r="66" spans="2:43" s="2" customFormat="1" ht="14.25" customHeight="1" hidden="1">
      <c r="B66" s="10"/>
      <c r="D66" s="35"/>
      <c r="Z66" s="36"/>
      <c r="AC66" s="35"/>
      <c r="AO66" s="36"/>
      <c r="AQ66" s="11"/>
    </row>
    <row r="67" spans="2:43" s="2" customFormat="1" ht="14.25" customHeight="1" hidden="1">
      <c r="B67" s="10"/>
      <c r="D67" s="35"/>
      <c r="Z67" s="36"/>
      <c r="AC67" s="35"/>
      <c r="AO67" s="36"/>
      <c r="AQ67" s="11"/>
    </row>
    <row r="68" spans="2:43" s="2" customFormat="1" ht="14.25" customHeight="1" hidden="1">
      <c r="B68" s="10"/>
      <c r="D68" s="35"/>
      <c r="Z68" s="36"/>
      <c r="AC68" s="35"/>
      <c r="AO68" s="36"/>
      <c r="AQ68" s="11"/>
    </row>
    <row r="69" spans="2:43" s="6" customFormat="1" ht="15.75" customHeight="1" hidden="1">
      <c r="B69" s="19"/>
      <c r="D69" s="37" t="s">
        <v>52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53</v>
      </c>
      <c r="S69" s="38"/>
      <c r="T69" s="38"/>
      <c r="U69" s="38"/>
      <c r="V69" s="38"/>
      <c r="W69" s="38"/>
      <c r="X69" s="38"/>
      <c r="Y69" s="38"/>
      <c r="Z69" s="40"/>
      <c r="AC69" s="37" t="s">
        <v>52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53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43" t="s">
        <v>56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20"/>
    </row>
    <row r="77" spans="2:43" s="14" customFormat="1" ht="15" customHeight="1">
      <c r="B77" s="47"/>
      <c r="C77" s="16" t="s">
        <v>12</v>
      </c>
      <c r="L77" s="14" t="str">
        <f>$K$5</f>
        <v>20161023</v>
      </c>
      <c r="AQ77" s="48"/>
    </row>
    <row r="78" spans="2:43" s="49" customFormat="1" ht="37.5" customHeight="1">
      <c r="B78" s="50"/>
      <c r="C78" s="49" t="s">
        <v>14</v>
      </c>
      <c r="L78" s="158" t="str">
        <f>$K$6</f>
        <v>UK-stavební práce</v>
      </c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2" t="str">
        <f>IF($K$8="","",$K$8)</f>
        <v> </v>
      </c>
      <c r="AI80" s="16" t="s">
        <v>22</v>
      </c>
      <c r="AM80" s="53" t="str">
        <f>IF($AN$8="","",$AN$8)</f>
        <v>23.10.2016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26</v>
      </c>
      <c r="L82" s="14" t="str">
        <f>IF($E$11="","",$E$11)</f>
        <v>Univerzita Karlova - Správa budov a zařízení</v>
      </c>
      <c r="AI82" s="16" t="s">
        <v>33</v>
      </c>
      <c r="AM82" s="144" t="str">
        <f>IF($E$17="","",$E$17)</f>
        <v> </v>
      </c>
      <c r="AN82" s="157"/>
      <c r="AO82" s="157"/>
      <c r="AP82" s="157"/>
      <c r="AQ82" s="20"/>
      <c r="AS82" s="159" t="s">
        <v>57</v>
      </c>
      <c r="AT82" s="160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32</v>
      </c>
      <c r="L83" s="14" t="str">
        <f>IF($E$14="","",$E$14)</f>
        <v> </v>
      </c>
      <c r="AI83" s="16" t="s">
        <v>35</v>
      </c>
      <c r="AM83" s="144" t="str">
        <f>IF($E$20="","",$E$20)</f>
        <v> </v>
      </c>
      <c r="AN83" s="157"/>
      <c r="AO83" s="157"/>
      <c r="AP83" s="157"/>
      <c r="AQ83" s="20"/>
      <c r="AS83" s="161"/>
      <c r="AT83" s="157"/>
      <c r="BD83" s="55"/>
    </row>
    <row r="84" spans="2:56" s="6" customFormat="1" ht="12" customHeight="1">
      <c r="B84" s="19"/>
      <c r="AQ84" s="20"/>
      <c r="AS84" s="161"/>
      <c r="AT84" s="157"/>
      <c r="BD84" s="55"/>
    </row>
    <row r="85" spans="2:57" s="6" customFormat="1" ht="30" customHeight="1">
      <c r="B85" s="19"/>
      <c r="C85" s="162" t="s">
        <v>58</v>
      </c>
      <c r="D85" s="154"/>
      <c r="E85" s="154"/>
      <c r="F85" s="154"/>
      <c r="G85" s="154"/>
      <c r="H85" s="30"/>
      <c r="I85" s="163" t="s">
        <v>59</v>
      </c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63" t="s">
        <v>60</v>
      </c>
      <c r="AH85" s="154"/>
      <c r="AI85" s="154"/>
      <c r="AJ85" s="154"/>
      <c r="AK85" s="154"/>
      <c r="AL85" s="154"/>
      <c r="AM85" s="154"/>
      <c r="AN85" s="163" t="s">
        <v>61</v>
      </c>
      <c r="AO85" s="154"/>
      <c r="AP85" s="156"/>
      <c r="AQ85" s="20"/>
      <c r="AS85" s="56" t="s">
        <v>62</v>
      </c>
      <c r="AT85" s="57" t="s">
        <v>63</v>
      </c>
      <c r="AU85" s="57" t="s">
        <v>64</v>
      </c>
      <c r="AV85" s="57" t="s">
        <v>65</v>
      </c>
      <c r="AW85" s="57" t="s">
        <v>66</v>
      </c>
      <c r="AX85" s="57" t="s">
        <v>67</v>
      </c>
      <c r="AY85" s="57" t="s">
        <v>68</v>
      </c>
      <c r="AZ85" s="57" t="s">
        <v>69</v>
      </c>
      <c r="BA85" s="57" t="s">
        <v>70</v>
      </c>
      <c r="BB85" s="57" t="s">
        <v>71</v>
      </c>
      <c r="BC85" s="57" t="s">
        <v>72</v>
      </c>
      <c r="BD85" s="58" t="s">
        <v>73</v>
      </c>
      <c r="BE85" s="59"/>
    </row>
    <row r="86" spans="2:56" s="6" customFormat="1" ht="12" customHeight="1">
      <c r="B86" s="19"/>
      <c r="AQ86" s="20"/>
      <c r="AS86" s="60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1" t="s">
        <v>74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169">
        <f>ROUND(SUM($AG$88:$AG$95),2)</f>
        <v>312767.01</v>
      </c>
      <c r="AH87" s="170"/>
      <c r="AI87" s="170"/>
      <c r="AJ87" s="170"/>
      <c r="AK87" s="170"/>
      <c r="AL87" s="170"/>
      <c r="AM87" s="170"/>
      <c r="AN87" s="169">
        <f>SUM($AG$87,$AT$87)</f>
        <v>378448.08</v>
      </c>
      <c r="AO87" s="170"/>
      <c r="AP87" s="170"/>
      <c r="AQ87" s="51"/>
      <c r="AS87" s="62">
        <f>ROUND(SUM($AS$88:$AS$95),2)</f>
        <v>0</v>
      </c>
      <c r="AT87" s="63">
        <f>ROUND(SUM($AV$87:$AW$87),2)</f>
        <v>65681.07</v>
      </c>
      <c r="AU87" s="64">
        <f>ROUND(SUM($AU$88:$AU$95),5)</f>
        <v>361.65444</v>
      </c>
      <c r="AV87" s="63">
        <f>ROUND($AZ$87*$L$31,2)</f>
        <v>65681.07</v>
      </c>
      <c r="AW87" s="63">
        <f>ROUND($BA$87*$L$32,2)</f>
        <v>0</v>
      </c>
      <c r="AX87" s="63">
        <f>ROUND($BB$87*$L$31,2)</f>
        <v>0</v>
      </c>
      <c r="AY87" s="63">
        <f>ROUND($BC$87*$L$32,2)</f>
        <v>0</v>
      </c>
      <c r="AZ87" s="63">
        <f>ROUND(SUM($AZ$88:$AZ$95),2)</f>
        <v>312767.01</v>
      </c>
      <c r="BA87" s="63">
        <f>ROUND(SUM($BA$88:$BA$95),2)</f>
        <v>0</v>
      </c>
      <c r="BB87" s="63">
        <f>ROUND(SUM($BB$88:$BB$95),2)</f>
        <v>0</v>
      </c>
      <c r="BC87" s="63">
        <f>ROUND(SUM($BC$88:$BC$95),2)</f>
        <v>0</v>
      </c>
      <c r="BD87" s="65">
        <f>ROUND(SUM($BD$88:$BD$95),2)</f>
        <v>0</v>
      </c>
      <c r="BS87" s="49" t="s">
        <v>75</v>
      </c>
      <c r="BT87" s="49" t="s">
        <v>76</v>
      </c>
      <c r="BU87" s="66" t="s">
        <v>77</v>
      </c>
      <c r="BV87" s="49" t="s">
        <v>78</v>
      </c>
      <c r="BW87" s="49" t="s">
        <v>79</v>
      </c>
      <c r="BX87" s="49" t="s">
        <v>80</v>
      </c>
    </row>
    <row r="88" spans="1:76" s="67" customFormat="1" ht="28.5" customHeight="1">
      <c r="A88" s="135" t="s">
        <v>537</v>
      </c>
      <c r="B88" s="68"/>
      <c r="C88" s="69"/>
      <c r="D88" s="166" t="s">
        <v>81</v>
      </c>
      <c r="E88" s="167"/>
      <c r="F88" s="167"/>
      <c r="G88" s="167"/>
      <c r="H88" s="167"/>
      <c r="I88" s="69"/>
      <c r="J88" s="166" t="s">
        <v>82</v>
      </c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4">
        <f>'A1 - Stavební práce - Stě...'!$M$30</f>
        <v>66903.92</v>
      </c>
      <c r="AH88" s="165"/>
      <c r="AI88" s="165"/>
      <c r="AJ88" s="165"/>
      <c r="AK88" s="165"/>
      <c r="AL88" s="165"/>
      <c r="AM88" s="165"/>
      <c r="AN88" s="164">
        <f>SUM($AG$88,$AT$88)</f>
        <v>80953.73999999999</v>
      </c>
      <c r="AO88" s="165"/>
      <c r="AP88" s="165"/>
      <c r="AQ88" s="70"/>
      <c r="AS88" s="71">
        <f>'A1 - Stavební práce - Stě...'!$M$28</f>
        <v>0</v>
      </c>
      <c r="AT88" s="72">
        <f>ROUND(SUM($AV$88:$AW$88),2)</f>
        <v>14049.82</v>
      </c>
      <c r="AU88" s="73">
        <f>'A1 - Stavební práce - Stě...'!$W$119</f>
        <v>126.181894</v>
      </c>
      <c r="AV88" s="72">
        <f>'A1 - Stavební práce - Stě...'!$M$32</f>
        <v>14049.82</v>
      </c>
      <c r="AW88" s="72">
        <f>'A1 - Stavební práce - Stě...'!$M$33</f>
        <v>0</v>
      </c>
      <c r="AX88" s="72">
        <f>'A1 - Stavební práce - Stě...'!$M$34</f>
        <v>0</v>
      </c>
      <c r="AY88" s="72">
        <f>'A1 - Stavební práce - Stě...'!$M$35</f>
        <v>0</v>
      </c>
      <c r="AZ88" s="72">
        <f>'A1 - Stavební práce - Stě...'!$H$32</f>
        <v>66903.92</v>
      </c>
      <c r="BA88" s="72">
        <f>'A1 - Stavební práce - Stě...'!$H$33</f>
        <v>0</v>
      </c>
      <c r="BB88" s="72">
        <f>'A1 - Stavební práce - Stě...'!$H$34</f>
        <v>0</v>
      </c>
      <c r="BC88" s="72">
        <f>'A1 - Stavební práce - Stě...'!$H$35</f>
        <v>0</v>
      </c>
      <c r="BD88" s="74">
        <f>'A1 - Stavební práce - Stě...'!$H$36</f>
        <v>0</v>
      </c>
      <c r="BT88" s="67" t="s">
        <v>19</v>
      </c>
      <c r="BV88" s="67" t="s">
        <v>78</v>
      </c>
      <c r="BW88" s="67" t="s">
        <v>83</v>
      </c>
      <c r="BX88" s="67" t="s">
        <v>79</v>
      </c>
    </row>
    <row r="89" spans="1:76" s="67" customFormat="1" ht="28.5" customHeight="1">
      <c r="A89" s="135" t="s">
        <v>537</v>
      </c>
      <c r="B89" s="68"/>
      <c r="C89" s="69"/>
      <c r="D89" s="166" t="s">
        <v>84</v>
      </c>
      <c r="E89" s="167"/>
      <c r="F89" s="167"/>
      <c r="G89" s="167"/>
      <c r="H89" s="167"/>
      <c r="I89" s="69"/>
      <c r="J89" s="166" t="s">
        <v>85</v>
      </c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4">
        <f>'A2 - Stavební práce - Pod...'!$M$30</f>
        <v>54036.04</v>
      </c>
      <c r="AH89" s="165"/>
      <c r="AI89" s="165"/>
      <c r="AJ89" s="165"/>
      <c r="AK89" s="165"/>
      <c r="AL89" s="165"/>
      <c r="AM89" s="165"/>
      <c r="AN89" s="164">
        <f>SUM($AG$89,$AT$89)</f>
        <v>65383.61</v>
      </c>
      <c r="AO89" s="165"/>
      <c r="AP89" s="165"/>
      <c r="AQ89" s="70"/>
      <c r="AS89" s="71">
        <f>'A2 - Stavební práce - Pod...'!$M$28</f>
        <v>0</v>
      </c>
      <c r="AT89" s="72">
        <f>ROUND(SUM($AV$89:$AW$89),2)</f>
        <v>11347.57</v>
      </c>
      <c r="AU89" s="73">
        <f>'A2 - Stavební práce - Pod...'!$W$115</f>
        <v>70.069668</v>
      </c>
      <c r="AV89" s="72">
        <f>'A2 - Stavební práce - Pod...'!$M$32</f>
        <v>11347.57</v>
      </c>
      <c r="AW89" s="72">
        <f>'A2 - Stavební práce - Pod...'!$M$33</f>
        <v>0</v>
      </c>
      <c r="AX89" s="72">
        <f>'A2 - Stavební práce - Pod...'!$M$34</f>
        <v>0</v>
      </c>
      <c r="AY89" s="72">
        <f>'A2 - Stavební práce - Pod...'!$M$35</f>
        <v>0</v>
      </c>
      <c r="AZ89" s="72">
        <f>'A2 - Stavební práce - Pod...'!$H$32</f>
        <v>54036.04</v>
      </c>
      <c r="BA89" s="72">
        <f>'A2 - Stavební práce - Pod...'!$H$33</f>
        <v>0</v>
      </c>
      <c r="BB89" s="72">
        <f>'A2 - Stavební práce - Pod...'!$H$34</f>
        <v>0</v>
      </c>
      <c r="BC89" s="72">
        <f>'A2 - Stavební práce - Pod...'!$H$35</f>
        <v>0</v>
      </c>
      <c r="BD89" s="74">
        <f>'A2 - Stavební práce - Pod...'!$H$36</f>
        <v>0</v>
      </c>
      <c r="BT89" s="67" t="s">
        <v>19</v>
      </c>
      <c r="BV89" s="67" t="s">
        <v>78</v>
      </c>
      <c r="BW89" s="67" t="s">
        <v>86</v>
      </c>
      <c r="BX89" s="67" t="s">
        <v>79</v>
      </c>
    </row>
    <row r="90" spans="1:76" s="67" customFormat="1" ht="28.5" customHeight="1">
      <c r="A90" s="135" t="s">
        <v>537</v>
      </c>
      <c r="B90" s="68"/>
      <c r="C90" s="69"/>
      <c r="D90" s="166" t="s">
        <v>87</v>
      </c>
      <c r="E90" s="167"/>
      <c r="F90" s="167"/>
      <c r="G90" s="167"/>
      <c r="H90" s="167"/>
      <c r="I90" s="69"/>
      <c r="J90" s="166" t="s">
        <v>88</v>
      </c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4">
        <f>'A3 - Stavební práce - Ost...'!$M$30</f>
        <v>4059.75</v>
      </c>
      <c r="AH90" s="165"/>
      <c r="AI90" s="165"/>
      <c r="AJ90" s="165"/>
      <c r="AK90" s="165"/>
      <c r="AL90" s="165"/>
      <c r="AM90" s="165"/>
      <c r="AN90" s="164">
        <f>SUM($AG$90,$AT$90)</f>
        <v>4912.3</v>
      </c>
      <c r="AO90" s="165"/>
      <c r="AP90" s="165"/>
      <c r="AQ90" s="70"/>
      <c r="AS90" s="71">
        <f>'A3 - Stavební práce - Ost...'!$M$28</f>
        <v>0</v>
      </c>
      <c r="AT90" s="72">
        <f>ROUND(SUM($AV$90:$AW$90),2)</f>
        <v>852.55</v>
      </c>
      <c r="AU90" s="73">
        <f>'A3 - Stavební práce - Ost...'!$W$112</f>
        <v>8.34577</v>
      </c>
      <c r="AV90" s="72">
        <f>'A3 - Stavební práce - Ost...'!$M$32</f>
        <v>852.55</v>
      </c>
      <c r="AW90" s="72">
        <f>'A3 - Stavební práce - Ost...'!$M$33</f>
        <v>0</v>
      </c>
      <c r="AX90" s="72">
        <f>'A3 - Stavební práce - Ost...'!$M$34</f>
        <v>0</v>
      </c>
      <c r="AY90" s="72">
        <f>'A3 - Stavební práce - Ost...'!$M$35</f>
        <v>0</v>
      </c>
      <c r="AZ90" s="72">
        <f>'A3 - Stavební práce - Ost...'!$H$32</f>
        <v>4059.75</v>
      </c>
      <c r="BA90" s="72">
        <f>'A3 - Stavební práce - Ost...'!$H$33</f>
        <v>0</v>
      </c>
      <c r="BB90" s="72">
        <f>'A3 - Stavební práce - Ost...'!$H$34</f>
        <v>0</v>
      </c>
      <c r="BC90" s="72">
        <f>'A3 - Stavební práce - Ost...'!$H$35</f>
        <v>0</v>
      </c>
      <c r="BD90" s="74">
        <f>'A3 - Stavební práce - Ost...'!$H$36</f>
        <v>0</v>
      </c>
      <c r="BT90" s="67" t="s">
        <v>19</v>
      </c>
      <c r="BV90" s="67" t="s">
        <v>78</v>
      </c>
      <c r="BW90" s="67" t="s">
        <v>89</v>
      </c>
      <c r="BX90" s="67" t="s">
        <v>79</v>
      </c>
    </row>
    <row r="91" spans="1:76" s="67" customFormat="1" ht="28.5" customHeight="1">
      <c r="A91" s="135" t="s">
        <v>537</v>
      </c>
      <c r="B91" s="68"/>
      <c r="C91" s="69"/>
      <c r="D91" s="166" t="s">
        <v>90</v>
      </c>
      <c r="E91" s="167"/>
      <c r="F91" s="167"/>
      <c r="G91" s="167"/>
      <c r="H91" s="167"/>
      <c r="I91" s="69"/>
      <c r="J91" s="166" t="s">
        <v>91</v>
      </c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4">
        <f>'A4 - Stavební práce - Úpr...'!$M$30</f>
        <v>24102.09</v>
      </c>
      <c r="AH91" s="165"/>
      <c r="AI91" s="165"/>
      <c r="AJ91" s="165"/>
      <c r="AK91" s="165"/>
      <c r="AL91" s="165"/>
      <c r="AM91" s="165"/>
      <c r="AN91" s="164">
        <f>SUM($AG$91,$AT$91)</f>
        <v>29163.53</v>
      </c>
      <c r="AO91" s="165"/>
      <c r="AP91" s="165"/>
      <c r="AQ91" s="70"/>
      <c r="AS91" s="71">
        <f>'A4 - Stavební práce - Úpr...'!$M$28</f>
        <v>0</v>
      </c>
      <c r="AT91" s="72">
        <f>ROUND(SUM($AV$91:$AW$91),2)</f>
        <v>5061.44</v>
      </c>
      <c r="AU91" s="73">
        <f>'A4 - Stavební práce - Úpr...'!$W$115</f>
        <v>51.95155199999999</v>
      </c>
      <c r="AV91" s="72">
        <f>'A4 - Stavební práce - Úpr...'!$M$32</f>
        <v>5061.44</v>
      </c>
      <c r="AW91" s="72">
        <f>'A4 - Stavební práce - Úpr...'!$M$33</f>
        <v>0</v>
      </c>
      <c r="AX91" s="72">
        <f>'A4 - Stavební práce - Úpr...'!$M$34</f>
        <v>0</v>
      </c>
      <c r="AY91" s="72">
        <f>'A4 - Stavební práce - Úpr...'!$M$35</f>
        <v>0</v>
      </c>
      <c r="AZ91" s="72">
        <f>'A4 - Stavební práce - Úpr...'!$H$32</f>
        <v>24102.09</v>
      </c>
      <c r="BA91" s="72">
        <f>'A4 - Stavební práce - Úpr...'!$H$33</f>
        <v>0</v>
      </c>
      <c r="BB91" s="72">
        <f>'A4 - Stavební práce - Úpr...'!$H$34</f>
        <v>0</v>
      </c>
      <c r="BC91" s="72">
        <f>'A4 - Stavební práce - Úpr...'!$H$35</f>
        <v>0</v>
      </c>
      <c r="BD91" s="74">
        <f>'A4 - Stavební práce - Úpr...'!$H$36</f>
        <v>0</v>
      </c>
      <c r="BT91" s="67" t="s">
        <v>19</v>
      </c>
      <c r="BV91" s="67" t="s">
        <v>78</v>
      </c>
      <c r="BW91" s="67" t="s">
        <v>92</v>
      </c>
      <c r="BX91" s="67" t="s">
        <v>79</v>
      </c>
    </row>
    <row r="92" spans="1:76" s="67" customFormat="1" ht="28.5" customHeight="1">
      <c r="A92" s="135" t="s">
        <v>537</v>
      </c>
      <c r="B92" s="68"/>
      <c r="C92" s="69"/>
      <c r="D92" s="166" t="s">
        <v>93</v>
      </c>
      <c r="E92" s="167"/>
      <c r="F92" s="167"/>
      <c r="G92" s="167"/>
      <c r="H92" s="167"/>
      <c r="I92" s="69"/>
      <c r="J92" s="166" t="s">
        <v>94</v>
      </c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4">
        <f>'A5 - Stavební práce - Kom...'!$M$30</f>
        <v>154029.9</v>
      </c>
      <c r="AH92" s="165"/>
      <c r="AI92" s="165"/>
      <c r="AJ92" s="165"/>
      <c r="AK92" s="165"/>
      <c r="AL92" s="165"/>
      <c r="AM92" s="165"/>
      <c r="AN92" s="164">
        <f>SUM($AG$92,$AT$92)</f>
        <v>186376.18</v>
      </c>
      <c r="AO92" s="165"/>
      <c r="AP92" s="165"/>
      <c r="AQ92" s="70"/>
      <c r="AS92" s="71">
        <f>'A5 - Stavební práce - Kom...'!$M$28</f>
        <v>0</v>
      </c>
      <c r="AT92" s="72">
        <f>ROUND(SUM($AV$92:$AW$92),2)</f>
        <v>32346.28</v>
      </c>
      <c r="AU92" s="73">
        <f>'A5 - Stavební práce - Kom...'!$W$115</f>
        <v>87.34100000000001</v>
      </c>
      <c r="AV92" s="72">
        <f>'A5 - Stavební práce - Kom...'!$M$32</f>
        <v>32346.28</v>
      </c>
      <c r="AW92" s="72">
        <f>'A5 - Stavební práce - Kom...'!$M$33</f>
        <v>0</v>
      </c>
      <c r="AX92" s="72">
        <f>'A5 - Stavební práce - Kom...'!$M$34</f>
        <v>0</v>
      </c>
      <c r="AY92" s="72">
        <f>'A5 - Stavební práce - Kom...'!$M$35</f>
        <v>0</v>
      </c>
      <c r="AZ92" s="72">
        <f>'A5 - Stavební práce - Kom...'!$H$32</f>
        <v>154029.9</v>
      </c>
      <c r="BA92" s="72">
        <f>'A5 - Stavební práce - Kom...'!$H$33</f>
        <v>0</v>
      </c>
      <c r="BB92" s="72">
        <f>'A5 - Stavební práce - Kom...'!$H$34</f>
        <v>0</v>
      </c>
      <c r="BC92" s="72">
        <f>'A5 - Stavební práce - Kom...'!$H$35</f>
        <v>0</v>
      </c>
      <c r="BD92" s="74">
        <f>'A5 - Stavební práce - Kom...'!$H$36</f>
        <v>0</v>
      </c>
      <c r="BT92" s="67" t="s">
        <v>19</v>
      </c>
      <c r="BV92" s="67" t="s">
        <v>78</v>
      </c>
      <c r="BW92" s="67" t="s">
        <v>95</v>
      </c>
      <c r="BX92" s="67" t="s">
        <v>79</v>
      </c>
    </row>
    <row r="93" spans="1:76" s="67" customFormat="1" ht="28.5" customHeight="1">
      <c r="A93" s="135" t="s">
        <v>537</v>
      </c>
      <c r="B93" s="68"/>
      <c r="C93" s="69"/>
      <c r="D93" s="166" t="s">
        <v>96</v>
      </c>
      <c r="E93" s="167"/>
      <c r="F93" s="167"/>
      <c r="G93" s="167"/>
      <c r="H93" s="167"/>
      <c r="I93" s="69"/>
      <c r="J93" s="166" t="s">
        <v>97</v>
      </c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4">
        <f>'B - Zdravotechnika'!$M$30</f>
        <v>9222.81</v>
      </c>
      <c r="AH93" s="165"/>
      <c r="AI93" s="165"/>
      <c r="AJ93" s="165"/>
      <c r="AK93" s="165"/>
      <c r="AL93" s="165"/>
      <c r="AM93" s="165"/>
      <c r="AN93" s="164">
        <f>SUM($AG$93,$AT$93)</f>
        <v>11159.599999999999</v>
      </c>
      <c r="AO93" s="165"/>
      <c r="AP93" s="165"/>
      <c r="AQ93" s="70"/>
      <c r="AS93" s="71">
        <f>'B - Zdravotechnika'!$M$28</f>
        <v>0</v>
      </c>
      <c r="AT93" s="72">
        <f>ROUND(SUM($AV$93:$AW$93),2)</f>
        <v>1936.79</v>
      </c>
      <c r="AU93" s="73">
        <f>'B - Zdravotechnika'!$W$118</f>
        <v>16.805555999999996</v>
      </c>
      <c r="AV93" s="72">
        <f>'B - Zdravotechnika'!$M$32</f>
        <v>1936.79</v>
      </c>
      <c r="AW93" s="72">
        <f>'B - Zdravotechnika'!$M$33</f>
        <v>0</v>
      </c>
      <c r="AX93" s="72">
        <f>'B - Zdravotechnika'!$M$34</f>
        <v>0</v>
      </c>
      <c r="AY93" s="72">
        <f>'B - Zdravotechnika'!$M$35</f>
        <v>0</v>
      </c>
      <c r="AZ93" s="72">
        <f>'B - Zdravotechnika'!$H$32</f>
        <v>9222.81</v>
      </c>
      <c r="BA93" s="72">
        <f>'B - Zdravotechnika'!$H$33</f>
        <v>0</v>
      </c>
      <c r="BB93" s="72">
        <f>'B - Zdravotechnika'!$H$34</f>
        <v>0</v>
      </c>
      <c r="BC93" s="72">
        <f>'B - Zdravotechnika'!$H$35</f>
        <v>0</v>
      </c>
      <c r="BD93" s="74">
        <f>'B - Zdravotechnika'!$H$36</f>
        <v>0</v>
      </c>
      <c r="BT93" s="67" t="s">
        <v>19</v>
      </c>
      <c r="BV93" s="67" t="s">
        <v>78</v>
      </c>
      <c r="BW93" s="67" t="s">
        <v>98</v>
      </c>
      <c r="BX93" s="67" t="s">
        <v>79</v>
      </c>
    </row>
    <row r="94" spans="1:76" s="67" customFormat="1" ht="28.5" customHeight="1">
      <c r="A94" s="135" t="s">
        <v>537</v>
      </c>
      <c r="B94" s="68"/>
      <c r="C94" s="69"/>
      <c r="D94" s="166" t="s">
        <v>99</v>
      </c>
      <c r="E94" s="167"/>
      <c r="F94" s="167"/>
      <c r="G94" s="167"/>
      <c r="H94" s="167"/>
      <c r="I94" s="69"/>
      <c r="J94" s="166" t="s">
        <v>100</v>
      </c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4">
        <f>'C - Elektroinstalace'!$M$30</f>
        <v>412.5</v>
      </c>
      <c r="AH94" s="165"/>
      <c r="AI94" s="165"/>
      <c r="AJ94" s="165"/>
      <c r="AK94" s="165"/>
      <c r="AL94" s="165"/>
      <c r="AM94" s="165"/>
      <c r="AN94" s="164">
        <f>SUM($AG$94,$AT$94)</f>
        <v>499.13</v>
      </c>
      <c r="AO94" s="165"/>
      <c r="AP94" s="165"/>
      <c r="AQ94" s="70"/>
      <c r="AS94" s="71">
        <f>'C - Elektroinstalace'!$M$28</f>
        <v>0</v>
      </c>
      <c r="AT94" s="72">
        <f>ROUND(SUM($AV$94:$AW$94),2)</f>
        <v>86.63</v>
      </c>
      <c r="AU94" s="73">
        <f>'C - Elektroinstalace'!$W$111</f>
        <v>0.95</v>
      </c>
      <c r="AV94" s="72">
        <f>'C - Elektroinstalace'!$M$32</f>
        <v>86.63</v>
      </c>
      <c r="AW94" s="72">
        <f>'C - Elektroinstalace'!$M$33</f>
        <v>0</v>
      </c>
      <c r="AX94" s="72">
        <f>'C - Elektroinstalace'!$M$34</f>
        <v>0</v>
      </c>
      <c r="AY94" s="72">
        <f>'C - Elektroinstalace'!$M$35</f>
        <v>0</v>
      </c>
      <c r="AZ94" s="72">
        <f>'C - Elektroinstalace'!$H$32</f>
        <v>412.5</v>
      </c>
      <c r="BA94" s="72">
        <f>'C - Elektroinstalace'!$H$33</f>
        <v>0</v>
      </c>
      <c r="BB94" s="72">
        <f>'C - Elektroinstalace'!$H$34</f>
        <v>0</v>
      </c>
      <c r="BC94" s="72">
        <f>'C - Elektroinstalace'!$H$35</f>
        <v>0</v>
      </c>
      <c r="BD94" s="74">
        <f>'C - Elektroinstalace'!$H$36</f>
        <v>0</v>
      </c>
      <c r="BT94" s="67" t="s">
        <v>19</v>
      </c>
      <c r="BV94" s="67" t="s">
        <v>78</v>
      </c>
      <c r="BW94" s="67" t="s">
        <v>101</v>
      </c>
      <c r="BX94" s="67" t="s">
        <v>79</v>
      </c>
    </row>
    <row r="95" spans="1:76" s="67" customFormat="1" ht="28.5" customHeight="1">
      <c r="A95" s="135" t="s">
        <v>537</v>
      </c>
      <c r="B95" s="68"/>
      <c r="C95" s="69"/>
      <c r="D95" s="166" t="s">
        <v>75</v>
      </c>
      <c r="E95" s="167"/>
      <c r="F95" s="167"/>
      <c r="G95" s="167"/>
      <c r="H95" s="167"/>
      <c r="I95" s="69"/>
      <c r="J95" s="166" t="s">
        <v>102</v>
      </c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4">
        <f>'D - Ostatní položky'!$M$30</f>
        <v>0</v>
      </c>
      <c r="AH95" s="165"/>
      <c r="AI95" s="165"/>
      <c r="AJ95" s="165"/>
      <c r="AK95" s="165"/>
      <c r="AL95" s="165"/>
      <c r="AM95" s="165"/>
      <c r="AN95" s="164">
        <f>SUM($AG$95,$AT$95)</f>
        <v>0</v>
      </c>
      <c r="AO95" s="165"/>
      <c r="AP95" s="165"/>
      <c r="AQ95" s="70"/>
      <c r="AS95" s="75">
        <f>'D - Ostatní položky'!$M$28</f>
        <v>0</v>
      </c>
      <c r="AT95" s="76">
        <f>ROUND(SUM($AV$95:$AW$95),2)</f>
        <v>0</v>
      </c>
      <c r="AU95" s="77">
        <f>'D - Ostatní položky'!$W$113</f>
        <v>0.009</v>
      </c>
      <c r="AV95" s="76">
        <f>'D - Ostatní položky'!$M$32</f>
        <v>0</v>
      </c>
      <c r="AW95" s="76">
        <f>'D - Ostatní položky'!$M$33</f>
        <v>0</v>
      </c>
      <c r="AX95" s="76">
        <f>'D - Ostatní položky'!$M$34</f>
        <v>0</v>
      </c>
      <c r="AY95" s="76">
        <f>'D - Ostatní položky'!$M$35</f>
        <v>0</v>
      </c>
      <c r="AZ95" s="76">
        <f>'D - Ostatní položky'!$H$32</f>
        <v>0</v>
      </c>
      <c r="BA95" s="76">
        <f>'D - Ostatní položky'!$H$33</f>
        <v>0</v>
      </c>
      <c r="BB95" s="76">
        <f>'D - Ostatní položky'!$H$34</f>
        <v>0</v>
      </c>
      <c r="BC95" s="76">
        <f>'D - Ostatní položky'!$H$35</f>
        <v>0</v>
      </c>
      <c r="BD95" s="78">
        <f>'D - Ostatní položky'!$H$36</f>
        <v>0</v>
      </c>
      <c r="BT95" s="67" t="s">
        <v>19</v>
      </c>
      <c r="BV95" s="67" t="s">
        <v>78</v>
      </c>
      <c r="BW95" s="67" t="s">
        <v>103</v>
      </c>
      <c r="BX95" s="67" t="s">
        <v>79</v>
      </c>
    </row>
    <row r="96" spans="2:43" s="2" customFormat="1" ht="14.25" customHeight="1">
      <c r="B96" s="10"/>
      <c r="AQ96" s="11"/>
    </row>
    <row r="97" spans="2:49" s="6" customFormat="1" ht="30.75" customHeight="1">
      <c r="B97" s="19"/>
      <c r="C97" s="61" t="s">
        <v>104</v>
      </c>
      <c r="AG97" s="169">
        <v>0</v>
      </c>
      <c r="AH97" s="157"/>
      <c r="AI97" s="157"/>
      <c r="AJ97" s="157"/>
      <c r="AK97" s="157"/>
      <c r="AL97" s="157"/>
      <c r="AM97" s="157"/>
      <c r="AN97" s="169">
        <v>0</v>
      </c>
      <c r="AO97" s="157"/>
      <c r="AP97" s="157"/>
      <c r="AQ97" s="20"/>
      <c r="AS97" s="56" t="s">
        <v>105</v>
      </c>
      <c r="AT97" s="57" t="s">
        <v>106</v>
      </c>
      <c r="AU97" s="57" t="s">
        <v>40</v>
      </c>
      <c r="AV97" s="58" t="s">
        <v>63</v>
      </c>
      <c r="AW97" s="59"/>
    </row>
    <row r="98" spans="2:48" s="6" customFormat="1" ht="12" customHeight="1">
      <c r="B98" s="19"/>
      <c r="AQ98" s="20"/>
      <c r="AS98" s="33"/>
      <c r="AT98" s="33"/>
      <c r="AU98" s="33"/>
      <c r="AV98" s="33"/>
    </row>
    <row r="99" spans="2:43" s="6" customFormat="1" ht="30.75" customHeight="1">
      <c r="B99" s="19"/>
      <c r="C99" s="79" t="s">
        <v>107</v>
      </c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171">
        <f>ROUND($AG$87+$AG$97,2)</f>
        <v>312767.01</v>
      </c>
      <c r="AH99" s="172"/>
      <c r="AI99" s="172"/>
      <c r="AJ99" s="172"/>
      <c r="AK99" s="172"/>
      <c r="AL99" s="172"/>
      <c r="AM99" s="172"/>
      <c r="AN99" s="171">
        <f>$AN$87+$AN$97</f>
        <v>378448.08</v>
      </c>
      <c r="AO99" s="172"/>
      <c r="AP99" s="172"/>
      <c r="AQ99" s="20"/>
    </row>
    <row r="100" spans="2:43" s="6" customFormat="1" ht="7.5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3"/>
    </row>
  </sheetData>
  <sheetProtection/>
  <mergeCells count="73">
    <mergeCell ref="AR2:BE2"/>
    <mergeCell ref="AG87:AM87"/>
    <mergeCell ref="AN87:AP87"/>
    <mergeCell ref="AG97:AM97"/>
    <mergeCell ref="AN97:AP97"/>
    <mergeCell ref="AG99:AM99"/>
    <mergeCell ref="AN99:AP99"/>
    <mergeCell ref="AN94:AP94"/>
    <mergeCell ref="AG94:AM94"/>
    <mergeCell ref="AN92:AP92"/>
    <mergeCell ref="D94:H94"/>
    <mergeCell ref="J94:AF94"/>
    <mergeCell ref="AN95:AP95"/>
    <mergeCell ref="AG95:AM95"/>
    <mergeCell ref="D95:H95"/>
    <mergeCell ref="J95:AF95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A1 - Stavební práce - Stě...'!C2" tooltip="A1 - Stavební práce - Stě..." display="/"/>
    <hyperlink ref="A89" location="'A2 - Stavební práce - Pod...'!C2" tooltip="A2 - Stavební práce - Pod..." display="/"/>
    <hyperlink ref="A90" location="'A3 - Stavební práce - Ost...'!C2" tooltip="A3 - Stavební práce - Ost..." display="/"/>
    <hyperlink ref="A91" location="'A4 - Stavební práce - Úpr...'!C2" tooltip="A4 - Stavební práce - Úpr..." display="/"/>
    <hyperlink ref="A92" location="'A5 - Stavební práce - Kom...'!C2" tooltip="A5 - Stavební práce - Kom..." display="/"/>
    <hyperlink ref="A93" location="'B - Zdravotechnika'!C2" tooltip="B - Zdravotechnika" display="/"/>
    <hyperlink ref="A94" location="'C - Elektroinstalace'!C2" tooltip="C - Elektroinstalace" display="/"/>
    <hyperlink ref="A95" location="'D - Ostatní položky'!C2" tooltip="D - Ostatní položky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8"/>
  <sheetViews>
    <sheetView showGridLines="0" zoomScalePageLayoutView="0" workbookViewId="0" topLeftCell="A1">
      <pane ySplit="1" topLeftCell="A31" activePane="bottomLeft" state="frozen"/>
      <selection pane="topLeft" activeCell="A1" sqref="A1"/>
      <selection pane="bottomLeft" activeCell="A40" sqref="A40:IV7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0"/>
      <c r="B1" s="137"/>
      <c r="C1" s="137"/>
      <c r="D1" s="138" t="s">
        <v>1</v>
      </c>
      <c r="E1" s="137"/>
      <c r="F1" s="139" t="s">
        <v>538</v>
      </c>
      <c r="G1" s="139"/>
      <c r="H1" s="196" t="s">
        <v>539</v>
      </c>
      <c r="I1" s="196"/>
      <c r="J1" s="196"/>
      <c r="K1" s="196"/>
      <c r="L1" s="139" t="s">
        <v>540</v>
      </c>
      <c r="M1" s="137"/>
      <c r="N1" s="137"/>
      <c r="O1" s="138" t="s">
        <v>108</v>
      </c>
      <c r="P1" s="137"/>
      <c r="Q1" s="137"/>
      <c r="R1" s="137"/>
      <c r="S1" s="139" t="s">
        <v>541</v>
      </c>
      <c r="T1" s="139"/>
      <c r="U1" s="140"/>
      <c r="V1" s="1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68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109</v>
      </c>
    </row>
    <row r="4" spans="2:46" s="2" customFormat="1" ht="37.5" customHeight="1">
      <c r="B4" s="10"/>
      <c r="C4" s="143" t="s">
        <v>110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3" t="str">
        <f>'Rekapitulace stavby'!$K$6</f>
        <v>UK-stavební práce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111</v>
      </c>
      <c r="F7" s="145" t="s">
        <v>112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74" t="str">
        <f>'Rekapitulace stavby'!$AN$8</f>
        <v>23.10.2016</v>
      </c>
      <c r="P9" s="157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4" t="s">
        <v>28</v>
      </c>
      <c r="P11" s="157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144" t="s">
        <v>31</v>
      </c>
      <c r="P12" s="157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144">
        <f>IF('Rekapitulace stavby'!$AN$13="","",'Rekapitulace stavby'!$AN$13)</f>
      </c>
      <c r="P14" s="157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30</v>
      </c>
      <c r="O15" s="144">
        <f>IF('Rekapitulace stavby'!$AN$14="","",'Rekapitulace stavby'!$AN$14)</f>
      </c>
      <c r="P15" s="157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33</v>
      </c>
      <c r="M17" s="16" t="s">
        <v>27</v>
      </c>
      <c r="O17" s="144">
        <f>IF('Rekapitulace stavby'!$AN$16="","",'Rekapitulace stavby'!$AN$16)</f>
      </c>
      <c r="P17" s="157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30</v>
      </c>
      <c r="O18" s="144">
        <f>IF('Rekapitulace stavby'!$AN$17="","",'Rekapitulace stavby'!$AN$17)</f>
      </c>
      <c r="P18" s="157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35</v>
      </c>
      <c r="M20" s="16" t="s">
        <v>27</v>
      </c>
      <c r="O20" s="144">
        <f>IF('Rekapitulace stavby'!$AN$19="","",'Rekapitulace stavby'!$AN$19)</f>
      </c>
      <c r="P20" s="157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30</v>
      </c>
      <c r="O21" s="144">
        <f>IF('Rekapitulace stavby'!$AN$20="","",'Rekapitulace stavby'!$AN$20)</f>
      </c>
      <c r="P21" s="157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36</v>
      </c>
      <c r="R23" s="20"/>
    </row>
    <row r="24" spans="2:18" s="80" customFormat="1" ht="15.75" customHeight="1">
      <c r="B24" s="81"/>
      <c r="E24" s="146"/>
      <c r="F24" s="175"/>
      <c r="G24" s="175"/>
      <c r="H24" s="175"/>
      <c r="I24" s="175"/>
      <c r="J24" s="175"/>
      <c r="K24" s="175"/>
      <c r="L24" s="175"/>
      <c r="R24" s="82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3" t="s">
        <v>113</v>
      </c>
      <c r="M27" s="147">
        <f>$N$88</f>
        <v>66903.92</v>
      </c>
      <c r="N27" s="157"/>
      <c r="O27" s="157"/>
      <c r="P27" s="157"/>
      <c r="R27" s="20"/>
    </row>
    <row r="28" spans="2:18" s="6" customFormat="1" ht="15" customHeight="1">
      <c r="B28" s="19"/>
      <c r="D28" s="18" t="s">
        <v>114</v>
      </c>
      <c r="M28" s="147">
        <f>$N$100</f>
        <v>0</v>
      </c>
      <c r="N28" s="157"/>
      <c r="O28" s="157"/>
      <c r="P28" s="157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4" t="s">
        <v>39</v>
      </c>
      <c r="M30" s="176">
        <f>ROUND($M$27+$M$28,2)</f>
        <v>66903.92</v>
      </c>
      <c r="N30" s="157"/>
      <c r="O30" s="157"/>
      <c r="P30" s="157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40</v>
      </c>
      <c r="E32" s="24" t="s">
        <v>41</v>
      </c>
      <c r="F32" s="25">
        <v>0.21</v>
      </c>
      <c r="G32" s="85" t="s">
        <v>42</v>
      </c>
      <c r="H32" s="177">
        <f>ROUND((SUM($BE$100:$BE$101)+SUM($BE$119:$BE$167)),2)</f>
        <v>66903.92</v>
      </c>
      <c r="I32" s="157"/>
      <c r="J32" s="157"/>
      <c r="M32" s="177">
        <f>ROUND(ROUND((SUM($BE$100:$BE$101)+SUM($BE$119:$BE$167)),2)*$F$32,2)</f>
        <v>14049.82</v>
      </c>
      <c r="N32" s="157"/>
      <c r="O32" s="157"/>
      <c r="P32" s="157"/>
      <c r="R32" s="20"/>
    </row>
    <row r="33" spans="2:18" s="6" customFormat="1" ht="15" customHeight="1">
      <c r="B33" s="19"/>
      <c r="E33" s="24" t="s">
        <v>43</v>
      </c>
      <c r="F33" s="25">
        <v>0.15</v>
      </c>
      <c r="G33" s="85" t="s">
        <v>42</v>
      </c>
      <c r="H33" s="177">
        <f>ROUND((SUM($BF$100:$BF$101)+SUM($BF$119:$BF$167)),2)</f>
        <v>0</v>
      </c>
      <c r="I33" s="157"/>
      <c r="J33" s="157"/>
      <c r="M33" s="177">
        <f>ROUND(ROUND((SUM($BF$100:$BF$101)+SUM($BF$119:$BF$167)),2)*$F$33,2)</f>
        <v>0</v>
      </c>
      <c r="N33" s="157"/>
      <c r="O33" s="157"/>
      <c r="P33" s="157"/>
      <c r="R33" s="20"/>
    </row>
    <row r="34" spans="2:18" s="6" customFormat="1" ht="15" customHeight="1" hidden="1">
      <c r="B34" s="19"/>
      <c r="E34" s="24" t="s">
        <v>44</v>
      </c>
      <c r="F34" s="25">
        <v>0.21</v>
      </c>
      <c r="G34" s="85" t="s">
        <v>42</v>
      </c>
      <c r="H34" s="177">
        <f>ROUND((SUM($BG$100:$BG$101)+SUM($BG$119:$BG$167)),2)</f>
        <v>0</v>
      </c>
      <c r="I34" s="157"/>
      <c r="J34" s="157"/>
      <c r="M34" s="177">
        <v>0</v>
      </c>
      <c r="N34" s="157"/>
      <c r="O34" s="157"/>
      <c r="P34" s="157"/>
      <c r="R34" s="20"/>
    </row>
    <row r="35" spans="2:18" s="6" customFormat="1" ht="15" customHeight="1" hidden="1">
      <c r="B35" s="19"/>
      <c r="E35" s="24" t="s">
        <v>45</v>
      </c>
      <c r="F35" s="25">
        <v>0.15</v>
      </c>
      <c r="G35" s="85" t="s">
        <v>42</v>
      </c>
      <c r="H35" s="177">
        <f>ROUND((SUM($BH$100:$BH$101)+SUM($BH$119:$BH$167)),2)</f>
        <v>0</v>
      </c>
      <c r="I35" s="157"/>
      <c r="J35" s="157"/>
      <c r="M35" s="177">
        <v>0</v>
      </c>
      <c r="N35" s="157"/>
      <c r="O35" s="157"/>
      <c r="P35" s="157"/>
      <c r="R35" s="20"/>
    </row>
    <row r="36" spans="2:18" s="6" customFormat="1" ht="15" customHeight="1" hidden="1">
      <c r="B36" s="19"/>
      <c r="E36" s="24" t="s">
        <v>46</v>
      </c>
      <c r="F36" s="25">
        <v>0</v>
      </c>
      <c r="G36" s="85" t="s">
        <v>42</v>
      </c>
      <c r="H36" s="177">
        <f>ROUND((SUM($BI$100:$BI$101)+SUM($BI$119:$BI$167)),2)</f>
        <v>0</v>
      </c>
      <c r="I36" s="157"/>
      <c r="J36" s="157"/>
      <c r="M36" s="177">
        <v>0</v>
      </c>
      <c r="N36" s="157"/>
      <c r="O36" s="157"/>
      <c r="P36" s="157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47</v>
      </c>
      <c r="E38" s="30"/>
      <c r="F38" s="30"/>
      <c r="G38" s="86" t="s">
        <v>48</v>
      </c>
      <c r="H38" s="31" t="s">
        <v>49</v>
      </c>
      <c r="I38" s="30"/>
      <c r="J38" s="30"/>
      <c r="K38" s="30"/>
      <c r="L38" s="155">
        <f>SUM($M$30:$M$36)</f>
        <v>80953.73999999999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 hidden="1">
      <c r="B40" s="19"/>
      <c r="R40" s="20"/>
    </row>
    <row r="41" spans="2:18" s="2" customFormat="1" ht="14.25" customHeight="1" hidden="1">
      <c r="B41" s="10"/>
      <c r="R41" s="11"/>
    </row>
    <row r="42" spans="2:18" s="2" customFormat="1" ht="14.25" customHeight="1" hidden="1">
      <c r="B42" s="10"/>
      <c r="R42" s="11"/>
    </row>
    <row r="43" spans="2:18" s="2" customFormat="1" ht="14.25" customHeight="1" hidden="1">
      <c r="B43" s="10"/>
      <c r="R43" s="11"/>
    </row>
    <row r="44" spans="2:18" s="2" customFormat="1" ht="14.25" customHeight="1" hidden="1">
      <c r="B44" s="10"/>
      <c r="R44" s="11"/>
    </row>
    <row r="45" spans="2:18" s="2" customFormat="1" ht="14.25" customHeight="1" hidden="1">
      <c r="B45" s="10"/>
      <c r="R45" s="11"/>
    </row>
    <row r="46" spans="2:18" s="2" customFormat="1" ht="14.25" customHeight="1" hidden="1">
      <c r="B46" s="10"/>
      <c r="R46" s="11"/>
    </row>
    <row r="47" spans="2:18" s="2" customFormat="1" ht="14.25" customHeight="1" hidden="1">
      <c r="B47" s="10"/>
      <c r="R47" s="11"/>
    </row>
    <row r="48" spans="2:18" s="2" customFormat="1" ht="14.25" customHeight="1" hidden="1">
      <c r="B48" s="10"/>
      <c r="R48" s="11"/>
    </row>
    <row r="49" spans="2:18" s="2" customFormat="1" ht="14.25" customHeight="1" hidden="1">
      <c r="B49" s="10"/>
      <c r="R49" s="11"/>
    </row>
    <row r="50" spans="2:18" s="6" customFormat="1" ht="15.75" customHeight="1" hidden="1">
      <c r="B50" s="19"/>
      <c r="D50" s="32" t="s">
        <v>50</v>
      </c>
      <c r="E50" s="33"/>
      <c r="F50" s="33"/>
      <c r="G50" s="33"/>
      <c r="H50" s="34"/>
      <c r="J50" s="32" t="s">
        <v>51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 hidden="1">
      <c r="B51" s="10"/>
      <c r="D51" s="35"/>
      <c r="H51" s="36"/>
      <c r="J51" s="35"/>
      <c r="P51" s="36"/>
      <c r="R51" s="11"/>
    </row>
    <row r="52" spans="2:18" s="2" customFormat="1" ht="14.25" customHeight="1" hidden="1">
      <c r="B52" s="10"/>
      <c r="D52" s="35"/>
      <c r="H52" s="36"/>
      <c r="J52" s="35"/>
      <c r="P52" s="36"/>
      <c r="R52" s="11"/>
    </row>
    <row r="53" spans="2:18" s="2" customFormat="1" ht="14.25" customHeight="1" hidden="1">
      <c r="B53" s="10"/>
      <c r="D53" s="35"/>
      <c r="H53" s="36"/>
      <c r="J53" s="35"/>
      <c r="P53" s="36"/>
      <c r="R53" s="11"/>
    </row>
    <row r="54" spans="2:18" s="2" customFormat="1" ht="14.25" customHeight="1" hidden="1">
      <c r="B54" s="10"/>
      <c r="D54" s="35"/>
      <c r="H54" s="36"/>
      <c r="J54" s="35"/>
      <c r="P54" s="36"/>
      <c r="R54" s="11"/>
    </row>
    <row r="55" spans="2:18" s="2" customFormat="1" ht="14.25" customHeight="1" hidden="1">
      <c r="B55" s="10"/>
      <c r="D55" s="35"/>
      <c r="H55" s="36"/>
      <c r="J55" s="35"/>
      <c r="P55" s="36"/>
      <c r="R55" s="11"/>
    </row>
    <row r="56" spans="2:18" s="2" customFormat="1" ht="14.25" customHeight="1" hidden="1">
      <c r="B56" s="10"/>
      <c r="D56" s="35"/>
      <c r="H56" s="36"/>
      <c r="J56" s="35"/>
      <c r="P56" s="36"/>
      <c r="R56" s="11"/>
    </row>
    <row r="57" spans="2:18" s="2" customFormat="1" ht="14.25" customHeight="1" hidden="1">
      <c r="B57" s="10"/>
      <c r="D57" s="35"/>
      <c r="H57" s="36"/>
      <c r="J57" s="35"/>
      <c r="P57" s="36"/>
      <c r="R57" s="11"/>
    </row>
    <row r="58" spans="2:18" s="2" customFormat="1" ht="14.25" customHeight="1" hidden="1">
      <c r="B58" s="10"/>
      <c r="D58" s="35"/>
      <c r="H58" s="36"/>
      <c r="J58" s="35"/>
      <c r="P58" s="36"/>
      <c r="R58" s="11"/>
    </row>
    <row r="59" spans="2:18" s="6" customFormat="1" ht="15.75" customHeight="1" hidden="1">
      <c r="B59" s="19"/>
      <c r="D59" s="37" t="s">
        <v>52</v>
      </c>
      <c r="E59" s="38"/>
      <c r="F59" s="38"/>
      <c r="G59" s="39" t="s">
        <v>53</v>
      </c>
      <c r="H59" s="40"/>
      <c r="J59" s="37" t="s">
        <v>52</v>
      </c>
      <c r="K59" s="38"/>
      <c r="L59" s="38"/>
      <c r="M59" s="38"/>
      <c r="N59" s="39" t="s">
        <v>53</v>
      </c>
      <c r="O59" s="38"/>
      <c r="P59" s="40"/>
      <c r="R59" s="20"/>
    </row>
    <row r="60" spans="2:18" s="2" customFormat="1" ht="14.25" customHeight="1" hidden="1">
      <c r="B60" s="10"/>
      <c r="R60" s="11"/>
    </row>
    <row r="61" spans="2:18" s="6" customFormat="1" ht="15.75" customHeight="1" hidden="1">
      <c r="B61" s="19"/>
      <c r="D61" s="32" t="s">
        <v>54</v>
      </c>
      <c r="E61" s="33"/>
      <c r="F61" s="33"/>
      <c r="G61" s="33"/>
      <c r="H61" s="34"/>
      <c r="J61" s="32" t="s">
        <v>55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 hidden="1">
      <c r="B62" s="10"/>
      <c r="D62" s="35"/>
      <c r="H62" s="36"/>
      <c r="J62" s="35"/>
      <c r="P62" s="36"/>
      <c r="R62" s="11"/>
    </row>
    <row r="63" spans="2:18" s="2" customFormat="1" ht="14.25" customHeight="1" hidden="1">
      <c r="B63" s="10"/>
      <c r="D63" s="35"/>
      <c r="H63" s="36"/>
      <c r="J63" s="35"/>
      <c r="P63" s="36"/>
      <c r="R63" s="11"/>
    </row>
    <row r="64" spans="2:18" s="2" customFormat="1" ht="14.25" customHeight="1" hidden="1">
      <c r="B64" s="10"/>
      <c r="D64" s="35"/>
      <c r="H64" s="36"/>
      <c r="J64" s="35"/>
      <c r="P64" s="36"/>
      <c r="R64" s="11"/>
    </row>
    <row r="65" spans="2:18" s="2" customFormat="1" ht="14.25" customHeight="1" hidden="1">
      <c r="B65" s="10"/>
      <c r="D65" s="35"/>
      <c r="H65" s="36"/>
      <c r="J65" s="35"/>
      <c r="P65" s="36"/>
      <c r="R65" s="11"/>
    </row>
    <row r="66" spans="2:18" s="2" customFormat="1" ht="14.25" customHeight="1" hidden="1">
      <c r="B66" s="10"/>
      <c r="D66" s="35"/>
      <c r="H66" s="36"/>
      <c r="J66" s="35"/>
      <c r="P66" s="36"/>
      <c r="R66" s="11"/>
    </row>
    <row r="67" spans="2:18" s="2" customFormat="1" ht="14.25" customHeight="1" hidden="1">
      <c r="B67" s="10"/>
      <c r="D67" s="35"/>
      <c r="H67" s="36"/>
      <c r="J67" s="35"/>
      <c r="P67" s="36"/>
      <c r="R67" s="11"/>
    </row>
    <row r="68" spans="2:18" s="2" customFormat="1" ht="14.25" customHeight="1" hidden="1">
      <c r="B68" s="10"/>
      <c r="D68" s="35"/>
      <c r="H68" s="36"/>
      <c r="J68" s="35"/>
      <c r="P68" s="36"/>
      <c r="R68" s="11"/>
    </row>
    <row r="69" spans="2:18" s="2" customFormat="1" ht="14.25" customHeight="1" hidden="1">
      <c r="B69" s="10"/>
      <c r="D69" s="35"/>
      <c r="H69" s="36"/>
      <c r="J69" s="35"/>
      <c r="P69" s="36"/>
      <c r="R69" s="11"/>
    </row>
    <row r="70" spans="2:18" s="6" customFormat="1" ht="15.75" customHeight="1" hidden="1">
      <c r="B70" s="19"/>
      <c r="D70" s="37" t="s">
        <v>52</v>
      </c>
      <c r="E70" s="38"/>
      <c r="F70" s="38"/>
      <c r="G70" s="39" t="s">
        <v>53</v>
      </c>
      <c r="H70" s="40"/>
      <c r="J70" s="37" t="s">
        <v>52</v>
      </c>
      <c r="K70" s="38"/>
      <c r="L70" s="38"/>
      <c r="M70" s="38"/>
      <c r="N70" s="39" t="s">
        <v>53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3" t="s">
        <v>115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3" t="str">
        <f>$F$6</f>
        <v>UK-stavební práce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R78" s="20"/>
    </row>
    <row r="79" spans="2:18" s="6" customFormat="1" ht="37.5" customHeight="1">
      <c r="B79" s="19"/>
      <c r="C79" s="49" t="s">
        <v>111</v>
      </c>
      <c r="F79" s="158" t="str">
        <f>$F$7</f>
        <v>A1 - Stavební práce - Stěny a strop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74" t="str">
        <f>IF($O$9="","",$O$9)</f>
        <v>23.10.2016</v>
      </c>
      <c r="N81" s="157"/>
      <c r="O81" s="157"/>
      <c r="P81" s="157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Univerzita Karlova - Správa budov a zařízení</v>
      </c>
      <c r="K83" s="16" t="s">
        <v>33</v>
      </c>
      <c r="M83" s="144" t="str">
        <f>$E$18</f>
        <v> </v>
      </c>
      <c r="N83" s="157"/>
      <c r="O83" s="157"/>
      <c r="P83" s="157"/>
      <c r="Q83" s="157"/>
      <c r="R83" s="20"/>
    </row>
    <row r="84" spans="2:18" s="6" customFormat="1" ht="15" customHeight="1">
      <c r="B84" s="19"/>
      <c r="C84" s="16" t="s">
        <v>32</v>
      </c>
      <c r="F84" s="14" t="str">
        <f>IF($E$15="","",$E$15)</f>
        <v> </v>
      </c>
      <c r="K84" s="16" t="s">
        <v>35</v>
      </c>
      <c r="M84" s="144" t="str">
        <f>$E$21</f>
        <v> </v>
      </c>
      <c r="N84" s="157"/>
      <c r="O84" s="157"/>
      <c r="P84" s="157"/>
      <c r="Q84" s="157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78" t="s">
        <v>116</v>
      </c>
      <c r="D86" s="172"/>
      <c r="E86" s="172"/>
      <c r="F86" s="172"/>
      <c r="G86" s="172"/>
      <c r="H86" s="28"/>
      <c r="I86" s="28"/>
      <c r="J86" s="28"/>
      <c r="K86" s="28"/>
      <c r="L86" s="28"/>
      <c r="M86" s="28"/>
      <c r="N86" s="178" t="s">
        <v>117</v>
      </c>
      <c r="O86" s="157"/>
      <c r="P86" s="157"/>
      <c r="Q86" s="157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1" t="s">
        <v>118</v>
      </c>
      <c r="N88" s="169">
        <f>$N$119</f>
        <v>66903.92</v>
      </c>
      <c r="O88" s="157"/>
      <c r="P88" s="157"/>
      <c r="Q88" s="157"/>
      <c r="R88" s="20"/>
      <c r="AU88" s="6" t="s">
        <v>119</v>
      </c>
    </row>
    <row r="89" spans="2:18" s="66" customFormat="1" ht="25.5" customHeight="1">
      <c r="B89" s="87"/>
      <c r="D89" s="88" t="s">
        <v>120</v>
      </c>
      <c r="N89" s="179">
        <f>$N$120</f>
        <v>24224.59</v>
      </c>
      <c r="O89" s="180"/>
      <c r="P89" s="180"/>
      <c r="Q89" s="180"/>
      <c r="R89" s="89"/>
    </row>
    <row r="90" spans="2:18" s="83" customFormat="1" ht="21" customHeight="1">
      <c r="B90" s="90"/>
      <c r="D90" s="91" t="s">
        <v>121</v>
      </c>
      <c r="N90" s="181">
        <f>$N$121</f>
        <v>2356</v>
      </c>
      <c r="O90" s="180"/>
      <c r="P90" s="180"/>
      <c r="Q90" s="180"/>
      <c r="R90" s="92"/>
    </row>
    <row r="91" spans="2:18" s="83" customFormat="1" ht="21" customHeight="1">
      <c r="B91" s="90"/>
      <c r="D91" s="91" t="s">
        <v>122</v>
      </c>
      <c r="N91" s="181">
        <f>$N$125</f>
        <v>20908.4</v>
      </c>
      <c r="O91" s="180"/>
      <c r="P91" s="180"/>
      <c r="Q91" s="180"/>
      <c r="R91" s="92"/>
    </row>
    <row r="92" spans="2:18" s="83" customFormat="1" ht="21" customHeight="1">
      <c r="B92" s="90"/>
      <c r="D92" s="91" t="s">
        <v>123</v>
      </c>
      <c r="N92" s="181">
        <f>$N$139</f>
        <v>685.35</v>
      </c>
      <c r="O92" s="180"/>
      <c r="P92" s="180"/>
      <c r="Q92" s="180"/>
      <c r="R92" s="92"/>
    </row>
    <row r="93" spans="2:18" s="83" customFormat="1" ht="21" customHeight="1">
      <c r="B93" s="90"/>
      <c r="D93" s="91" t="s">
        <v>124</v>
      </c>
      <c r="N93" s="181">
        <f>$N$144</f>
        <v>274.84</v>
      </c>
      <c r="O93" s="180"/>
      <c r="P93" s="180"/>
      <c r="Q93" s="180"/>
      <c r="R93" s="92"/>
    </row>
    <row r="94" spans="2:18" s="66" customFormat="1" ht="25.5" customHeight="1">
      <c r="B94" s="87"/>
      <c r="D94" s="88" t="s">
        <v>125</v>
      </c>
      <c r="N94" s="179">
        <f>$N$146</f>
        <v>42679.33</v>
      </c>
      <c r="O94" s="180"/>
      <c r="P94" s="180"/>
      <c r="Q94" s="180"/>
      <c r="R94" s="89"/>
    </row>
    <row r="95" spans="2:18" s="83" customFormat="1" ht="21" customHeight="1">
      <c r="B95" s="90"/>
      <c r="D95" s="91" t="s">
        <v>126</v>
      </c>
      <c r="N95" s="181">
        <f>$N$147</f>
        <v>11989.28</v>
      </c>
      <c r="O95" s="180"/>
      <c r="P95" s="180"/>
      <c r="Q95" s="180"/>
      <c r="R95" s="92"/>
    </row>
    <row r="96" spans="2:18" s="83" customFormat="1" ht="21" customHeight="1">
      <c r="B96" s="90"/>
      <c r="D96" s="91" t="s">
        <v>127</v>
      </c>
      <c r="N96" s="181">
        <f>$N$151</f>
        <v>12249.519999999999</v>
      </c>
      <c r="O96" s="180"/>
      <c r="P96" s="180"/>
      <c r="Q96" s="180"/>
      <c r="R96" s="92"/>
    </row>
    <row r="97" spans="2:18" s="83" customFormat="1" ht="21" customHeight="1">
      <c r="B97" s="90"/>
      <c r="D97" s="91" t="s">
        <v>128</v>
      </c>
      <c r="N97" s="181">
        <f>$N$159</f>
        <v>10865.53</v>
      </c>
      <c r="O97" s="180"/>
      <c r="P97" s="180"/>
      <c r="Q97" s="180"/>
      <c r="R97" s="92"/>
    </row>
    <row r="98" spans="2:18" s="83" customFormat="1" ht="21" customHeight="1">
      <c r="B98" s="90"/>
      <c r="D98" s="91" t="s">
        <v>129</v>
      </c>
      <c r="N98" s="181">
        <f>$N$165</f>
        <v>7575</v>
      </c>
      <c r="O98" s="180"/>
      <c r="P98" s="180"/>
      <c r="Q98" s="180"/>
      <c r="R98" s="92"/>
    </row>
    <row r="99" spans="2:18" s="6" customFormat="1" ht="22.5" customHeight="1">
      <c r="B99" s="19"/>
      <c r="R99" s="20"/>
    </row>
    <row r="100" spans="2:21" s="6" customFormat="1" ht="30" customHeight="1">
      <c r="B100" s="19"/>
      <c r="C100" s="61" t="s">
        <v>130</v>
      </c>
      <c r="N100" s="169">
        <v>0</v>
      </c>
      <c r="O100" s="157"/>
      <c r="P100" s="157"/>
      <c r="Q100" s="157"/>
      <c r="R100" s="20"/>
      <c r="T100" s="93"/>
      <c r="U100" s="94" t="s">
        <v>40</v>
      </c>
    </row>
    <row r="101" spans="2:18" s="6" customFormat="1" ht="18.75" customHeight="1">
      <c r="B101" s="19"/>
      <c r="R101" s="20"/>
    </row>
    <row r="102" spans="2:18" s="6" customFormat="1" ht="30" customHeight="1">
      <c r="B102" s="19"/>
      <c r="C102" s="79" t="s">
        <v>107</v>
      </c>
      <c r="D102" s="28"/>
      <c r="E102" s="28"/>
      <c r="F102" s="28"/>
      <c r="G102" s="28"/>
      <c r="H102" s="28"/>
      <c r="I102" s="28"/>
      <c r="J102" s="28"/>
      <c r="K102" s="28"/>
      <c r="L102" s="171">
        <f>ROUND(SUM($N$88+$N$100),2)</f>
        <v>66903.92</v>
      </c>
      <c r="M102" s="172"/>
      <c r="N102" s="172"/>
      <c r="O102" s="172"/>
      <c r="P102" s="172"/>
      <c r="Q102" s="172"/>
      <c r="R102" s="20"/>
    </row>
    <row r="103" spans="2:18" s="6" customFormat="1" ht="7.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3"/>
    </row>
    <row r="107" spans="2:18" s="6" customFormat="1" ht="7.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18" s="6" customFormat="1" ht="37.5" customHeight="1">
      <c r="B108" s="19"/>
      <c r="C108" s="143" t="s">
        <v>131</v>
      </c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20"/>
    </row>
    <row r="109" spans="2:18" s="6" customFormat="1" ht="7.5" customHeight="1">
      <c r="B109" s="19"/>
      <c r="R109" s="20"/>
    </row>
    <row r="110" spans="2:18" s="6" customFormat="1" ht="30.75" customHeight="1">
      <c r="B110" s="19"/>
      <c r="C110" s="16" t="s">
        <v>14</v>
      </c>
      <c r="F110" s="173" t="str">
        <f>$F$6</f>
        <v>UK-stavební práce</v>
      </c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R110" s="20"/>
    </row>
    <row r="111" spans="2:18" s="6" customFormat="1" ht="37.5" customHeight="1">
      <c r="B111" s="19"/>
      <c r="C111" s="49" t="s">
        <v>111</v>
      </c>
      <c r="F111" s="158" t="str">
        <f>$F$7</f>
        <v>A1 - Stavební práce - Stěny a strop</v>
      </c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R111" s="20"/>
    </row>
    <row r="112" spans="2:18" s="6" customFormat="1" ht="7.5" customHeight="1">
      <c r="B112" s="19"/>
      <c r="R112" s="20"/>
    </row>
    <row r="113" spans="2:18" s="6" customFormat="1" ht="18.75" customHeight="1">
      <c r="B113" s="19"/>
      <c r="C113" s="16" t="s">
        <v>20</v>
      </c>
      <c r="F113" s="14" t="str">
        <f>$F$9</f>
        <v> </v>
      </c>
      <c r="K113" s="16" t="s">
        <v>22</v>
      </c>
      <c r="M113" s="174" t="str">
        <f>IF($O$9="","",$O$9)</f>
        <v>23.10.2016</v>
      </c>
      <c r="N113" s="157"/>
      <c r="O113" s="157"/>
      <c r="P113" s="157"/>
      <c r="R113" s="20"/>
    </row>
    <row r="114" spans="2:18" s="6" customFormat="1" ht="7.5" customHeight="1">
      <c r="B114" s="19"/>
      <c r="R114" s="20"/>
    </row>
    <row r="115" spans="2:18" s="6" customFormat="1" ht="15.75" customHeight="1">
      <c r="B115" s="19"/>
      <c r="C115" s="16" t="s">
        <v>26</v>
      </c>
      <c r="F115" s="14" t="str">
        <f>$E$12</f>
        <v>Univerzita Karlova - Správa budov a zařízení</v>
      </c>
      <c r="K115" s="16" t="s">
        <v>33</v>
      </c>
      <c r="M115" s="144" t="str">
        <f>$E$18</f>
        <v> </v>
      </c>
      <c r="N115" s="157"/>
      <c r="O115" s="157"/>
      <c r="P115" s="157"/>
      <c r="Q115" s="157"/>
      <c r="R115" s="20"/>
    </row>
    <row r="116" spans="2:18" s="6" customFormat="1" ht="15" customHeight="1">
      <c r="B116" s="19"/>
      <c r="C116" s="16" t="s">
        <v>32</v>
      </c>
      <c r="F116" s="14" t="str">
        <f>IF($E$15="","",$E$15)</f>
        <v> </v>
      </c>
      <c r="K116" s="16" t="s">
        <v>35</v>
      </c>
      <c r="M116" s="144" t="str">
        <f>$E$21</f>
        <v> </v>
      </c>
      <c r="N116" s="157"/>
      <c r="O116" s="157"/>
      <c r="P116" s="157"/>
      <c r="Q116" s="157"/>
      <c r="R116" s="20"/>
    </row>
    <row r="117" spans="2:18" s="6" customFormat="1" ht="11.25" customHeight="1">
      <c r="B117" s="19"/>
      <c r="R117" s="20"/>
    </row>
    <row r="118" spans="2:27" s="95" customFormat="1" ht="30" customHeight="1">
      <c r="B118" s="96"/>
      <c r="C118" s="97" t="s">
        <v>132</v>
      </c>
      <c r="D118" s="98" t="s">
        <v>133</v>
      </c>
      <c r="E118" s="98" t="s">
        <v>58</v>
      </c>
      <c r="F118" s="182" t="s">
        <v>134</v>
      </c>
      <c r="G118" s="183"/>
      <c r="H118" s="183"/>
      <c r="I118" s="183"/>
      <c r="J118" s="98" t="s">
        <v>135</v>
      </c>
      <c r="K118" s="98" t="s">
        <v>136</v>
      </c>
      <c r="L118" s="182" t="s">
        <v>137</v>
      </c>
      <c r="M118" s="183"/>
      <c r="N118" s="182" t="s">
        <v>138</v>
      </c>
      <c r="O118" s="183"/>
      <c r="P118" s="183"/>
      <c r="Q118" s="184"/>
      <c r="R118" s="99"/>
      <c r="T118" s="56" t="s">
        <v>139</v>
      </c>
      <c r="U118" s="57" t="s">
        <v>40</v>
      </c>
      <c r="V118" s="57" t="s">
        <v>140</v>
      </c>
      <c r="W118" s="57" t="s">
        <v>141</v>
      </c>
      <c r="X118" s="57" t="s">
        <v>142</v>
      </c>
      <c r="Y118" s="57" t="s">
        <v>143</v>
      </c>
      <c r="Z118" s="57" t="s">
        <v>144</v>
      </c>
      <c r="AA118" s="58" t="s">
        <v>145</v>
      </c>
    </row>
    <row r="119" spans="2:63" s="6" customFormat="1" ht="30" customHeight="1">
      <c r="B119" s="19"/>
      <c r="C119" s="61" t="s">
        <v>113</v>
      </c>
      <c r="N119" s="195">
        <f>$BK$119</f>
        <v>66903.92</v>
      </c>
      <c r="O119" s="157"/>
      <c r="P119" s="157"/>
      <c r="Q119" s="157"/>
      <c r="R119" s="20"/>
      <c r="T119" s="60"/>
      <c r="U119" s="33"/>
      <c r="V119" s="33"/>
      <c r="W119" s="100">
        <f>$W$120+$W$146</f>
        <v>126.181894</v>
      </c>
      <c r="X119" s="33"/>
      <c r="Y119" s="100">
        <f>$Y$120+$Y$146</f>
        <v>2.667193</v>
      </c>
      <c r="Z119" s="33"/>
      <c r="AA119" s="101">
        <f>$AA$120+$AA$146</f>
        <v>2.088295</v>
      </c>
      <c r="AT119" s="6" t="s">
        <v>75</v>
      </c>
      <c r="AU119" s="6" t="s">
        <v>119</v>
      </c>
      <c r="BK119" s="102">
        <f>$BK$120+$BK$146</f>
        <v>66903.92</v>
      </c>
    </row>
    <row r="120" spans="2:63" s="103" customFormat="1" ht="37.5" customHeight="1">
      <c r="B120" s="104"/>
      <c r="D120" s="105" t="s">
        <v>120</v>
      </c>
      <c r="E120" s="105"/>
      <c r="F120" s="105"/>
      <c r="G120" s="105"/>
      <c r="H120" s="105"/>
      <c r="I120" s="105"/>
      <c r="J120" s="105"/>
      <c r="K120" s="105"/>
      <c r="L120" s="105"/>
      <c r="M120" s="105"/>
      <c r="N120" s="192">
        <f>$BK$120</f>
        <v>24224.59</v>
      </c>
      <c r="O120" s="193"/>
      <c r="P120" s="193"/>
      <c r="Q120" s="193"/>
      <c r="R120" s="107"/>
      <c r="T120" s="108"/>
      <c r="W120" s="109">
        <f>$W$121+$W$125+$W$139+$W$144</f>
        <v>59.05575999999999</v>
      </c>
      <c r="Y120" s="109">
        <f>$Y$121+$Y$125+$Y$139+$Y$144</f>
        <v>1.04486</v>
      </c>
      <c r="AA120" s="110">
        <f>$AA$121+$AA$125+$AA$139+$AA$144</f>
        <v>0.913</v>
      </c>
      <c r="AR120" s="106" t="s">
        <v>19</v>
      </c>
      <c r="AT120" s="106" t="s">
        <v>75</v>
      </c>
      <c r="AU120" s="106" t="s">
        <v>76</v>
      </c>
      <c r="AY120" s="106" t="s">
        <v>146</v>
      </c>
      <c r="BK120" s="111">
        <f>$BK$121+$BK$125+$BK$139+$BK$144</f>
        <v>24224.59</v>
      </c>
    </row>
    <row r="121" spans="2:63" s="103" customFormat="1" ht="21" customHeight="1">
      <c r="B121" s="104"/>
      <c r="D121" s="112" t="s">
        <v>121</v>
      </c>
      <c r="E121" s="112"/>
      <c r="F121" s="112"/>
      <c r="G121" s="112"/>
      <c r="H121" s="112"/>
      <c r="I121" s="112"/>
      <c r="J121" s="112"/>
      <c r="K121" s="112"/>
      <c r="L121" s="112"/>
      <c r="M121" s="112"/>
      <c r="N121" s="194">
        <f>$BK$121</f>
        <v>2356</v>
      </c>
      <c r="O121" s="193"/>
      <c r="P121" s="193"/>
      <c r="Q121" s="193"/>
      <c r="R121" s="107"/>
      <c r="T121" s="108"/>
      <c r="W121" s="109">
        <f>SUM($W$122:$W$124)</f>
        <v>1.752</v>
      </c>
      <c r="Y121" s="109">
        <f>SUM($Y$122:$Y$124)</f>
        <v>0.2934</v>
      </c>
      <c r="AA121" s="110">
        <f>SUM($AA$122:$AA$124)</f>
        <v>0</v>
      </c>
      <c r="AR121" s="106" t="s">
        <v>19</v>
      </c>
      <c r="AT121" s="106" t="s">
        <v>75</v>
      </c>
      <c r="AU121" s="106" t="s">
        <v>19</v>
      </c>
      <c r="AY121" s="106" t="s">
        <v>146</v>
      </c>
      <c r="BK121" s="111">
        <f>SUM($BK$122:$BK$124)</f>
        <v>2356</v>
      </c>
    </row>
    <row r="122" spans="2:65" s="6" customFormat="1" ht="27" customHeight="1">
      <c r="B122" s="19"/>
      <c r="C122" s="113" t="s">
        <v>147</v>
      </c>
      <c r="D122" s="113" t="s">
        <v>148</v>
      </c>
      <c r="E122" s="114" t="s">
        <v>149</v>
      </c>
      <c r="F122" s="185" t="s">
        <v>150</v>
      </c>
      <c r="G122" s="186"/>
      <c r="H122" s="186"/>
      <c r="I122" s="186"/>
      <c r="J122" s="115" t="s">
        <v>151</v>
      </c>
      <c r="K122" s="116">
        <v>2</v>
      </c>
      <c r="L122" s="187">
        <v>400</v>
      </c>
      <c r="M122" s="186"/>
      <c r="N122" s="187">
        <f>ROUND($L$122*$K$122,2)</f>
        <v>800</v>
      </c>
      <c r="O122" s="186"/>
      <c r="P122" s="186"/>
      <c r="Q122" s="186"/>
      <c r="R122" s="20"/>
      <c r="T122" s="117"/>
      <c r="U122" s="26" t="s">
        <v>41</v>
      </c>
      <c r="V122" s="118">
        <v>0.269</v>
      </c>
      <c r="W122" s="118">
        <f>$V$122*$K$122</f>
        <v>0.538</v>
      </c>
      <c r="X122" s="118">
        <v>0.04458</v>
      </c>
      <c r="Y122" s="118">
        <f>$X$122*$K$122</f>
        <v>0.08916</v>
      </c>
      <c r="Z122" s="118">
        <v>0</v>
      </c>
      <c r="AA122" s="119">
        <f>$Z$122*$K$122</f>
        <v>0</v>
      </c>
      <c r="AR122" s="6" t="s">
        <v>152</v>
      </c>
      <c r="AT122" s="6" t="s">
        <v>148</v>
      </c>
      <c r="AU122" s="6" t="s">
        <v>109</v>
      </c>
      <c r="AY122" s="6" t="s">
        <v>146</v>
      </c>
      <c r="BE122" s="120">
        <f>IF($U$122="základní",$N$122,0)</f>
        <v>800</v>
      </c>
      <c r="BF122" s="120">
        <f>IF($U$122="snížená",$N$122,0)</f>
        <v>0</v>
      </c>
      <c r="BG122" s="120">
        <f>IF($U$122="zákl. přenesená",$N$122,0)</f>
        <v>0</v>
      </c>
      <c r="BH122" s="120">
        <f>IF($U$122="sníž. přenesená",$N$122,0)</f>
        <v>0</v>
      </c>
      <c r="BI122" s="120">
        <f>IF($U$122="nulová",$N$122,0)</f>
        <v>0</v>
      </c>
      <c r="BJ122" s="6" t="s">
        <v>19</v>
      </c>
      <c r="BK122" s="120">
        <f>ROUND($L$122*$K$122,2)</f>
        <v>800</v>
      </c>
      <c r="BL122" s="6" t="s">
        <v>152</v>
      </c>
      <c r="BM122" s="6" t="s">
        <v>153</v>
      </c>
    </row>
    <row r="123" spans="2:47" s="6" customFormat="1" ht="18.75" customHeight="1">
      <c r="B123" s="19"/>
      <c r="F123" s="188" t="s">
        <v>154</v>
      </c>
      <c r="G123" s="157"/>
      <c r="H123" s="157"/>
      <c r="I123" s="157"/>
      <c r="R123" s="20"/>
      <c r="T123" s="54"/>
      <c r="AA123" s="55"/>
      <c r="AT123" s="6" t="s">
        <v>155</v>
      </c>
      <c r="AU123" s="6" t="s">
        <v>109</v>
      </c>
    </row>
    <row r="124" spans="2:65" s="6" customFormat="1" ht="27" customHeight="1">
      <c r="B124" s="19"/>
      <c r="C124" s="113" t="s">
        <v>156</v>
      </c>
      <c r="D124" s="113" t="s">
        <v>148</v>
      </c>
      <c r="E124" s="114" t="s">
        <v>157</v>
      </c>
      <c r="F124" s="185" t="s">
        <v>158</v>
      </c>
      <c r="G124" s="186"/>
      <c r="H124" s="186"/>
      <c r="I124" s="186"/>
      <c r="J124" s="115" t="s">
        <v>159</v>
      </c>
      <c r="K124" s="116">
        <v>2</v>
      </c>
      <c r="L124" s="187">
        <v>778</v>
      </c>
      <c r="M124" s="186"/>
      <c r="N124" s="187">
        <f>ROUND($L$124*$K$124,2)</f>
        <v>1556</v>
      </c>
      <c r="O124" s="186"/>
      <c r="P124" s="186"/>
      <c r="Q124" s="186"/>
      <c r="R124" s="20"/>
      <c r="T124" s="117"/>
      <c r="U124" s="26" t="s">
        <v>41</v>
      </c>
      <c r="V124" s="118">
        <v>0.607</v>
      </c>
      <c r="W124" s="118">
        <f>$V$124*$K$124</f>
        <v>1.214</v>
      </c>
      <c r="X124" s="118">
        <v>0.10212</v>
      </c>
      <c r="Y124" s="118">
        <f>$X$124*$K$124</f>
        <v>0.20424</v>
      </c>
      <c r="Z124" s="118">
        <v>0</v>
      </c>
      <c r="AA124" s="119">
        <f>$Z$124*$K$124</f>
        <v>0</v>
      </c>
      <c r="AR124" s="6" t="s">
        <v>152</v>
      </c>
      <c r="AT124" s="6" t="s">
        <v>148</v>
      </c>
      <c r="AU124" s="6" t="s">
        <v>109</v>
      </c>
      <c r="AY124" s="6" t="s">
        <v>146</v>
      </c>
      <c r="BE124" s="120">
        <f>IF($U$124="základní",$N$124,0)</f>
        <v>1556</v>
      </c>
      <c r="BF124" s="120">
        <f>IF($U$124="snížená",$N$124,0)</f>
        <v>0</v>
      </c>
      <c r="BG124" s="120">
        <f>IF($U$124="zákl. přenesená",$N$124,0)</f>
        <v>0</v>
      </c>
      <c r="BH124" s="120">
        <f>IF($U$124="sníž. přenesená",$N$124,0)</f>
        <v>0</v>
      </c>
      <c r="BI124" s="120">
        <f>IF($U$124="nulová",$N$124,0)</f>
        <v>0</v>
      </c>
      <c r="BJ124" s="6" t="s">
        <v>19</v>
      </c>
      <c r="BK124" s="120">
        <f>ROUND($L$124*$K$124,2)</f>
        <v>1556</v>
      </c>
      <c r="BL124" s="6" t="s">
        <v>152</v>
      </c>
      <c r="BM124" s="6" t="s">
        <v>160</v>
      </c>
    </row>
    <row r="125" spans="2:63" s="103" customFormat="1" ht="30.75" customHeight="1">
      <c r="B125" s="104"/>
      <c r="D125" s="112" t="s">
        <v>122</v>
      </c>
      <c r="E125" s="112"/>
      <c r="F125" s="112"/>
      <c r="G125" s="112"/>
      <c r="H125" s="112"/>
      <c r="I125" s="112"/>
      <c r="J125" s="112"/>
      <c r="K125" s="112"/>
      <c r="L125" s="112"/>
      <c r="M125" s="112"/>
      <c r="N125" s="194">
        <f>$BK$125</f>
        <v>20908.4</v>
      </c>
      <c r="O125" s="193"/>
      <c r="P125" s="193"/>
      <c r="Q125" s="193"/>
      <c r="R125" s="107"/>
      <c r="T125" s="108"/>
      <c r="W125" s="109">
        <f>SUM($W$126:$W$138)</f>
        <v>54.18299999999999</v>
      </c>
      <c r="Y125" s="109">
        <f>SUM($Y$126:$Y$138)</f>
        <v>0.75146</v>
      </c>
      <c r="AA125" s="110">
        <f>SUM($AA$126:$AA$138)</f>
        <v>0</v>
      </c>
      <c r="AR125" s="106" t="s">
        <v>19</v>
      </c>
      <c r="AT125" s="106" t="s">
        <v>75</v>
      </c>
      <c r="AU125" s="106" t="s">
        <v>19</v>
      </c>
      <c r="AY125" s="106" t="s">
        <v>146</v>
      </c>
      <c r="BK125" s="111">
        <f>SUM($BK$126:$BK$138)</f>
        <v>20908.4</v>
      </c>
    </row>
    <row r="126" spans="2:65" s="6" customFormat="1" ht="27" customHeight="1">
      <c r="B126" s="19"/>
      <c r="C126" s="113" t="s">
        <v>161</v>
      </c>
      <c r="D126" s="113" t="s">
        <v>148</v>
      </c>
      <c r="E126" s="114" t="s">
        <v>162</v>
      </c>
      <c r="F126" s="185" t="s">
        <v>163</v>
      </c>
      <c r="G126" s="186"/>
      <c r="H126" s="186"/>
      <c r="I126" s="186"/>
      <c r="J126" s="115" t="s">
        <v>159</v>
      </c>
      <c r="K126" s="116">
        <v>250</v>
      </c>
      <c r="L126" s="187">
        <v>52.9</v>
      </c>
      <c r="M126" s="186"/>
      <c r="N126" s="187">
        <f>ROUND($L$126*$K$126,2)</f>
        <v>13225</v>
      </c>
      <c r="O126" s="186"/>
      <c r="P126" s="186"/>
      <c r="Q126" s="186"/>
      <c r="R126" s="20"/>
      <c r="T126" s="117"/>
      <c r="U126" s="26" t="s">
        <v>41</v>
      </c>
      <c r="V126" s="118">
        <v>0.148</v>
      </c>
      <c r="W126" s="118">
        <f>$V$126*$K$126</f>
        <v>37</v>
      </c>
      <c r="X126" s="118">
        <v>0.00026</v>
      </c>
      <c r="Y126" s="118">
        <f>$X$126*$K$126</f>
        <v>0.06499999999999999</v>
      </c>
      <c r="Z126" s="118">
        <v>0</v>
      </c>
      <c r="AA126" s="119">
        <f>$Z$126*$K$126</f>
        <v>0</v>
      </c>
      <c r="AR126" s="6" t="s">
        <v>152</v>
      </c>
      <c r="AT126" s="6" t="s">
        <v>148</v>
      </c>
      <c r="AU126" s="6" t="s">
        <v>109</v>
      </c>
      <c r="AY126" s="6" t="s">
        <v>146</v>
      </c>
      <c r="BE126" s="120">
        <f>IF($U$126="základní",$N$126,0)</f>
        <v>13225</v>
      </c>
      <c r="BF126" s="120">
        <f>IF($U$126="snížená",$N$126,0)</f>
        <v>0</v>
      </c>
      <c r="BG126" s="120">
        <f>IF($U$126="zákl. přenesená",$N$126,0)</f>
        <v>0</v>
      </c>
      <c r="BH126" s="120">
        <f>IF($U$126="sníž. přenesená",$N$126,0)</f>
        <v>0</v>
      </c>
      <c r="BI126" s="120">
        <f>IF($U$126="nulová",$N$126,0)</f>
        <v>0</v>
      </c>
      <c r="BJ126" s="6" t="s">
        <v>19</v>
      </c>
      <c r="BK126" s="120">
        <f>ROUND($L$126*$K$126,2)</f>
        <v>13225</v>
      </c>
      <c r="BL126" s="6" t="s">
        <v>152</v>
      </c>
      <c r="BM126" s="6" t="s">
        <v>164</v>
      </c>
    </row>
    <row r="127" spans="2:47" s="6" customFormat="1" ht="18.75" customHeight="1">
      <c r="B127" s="19"/>
      <c r="F127" s="188" t="s">
        <v>165</v>
      </c>
      <c r="G127" s="157"/>
      <c r="H127" s="157"/>
      <c r="I127" s="157"/>
      <c r="R127" s="20"/>
      <c r="T127" s="54"/>
      <c r="AA127" s="55"/>
      <c r="AT127" s="6" t="s">
        <v>155</v>
      </c>
      <c r="AU127" s="6" t="s">
        <v>109</v>
      </c>
    </row>
    <row r="128" spans="2:65" s="6" customFormat="1" ht="27" customHeight="1">
      <c r="B128" s="19"/>
      <c r="C128" s="113" t="s">
        <v>166</v>
      </c>
      <c r="D128" s="113" t="s">
        <v>148</v>
      </c>
      <c r="E128" s="114" t="s">
        <v>167</v>
      </c>
      <c r="F128" s="185" t="s">
        <v>168</v>
      </c>
      <c r="G128" s="186"/>
      <c r="H128" s="186"/>
      <c r="I128" s="186"/>
      <c r="J128" s="115" t="s">
        <v>159</v>
      </c>
      <c r="K128" s="116">
        <v>25</v>
      </c>
      <c r="L128" s="187">
        <v>195</v>
      </c>
      <c r="M128" s="186"/>
      <c r="N128" s="187">
        <f>ROUND($L$128*$K$128,2)</f>
        <v>4875</v>
      </c>
      <c r="O128" s="186"/>
      <c r="P128" s="186"/>
      <c r="Q128" s="186"/>
      <c r="R128" s="20"/>
      <c r="T128" s="117"/>
      <c r="U128" s="26" t="s">
        <v>41</v>
      </c>
      <c r="V128" s="118">
        <v>0.474</v>
      </c>
      <c r="W128" s="118">
        <f>$V$128*$K$128</f>
        <v>11.85</v>
      </c>
      <c r="X128" s="118">
        <v>0.02048</v>
      </c>
      <c r="Y128" s="118">
        <f>$X$128*$K$128</f>
        <v>0.512</v>
      </c>
      <c r="Z128" s="118">
        <v>0</v>
      </c>
      <c r="AA128" s="119">
        <f>$Z$128*$K$128</f>
        <v>0</v>
      </c>
      <c r="AR128" s="6" t="s">
        <v>152</v>
      </c>
      <c r="AT128" s="6" t="s">
        <v>148</v>
      </c>
      <c r="AU128" s="6" t="s">
        <v>109</v>
      </c>
      <c r="AY128" s="6" t="s">
        <v>146</v>
      </c>
      <c r="BE128" s="120">
        <f>IF($U$128="základní",$N$128,0)</f>
        <v>4875</v>
      </c>
      <c r="BF128" s="120">
        <f>IF($U$128="snížená",$N$128,0)</f>
        <v>0</v>
      </c>
      <c r="BG128" s="120">
        <f>IF($U$128="zákl. přenesená",$N$128,0)</f>
        <v>0</v>
      </c>
      <c r="BH128" s="120">
        <f>IF($U$128="sníž. přenesená",$N$128,0)</f>
        <v>0</v>
      </c>
      <c r="BI128" s="120">
        <f>IF($U$128="nulová",$N$128,0)</f>
        <v>0</v>
      </c>
      <c r="BJ128" s="6" t="s">
        <v>19</v>
      </c>
      <c r="BK128" s="120">
        <f>ROUND($L$128*$K$128,2)</f>
        <v>4875</v>
      </c>
      <c r="BL128" s="6" t="s">
        <v>152</v>
      </c>
      <c r="BM128" s="6" t="s">
        <v>169</v>
      </c>
    </row>
    <row r="129" spans="2:47" s="6" customFormat="1" ht="30.75" customHeight="1">
      <c r="B129" s="19"/>
      <c r="F129" s="188" t="s">
        <v>170</v>
      </c>
      <c r="G129" s="157"/>
      <c r="H129" s="157"/>
      <c r="I129" s="157"/>
      <c r="R129" s="20"/>
      <c r="T129" s="54"/>
      <c r="AA129" s="55"/>
      <c r="AT129" s="6" t="s">
        <v>155</v>
      </c>
      <c r="AU129" s="6" t="s">
        <v>109</v>
      </c>
    </row>
    <row r="130" spans="2:65" s="6" customFormat="1" ht="27" customHeight="1">
      <c r="B130" s="19"/>
      <c r="C130" s="113" t="s">
        <v>156</v>
      </c>
      <c r="D130" s="113" t="s">
        <v>148</v>
      </c>
      <c r="E130" s="114" t="s">
        <v>171</v>
      </c>
      <c r="F130" s="185" t="s">
        <v>172</v>
      </c>
      <c r="G130" s="186"/>
      <c r="H130" s="186"/>
      <c r="I130" s="186"/>
      <c r="J130" s="115" t="s">
        <v>159</v>
      </c>
      <c r="K130" s="116">
        <v>2</v>
      </c>
      <c r="L130" s="187">
        <v>161</v>
      </c>
      <c r="M130" s="186"/>
      <c r="N130" s="187">
        <f>ROUND($L$130*$K$130,2)</f>
        <v>322</v>
      </c>
      <c r="O130" s="186"/>
      <c r="P130" s="186"/>
      <c r="Q130" s="186"/>
      <c r="R130" s="20"/>
      <c r="T130" s="117"/>
      <c r="U130" s="26" t="s">
        <v>41</v>
      </c>
      <c r="V130" s="118">
        <v>0.36</v>
      </c>
      <c r="W130" s="118">
        <f>$V$130*$K$130</f>
        <v>0.72</v>
      </c>
      <c r="X130" s="118">
        <v>0.00489</v>
      </c>
      <c r="Y130" s="118">
        <f>$X$130*$K$130</f>
        <v>0.00978</v>
      </c>
      <c r="Z130" s="118">
        <v>0</v>
      </c>
      <c r="AA130" s="119">
        <f>$Z$130*$K$130</f>
        <v>0</v>
      </c>
      <c r="AR130" s="6" t="s">
        <v>152</v>
      </c>
      <c r="AT130" s="6" t="s">
        <v>148</v>
      </c>
      <c r="AU130" s="6" t="s">
        <v>109</v>
      </c>
      <c r="AY130" s="6" t="s">
        <v>146</v>
      </c>
      <c r="BE130" s="120">
        <f>IF($U$130="základní",$N$130,0)</f>
        <v>322</v>
      </c>
      <c r="BF130" s="120">
        <f>IF($U$130="snížená",$N$130,0)</f>
        <v>0</v>
      </c>
      <c r="BG130" s="120">
        <f>IF($U$130="zákl. přenesená",$N$130,0)</f>
        <v>0</v>
      </c>
      <c r="BH130" s="120">
        <f>IF($U$130="sníž. přenesená",$N$130,0)</f>
        <v>0</v>
      </c>
      <c r="BI130" s="120">
        <f>IF($U$130="nulová",$N$130,0)</f>
        <v>0</v>
      </c>
      <c r="BJ130" s="6" t="s">
        <v>19</v>
      </c>
      <c r="BK130" s="120">
        <f>ROUND($L$130*$K$130,2)</f>
        <v>322</v>
      </c>
      <c r="BL130" s="6" t="s">
        <v>152</v>
      </c>
      <c r="BM130" s="6" t="s">
        <v>173</v>
      </c>
    </row>
    <row r="131" spans="2:47" s="6" customFormat="1" ht="18.75" customHeight="1">
      <c r="B131" s="19"/>
      <c r="F131" s="188" t="s">
        <v>174</v>
      </c>
      <c r="G131" s="157"/>
      <c r="H131" s="157"/>
      <c r="I131" s="157"/>
      <c r="R131" s="20"/>
      <c r="T131" s="54"/>
      <c r="AA131" s="55"/>
      <c r="AT131" s="6" t="s">
        <v>155</v>
      </c>
      <c r="AU131" s="6" t="s">
        <v>109</v>
      </c>
    </row>
    <row r="132" spans="2:65" s="6" customFormat="1" ht="27" customHeight="1">
      <c r="B132" s="19"/>
      <c r="C132" s="113" t="s">
        <v>156</v>
      </c>
      <c r="D132" s="113" t="s">
        <v>148</v>
      </c>
      <c r="E132" s="114" t="s">
        <v>175</v>
      </c>
      <c r="F132" s="185" t="s">
        <v>176</v>
      </c>
      <c r="G132" s="186"/>
      <c r="H132" s="186"/>
      <c r="I132" s="186"/>
      <c r="J132" s="115" t="s">
        <v>159</v>
      </c>
      <c r="K132" s="116">
        <v>2</v>
      </c>
      <c r="L132" s="187">
        <v>95.7</v>
      </c>
      <c r="M132" s="186"/>
      <c r="N132" s="187">
        <f>ROUND($L$132*$K$132,2)</f>
        <v>191.4</v>
      </c>
      <c r="O132" s="186"/>
      <c r="P132" s="186"/>
      <c r="Q132" s="186"/>
      <c r="R132" s="20"/>
      <c r="T132" s="117"/>
      <c r="U132" s="26" t="s">
        <v>41</v>
      </c>
      <c r="V132" s="118">
        <v>0.272</v>
      </c>
      <c r="W132" s="118">
        <f>$V$132*$K$132</f>
        <v>0.544</v>
      </c>
      <c r="X132" s="118">
        <v>0.003</v>
      </c>
      <c r="Y132" s="118">
        <f>$X$132*$K$132</f>
        <v>0.006</v>
      </c>
      <c r="Z132" s="118">
        <v>0</v>
      </c>
      <c r="AA132" s="119">
        <f>$Z$132*$K$132</f>
        <v>0</v>
      </c>
      <c r="AR132" s="6" t="s">
        <v>152</v>
      </c>
      <c r="AT132" s="6" t="s">
        <v>148</v>
      </c>
      <c r="AU132" s="6" t="s">
        <v>109</v>
      </c>
      <c r="AY132" s="6" t="s">
        <v>146</v>
      </c>
      <c r="BE132" s="120">
        <f>IF($U$132="základní",$N$132,0)</f>
        <v>191.4</v>
      </c>
      <c r="BF132" s="120">
        <f>IF($U$132="snížená",$N$132,0)</f>
        <v>0</v>
      </c>
      <c r="BG132" s="120">
        <f>IF($U$132="zákl. přenesená",$N$132,0)</f>
        <v>0</v>
      </c>
      <c r="BH132" s="120">
        <f>IF($U$132="sníž. přenesená",$N$132,0)</f>
        <v>0</v>
      </c>
      <c r="BI132" s="120">
        <f>IF($U$132="nulová",$N$132,0)</f>
        <v>0</v>
      </c>
      <c r="BJ132" s="6" t="s">
        <v>19</v>
      </c>
      <c r="BK132" s="120">
        <f>ROUND($L$132*$K$132,2)</f>
        <v>191.4</v>
      </c>
      <c r="BL132" s="6" t="s">
        <v>152</v>
      </c>
      <c r="BM132" s="6" t="s">
        <v>177</v>
      </c>
    </row>
    <row r="133" spans="2:47" s="6" customFormat="1" ht="18.75" customHeight="1">
      <c r="B133" s="19"/>
      <c r="F133" s="188" t="s">
        <v>174</v>
      </c>
      <c r="G133" s="157"/>
      <c r="H133" s="157"/>
      <c r="I133" s="157"/>
      <c r="R133" s="20"/>
      <c r="T133" s="54"/>
      <c r="AA133" s="55"/>
      <c r="AT133" s="6" t="s">
        <v>155</v>
      </c>
      <c r="AU133" s="6" t="s">
        <v>109</v>
      </c>
    </row>
    <row r="134" spans="2:65" s="6" customFormat="1" ht="27" customHeight="1">
      <c r="B134" s="19"/>
      <c r="C134" s="113" t="s">
        <v>178</v>
      </c>
      <c r="D134" s="113" t="s">
        <v>148</v>
      </c>
      <c r="E134" s="114" t="s">
        <v>179</v>
      </c>
      <c r="F134" s="185" t="s">
        <v>180</v>
      </c>
      <c r="G134" s="186"/>
      <c r="H134" s="186"/>
      <c r="I134" s="186"/>
      <c r="J134" s="115" t="s">
        <v>159</v>
      </c>
      <c r="K134" s="116">
        <v>8.5</v>
      </c>
      <c r="L134" s="187">
        <v>170</v>
      </c>
      <c r="M134" s="186"/>
      <c r="N134" s="187">
        <f>ROUND($L$134*$K$134,2)</f>
        <v>1445</v>
      </c>
      <c r="O134" s="186"/>
      <c r="P134" s="186"/>
      <c r="Q134" s="186"/>
      <c r="R134" s="20"/>
      <c r="T134" s="117"/>
      <c r="U134" s="26" t="s">
        <v>41</v>
      </c>
      <c r="V134" s="118">
        <v>0.39</v>
      </c>
      <c r="W134" s="118">
        <f>$V$134*$K$134</f>
        <v>3.315</v>
      </c>
      <c r="X134" s="118">
        <v>0.0154</v>
      </c>
      <c r="Y134" s="118">
        <f>$X$134*$K$134</f>
        <v>0.13090000000000002</v>
      </c>
      <c r="Z134" s="118">
        <v>0</v>
      </c>
      <c r="AA134" s="119">
        <f>$Z$134*$K$134</f>
        <v>0</v>
      </c>
      <c r="AR134" s="6" t="s">
        <v>152</v>
      </c>
      <c r="AT134" s="6" t="s">
        <v>148</v>
      </c>
      <c r="AU134" s="6" t="s">
        <v>109</v>
      </c>
      <c r="AY134" s="6" t="s">
        <v>146</v>
      </c>
      <c r="BE134" s="120">
        <f>IF($U$134="základní",$N$134,0)</f>
        <v>1445</v>
      </c>
      <c r="BF134" s="120">
        <f>IF($U$134="snížená",$N$134,0)</f>
        <v>0</v>
      </c>
      <c r="BG134" s="120">
        <f>IF($U$134="zákl. přenesená",$N$134,0)</f>
        <v>0</v>
      </c>
      <c r="BH134" s="120">
        <f>IF($U$134="sníž. přenesená",$N$134,0)</f>
        <v>0</v>
      </c>
      <c r="BI134" s="120">
        <f>IF($U$134="nulová",$N$134,0)</f>
        <v>0</v>
      </c>
      <c r="BJ134" s="6" t="s">
        <v>19</v>
      </c>
      <c r="BK134" s="120">
        <f>ROUND($L$134*$K$134,2)</f>
        <v>1445</v>
      </c>
      <c r="BL134" s="6" t="s">
        <v>152</v>
      </c>
      <c r="BM134" s="6" t="s">
        <v>181</v>
      </c>
    </row>
    <row r="135" spans="2:47" s="6" customFormat="1" ht="18.75" customHeight="1">
      <c r="B135" s="19"/>
      <c r="F135" s="188" t="s">
        <v>182</v>
      </c>
      <c r="G135" s="157"/>
      <c r="H135" s="157"/>
      <c r="I135" s="157"/>
      <c r="R135" s="20"/>
      <c r="T135" s="54"/>
      <c r="AA135" s="55"/>
      <c r="AT135" s="6" t="s">
        <v>155</v>
      </c>
      <c r="AU135" s="6" t="s">
        <v>109</v>
      </c>
    </row>
    <row r="136" spans="2:65" s="6" customFormat="1" ht="27" customHeight="1">
      <c r="B136" s="19"/>
      <c r="C136" s="113" t="s">
        <v>183</v>
      </c>
      <c r="D136" s="113" t="s">
        <v>148</v>
      </c>
      <c r="E136" s="114" t="s">
        <v>184</v>
      </c>
      <c r="F136" s="185" t="s">
        <v>185</v>
      </c>
      <c r="G136" s="186"/>
      <c r="H136" s="186"/>
      <c r="I136" s="186"/>
      <c r="J136" s="115" t="s">
        <v>151</v>
      </c>
      <c r="K136" s="116">
        <v>1</v>
      </c>
      <c r="L136" s="187">
        <v>210</v>
      </c>
      <c r="M136" s="186"/>
      <c r="N136" s="187">
        <f>ROUND($L$136*$K$136,2)</f>
        <v>210</v>
      </c>
      <c r="O136" s="186"/>
      <c r="P136" s="186"/>
      <c r="Q136" s="186"/>
      <c r="R136" s="20"/>
      <c r="T136" s="117"/>
      <c r="U136" s="26" t="s">
        <v>41</v>
      </c>
      <c r="V136" s="118">
        <v>0.754</v>
      </c>
      <c r="W136" s="118">
        <f>$V$136*$K$136</f>
        <v>0.754</v>
      </c>
      <c r="X136" s="118">
        <v>0.01698</v>
      </c>
      <c r="Y136" s="118">
        <f>$X$136*$K$136</f>
        <v>0.01698</v>
      </c>
      <c r="Z136" s="118">
        <v>0</v>
      </c>
      <c r="AA136" s="119">
        <f>$Z$136*$K$136</f>
        <v>0</v>
      </c>
      <c r="AR136" s="6" t="s">
        <v>152</v>
      </c>
      <c r="AT136" s="6" t="s">
        <v>148</v>
      </c>
      <c r="AU136" s="6" t="s">
        <v>109</v>
      </c>
      <c r="AY136" s="6" t="s">
        <v>146</v>
      </c>
      <c r="BE136" s="120">
        <f>IF($U$136="základní",$N$136,0)</f>
        <v>210</v>
      </c>
      <c r="BF136" s="120">
        <f>IF($U$136="snížená",$N$136,0)</f>
        <v>0</v>
      </c>
      <c r="BG136" s="120">
        <f>IF($U$136="zákl. přenesená",$N$136,0)</f>
        <v>0</v>
      </c>
      <c r="BH136" s="120">
        <f>IF($U$136="sníž. přenesená",$N$136,0)</f>
        <v>0</v>
      </c>
      <c r="BI136" s="120">
        <f>IF($U$136="nulová",$N$136,0)</f>
        <v>0</v>
      </c>
      <c r="BJ136" s="6" t="s">
        <v>19</v>
      </c>
      <c r="BK136" s="120">
        <f>ROUND($L$136*$K$136,2)</f>
        <v>210</v>
      </c>
      <c r="BL136" s="6" t="s">
        <v>152</v>
      </c>
      <c r="BM136" s="6" t="s">
        <v>186</v>
      </c>
    </row>
    <row r="137" spans="2:47" s="6" customFormat="1" ht="30.75" customHeight="1">
      <c r="B137" s="19"/>
      <c r="F137" s="188" t="s">
        <v>187</v>
      </c>
      <c r="G137" s="157"/>
      <c r="H137" s="157"/>
      <c r="I137" s="157"/>
      <c r="R137" s="20"/>
      <c r="T137" s="54"/>
      <c r="AA137" s="55"/>
      <c r="AT137" s="6" t="s">
        <v>155</v>
      </c>
      <c r="AU137" s="6" t="s">
        <v>109</v>
      </c>
    </row>
    <row r="138" spans="2:65" s="6" customFormat="1" ht="15.75" customHeight="1">
      <c r="B138" s="19"/>
      <c r="C138" s="121" t="s">
        <v>183</v>
      </c>
      <c r="D138" s="121" t="s">
        <v>188</v>
      </c>
      <c r="E138" s="122" t="s">
        <v>189</v>
      </c>
      <c r="F138" s="189" t="s">
        <v>190</v>
      </c>
      <c r="G138" s="190"/>
      <c r="H138" s="190"/>
      <c r="I138" s="190"/>
      <c r="J138" s="123" t="s">
        <v>151</v>
      </c>
      <c r="K138" s="124">
        <v>1</v>
      </c>
      <c r="L138" s="191">
        <v>640</v>
      </c>
      <c r="M138" s="190"/>
      <c r="N138" s="191">
        <f>ROUND($L$138*$K$138,2)</f>
        <v>640</v>
      </c>
      <c r="O138" s="186"/>
      <c r="P138" s="186"/>
      <c r="Q138" s="186"/>
      <c r="R138" s="20"/>
      <c r="T138" s="117"/>
      <c r="U138" s="26" t="s">
        <v>41</v>
      </c>
      <c r="V138" s="118">
        <v>0</v>
      </c>
      <c r="W138" s="118">
        <f>$V$138*$K$138</f>
        <v>0</v>
      </c>
      <c r="X138" s="118">
        <v>0.0108</v>
      </c>
      <c r="Y138" s="118">
        <f>$X$138*$K$138</f>
        <v>0.0108</v>
      </c>
      <c r="Z138" s="118">
        <v>0</v>
      </c>
      <c r="AA138" s="119">
        <f>$Z$138*$K$138</f>
        <v>0</v>
      </c>
      <c r="AR138" s="6" t="s">
        <v>183</v>
      </c>
      <c r="AT138" s="6" t="s">
        <v>188</v>
      </c>
      <c r="AU138" s="6" t="s">
        <v>109</v>
      </c>
      <c r="AY138" s="6" t="s">
        <v>146</v>
      </c>
      <c r="BE138" s="120">
        <f>IF($U$138="základní",$N$138,0)</f>
        <v>640</v>
      </c>
      <c r="BF138" s="120">
        <f>IF($U$138="snížená",$N$138,0)</f>
        <v>0</v>
      </c>
      <c r="BG138" s="120">
        <f>IF($U$138="zákl. přenesená",$N$138,0)</f>
        <v>0</v>
      </c>
      <c r="BH138" s="120">
        <f>IF($U$138="sníž. přenesená",$N$138,0)</f>
        <v>0</v>
      </c>
      <c r="BI138" s="120">
        <f>IF($U$138="nulová",$N$138,0)</f>
        <v>0</v>
      </c>
      <c r="BJ138" s="6" t="s">
        <v>19</v>
      </c>
      <c r="BK138" s="120">
        <f>ROUND($L$138*$K$138,2)</f>
        <v>640</v>
      </c>
      <c r="BL138" s="6" t="s">
        <v>152</v>
      </c>
      <c r="BM138" s="6" t="s">
        <v>191</v>
      </c>
    </row>
    <row r="139" spans="2:63" s="103" customFormat="1" ht="30.75" customHeight="1">
      <c r="B139" s="104"/>
      <c r="D139" s="112" t="s">
        <v>123</v>
      </c>
      <c r="E139" s="112"/>
      <c r="F139" s="112"/>
      <c r="G139" s="112"/>
      <c r="H139" s="112"/>
      <c r="I139" s="112"/>
      <c r="J139" s="112"/>
      <c r="K139" s="112"/>
      <c r="L139" s="112"/>
      <c r="M139" s="112"/>
      <c r="N139" s="194">
        <f>$BK$139</f>
        <v>685.35</v>
      </c>
      <c r="O139" s="193"/>
      <c r="P139" s="193"/>
      <c r="Q139" s="193"/>
      <c r="R139" s="107"/>
      <c r="T139" s="108"/>
      <c r="W139" s="109">
        <f>SUM($W$140:$W$143)</f>
        <v>2.778</v>
      </c>
      <c r="Y139" s="109">
        <f>SUM($Y$140:$Y$143)</f>
        <v>0</v>
      </c>
      <c r="AA139" s="110">
        <f>SUM($AA$140:$AA$143)</f>
        <v>0.913</v>
      </c>
      <c r="AR139" s="106" t="s">
        <v>19</v>
      </c>
      <c r="AT139" s="106" t="s">
        <v>75</v>
      </c>
      <c r="AU139" s="106" t="s">
        <v>19</v>
      </c>
      <c r="AY139" s="106" t="s">
        <v>146</v>
      </c>
      <c r="BK139" s="111">
        <f>SUM($BK$140:$BK$143)</f>
        <v>685.35</v>
      </c>
    </row>
    <row r="140" spans="2:65" s="6" customFormat="1" ht="27" customHeight="1">
      <c r="B140" s="19"/>
      <c r="C140" s="113" t="s">
        <v>147</v>
      </c>
      <c r="D140" s="113" t="s">
        <v>148</v>
      </c>
      <c r="E140" s="114" t="s">
        <v>192</v>
      </c>
      <c r="F140" s="185" t="s">
        <v>193</v>
      </c>
      <c r="G140" s="186"/>
      <c r="H140" s="186"/>
      <c r="I140" s="186"/>
      <c r="J140" s="115" t="s">
        <v>159</v>
      </c>
      <c r="K140" s="116">
        <v>2</v>
      </c>
      <c r="L140" s="187">
        <v>89.8</v>
      </c>
      <c r="M140" s="186"/>
      <c r="N140" s="187">
        <f>ROUND($L$140*$K$140,2)</f>
        <v>179.6</v>
      </c>
      <c r="O140" s="186"/>
      <c r="P140" s="186"/>
      <c r="Q140" s="186"/>
      <c r="R140" s="20"/>
      <c r="T140" s="117"/>
      <c r="U140" s="26" t="s">
        <v>41</v>
      </c>
      <c r="V140" s="118">
        <v>0.284</v>
      </c>
      <c r="W140" s="118">
        <f>$V$140*$K$140</f>
        <v>0.568</v>
      </c>
      <c r="X140" s="118">
        <v>0</v>
      </c>
      <c r="Y140" s="118">
        <f>$X$140*$K$140</f>
        <v>0</v>
      </c>
      <c r="Z140" s="118">
        <v>0.261</v>
      </c>
      <c r="AA140" s="119">
        <f>$Z$140*$K$140</f>
        <v>0.522</v>
      </c>
      <c r="AR140" s="6" t="s">
        <v>152</v>
      </c>
      <c r="AT140" s="6" t="s">
        <v>148</v>
      </c>
      <c r="AU140" s="6" t="s">
        <v>109</v>
      </c>
      <c r="AY140" s="6" t="s">
        <v>146</v>
      </c>
      <c r="BE140" s="120">
        <f>IF($U$140="základní",$N$140,0)</f>
        <v>179.6</v>
      </c>
      <c r="BF140" s="120">
        <f>IF($U$140="snížená",$N$140,0)</f>
        <v>0</v>
      </c>
      <c r="BG140" s="120">
        <f>IF($U$140="zákl. přenesená",$N$140,0)</f>
        <v>0</v>
      </c>
      <c r="BH140" s="120">
        <f>IF($U$140="sníž. přenesená",$N$140,0)</f>
        <v>0</v>
      </c>
      <c r="BI140" s="120">
        <f>IF($U$140="nulová",$N$140,0)</f>
        <v>0</v>
      </c>
      <c r="BJ140" s="6" t="s">
        <v>19</v>
      </c>
      <c r="BK140" s="120">
        <f>ROUND($L$140*$K$140,2)</f>
        <v>179.6</v>
      </c>
      <c r="BL140" s="6" t="s">
        <v>152</v>
      </c>
      <c r="BM140" s="6" t="s">
        <v>194</v>
      </c>
    </row>
    <row r="141" spans="2:47" s="6" customFormat="1" ht="18.75" customHeight="1">
      <c r="B141" s="19"/>
      <c r="F141" s="188" t="s">
        <v>195</v>
      </c>
      <c r="G141" s="157"/>
      <c r="H141" s="157"/>
      <c r="I141" s="157"/>
      <c r="R141" s="20"/>
      <c r="T141" s="54"/>
      <c r="AA141" s="55"/>
      <c r="AT141" s="6" t="s">
        <v>155</v>
      </c>
      <c r="AU141" s="6" t="s">
        <v>109</v>
      </c>
    </row>
    <row r="142" spans="2:65" s="6" customFormat="1" ht="27" customHeight="1">
      <c r="B142" s="19"/>
      <c r="C142" s="113" t="s">
        <v>178</v>
      </c>
      <c r="D142" s="113" t="s">
        <v>148</v>
      </c>
      <c r="E142" s="114" t="s">
        <v>196</v>
      </c>
      <c r="F142" s="185" t="s">
        <v>197</v>
      </c>
      <c r="G142" s="186"/>
      <c r="H142" s="186"/>
      <c r="I142" s="186"/>
      <c r="J142" s="115" t="s">
        <v>159</v>
      </c>
      <c r="K142" s="116">
        <v>8.5</v>
      </c>
      <c r="L142" s="187">
        <v>59.5</v>
      </c>
      <c r="M142" s="186"/>
      <c r="N142" s="187">
        <f>ROUND($L$142*$K$142,2)</f>
        <v>505.75</v>
      </c>
      <c r="O142" s="186"/>
      <c r="P142" s="186"/>
      <c r="Q142" s="186"/>
      <c r="R142" s="20"/>
      <c r="T142" s="117"/>
      <c r="U142" s="26" t="s">
        <v>41</v>
      </c>
      <c r="V142" s="118">
        <v>0.26</v>
      </c>
      <c r="W142" s="118">
        <f>$V$142*$K$142</f>
        <v>2.21</v>
      </c>
      <c r="X142" s="118">
        <v>0</v>
      </c>
      <c r="Y142" s="118">
        <f>$X$142*$K$142</f>
        <v>0</v>
      </c>
      <c r="Z142" s="118">
        <v>0.046</v>
      </c>
      <c r="AA142" s="119">
        <f>$Z$142*$K$142</f>
        <v>0.391</v>
      </c>
      <c r="AR142" s="6" t="s">
        <v>152</v>
      </c>
      <c r="AT142" s="6" t="s">
        <v>148</v>
      </c>
      <c r="AU142" s="6" t="s">
        <v>109</v>
      </c>
      <c r="AY142" s="6" t="s">
        <v>146</v>
      </c>
      <c r="BE142" s="120">
        <f>IF($U$142="základní",$N$142,0)</f>
        <v>505.75</v>
      </c>
      <c r="BF142" s="120">
        <f>IF($U$142="snížená",$N$142,0)</f>
        <v>0</v>
      </c>
      <c r="BG142" s="120">
        <f>IF($U$142="zákl. přenesená",$N$142,0)</f>
        <v>0</v>
      </c>
      <c r="BH142" s="120">
        <f>IF($U$142="sníž. přenesená",$N$142,0)</f>
        <v>0</v>
      </c>
      <c r="BI142" s="120">
        <f>IF($U$142="nulová",$N$142,0)</f>
        <v>0</v>
      </c>
      <c r="BJ142" s="6" t="s">
        <v>19</v>
      </c>
      <c r="BK142" s="120">
        <f>ROUND($L$142*$K$142,2)</f>
        <v>505.75</v>
      </c>
      <c r="BL142" s="6" t="s">
        <v>152</v>
      </c>
      <c r="BM142" s="6" t="s">
        <v>198</v>
      </c>
    </row>
    <row r="143" spans="2:47" s="6" customFormat="1" ht="18.75" customHeight="1">
      <c r="B143" s="19"/>
      <c r="F143" s="188" t="s">
        <v>199</v>
      </c>
      <c r="G143" s="157"/>
      <c r="H143" s="157"/>
      <c r="I143" s="157"/>
      <c r="R143" s="20"/>
      <c r="T143" s="54"/>
      <c r="AA143" s="55"/>
      <c r="AT143" s="6" t="s">
        <v>155</v>
      </c>
      <c r="AU143" s="6" t="s">
        <v>109</v>
      </c>
    </row>
    <row r="144" spans="2:63" s="103" customFormat="1" ht="30.75" customHeight="1">
      <c r="B144" s="104"/>
      <c r="D144" s="112" t="s">
        <v>124</v>
      </c>
      <c r="E144" s="112"/>
      <c r="F144" s="112"/>
      <c r="G144" s="112"/>
      <c r="H144" s="112"/>
      <c r="I144" s="112"/>
      <c r="J144" s="112"/>
      <c r="K144" s="112"/>
      <c r="L144" s="112"/>
      <c r="M144" s="112"/>
      <c r="N144" s="194">
        <f>$BK$144</f>
        <v>274.84</v>
      </c>
      <c r="O144" s="193"/>
      <c r="P144" s="193"/>
      <c r="Q144" s="193"/>
      <c r="R144" s="107"/>
      <c r="T144" s="108"/>
      <c r="W144" s="109">
        <f>$W$145</f>
        <v>0.34276</v>
      </c>
      <c r="Y144" s="109">
        <f>$Y$145</f>
        <v>0</v>
      </c>
      <c r="AA144" s="110">
        <f>$AA$145</f>
        <v>0</v>
      </c>
      <c r="AR144" s="106" t="s">
        <v>19</v>
      </c>
      <c r="AT144" s="106" t="s">
        <v>75</v>
      </c>
      <c r="AU144" s="106" t="s">
        <v>19</v>
      </c>
      <c r="AY144" s="106" t="s">
        <v>146</v>
      </c>
      <c r="BK144" s="111">
        <f>$BK$145</f>
        <v>274.84</v>
      </c>
    </row>
    <row r="145" spans="2:65" s="6" customFormat="1" ht="15.75" customHeight="1">
      <c r="B145" s="19"/>
      <c r="C145" s="113" t="s">
        <v>19</v>
      </c>
      <c r="D145" s="113" t="s">
        <v>148</v>
      </c>
      <c r="E145" s="114" t="s">
        <v>200</v>
      </c>
      <c r="F145" s="185" t="s">
        <v>201</v>
      </c>
      <c r="G145" s="186"/>
      <c r="H145" s="186"/>
      <c r="I145" s="186"/>
      <c r="J145" s="115" t="s">
        <v>202</v>
      </c>
      <c r="K145" s="116">
        <v>1.045</v>
      </c>
      <c r="L145" s="187">
        <v>263</v>
      </c>
      <c r="M145" s="186"/>
      <c r="N145" s="187">
        <f>ROUND($L$145*$K$145,2)</f>
        <v>274.84</v>
      </c>
      <c r="O145" s="186"/>
      <c r="P145" s="186"/>
      <c r="Q145" s="186"/>
      <c r="R145" s="20"/>
      <c r="T145" s="117"/>
      <c r="U145" s="26" t="s">
        <v>41</v>
      </c>
      <c r="V145" s="118">
        <v>0.328</v>
      </c>
      <c r="W145" s="118">
        <f>$V$145*$K$145</f>
        <v>0.34276</v>
      </c>
      <c r="X145" s="118">
        <v>0</v>
      </c>
      <c r="Y145" s="118">
        <f>$X$145*$K$145</f>
        <v>0</v>
      </c>
      <c r="Z145" s="118">
        <v>0</v>
      </c>
      <c r="AA145" s="119">
        <f>$Z$145*$K$145</f>
        <v>0</v>
      </c>
      <c r="AR145" s="6" t="s">
        <v>152</v>
      </c>
      <c r="AT145" s="6" t="s">
        <v>148</v>
      </c>
      <c r="AU145" s="6" t="s">
        <v>109</v>
      </c>
      <c r="AY145" s="6" t="s">
        <v>146</v>
      </c>
      <c r="BE145" s="120">
        <f>IF($U$145="základní",$N$145,0)</f>
        <v>274.84</v>
      </c>
      <c r="BF145" s="120">
        <f>IF($U$145="snížená",$N$145,0)</f>
        <v>0</v>
      </c>
      <c r="BG145" s="120">
        <f>IF($U$145="zákl. přenesená",$N$145,0)</f>
        <v>0</v>
      </c>
      <c r="BH145" s="120">
        <f>IF($U$145="sníž. přenesená",$N$145,0)</f>
        <v>0</v>
      </c>
      <c r="BI145" s="120">
        <f>IF($U$145="nulová",$N$145,0)</f>
        <v>0</v>
      </c>
      <c r="BJ145" s="6" t="s">
        <v>19</v>
      </c>
      <c r="BK145" s="120">
        <f>ROUND($L$145*$K$145,2)</f>
        <v>274.84</v>
      </c>
      <c r="BL145" s="6" t="s">
        <v>152</v>
      </c>
      <c r="BM145" s="6" t="s">
        <v>203</v>
      </c>
    </row>
    <row r="146" spans="2:63" s="103" customFormat="1" ht="37.5" customHeight="1">
      <c r="B146" s="104"/>
      <c r="D146" s="105" t="s">
        <v>125</v>
      </c>
      <c r="E146" s="105"/>
      <c r="F146" s="105"/>
      <c r="G146" s="105"/>
      <c r="H146" s="105"/>
      <c r="I146" s="105"/>
      <c r="J146" s="105"/>
      <c r="K146" s="105"/>
      <c r="L146" s="105"/>
      <c r="M146" s="105"/>
      <c r="N146" s="192">
        <f>$BK$146</f>
        <v>42679.33</v>
      </c>
      <c r="O146" s="193"/>
      <c r="P146" s="193"/>
      <c r="Q146" s="193"/>
      <c r="R146" s="107"/>
      <c r="T146" s="108"/>
      <c r="W146" s="109">
        <f>$W$147+$W$151+$W$159+$W$165</f>
        <v>67.12613400000001</v>
      </c>
      <c r="Y146" s="109">
        <f>$Y$147+$Y$151+$Y$159+$Y$165</f>
        <v>1.622333</v>
      </c>
      <c r="AA146" s="110">
        <f>$AA$147+$AA$151+$AA$159+$AA$165</f>
        <v>1.175295</v>
      </c>
      <c r="AR146" s="106" t="s">
        <v>109</v>
      </c>
      <c r="AT146" s="106" t="s">
        <v>75</v>
      </c>
      <c r="AU146" s="106" t="s">
        <v>76</v>
      </c>
      <c r="AY146" s="106" t="s">
        <v>146</v>
      </c>
      <c r="BK146" s="111">
        <f>$BK$147+$BK$151+$BK$159+$BK$165</f>
        <v>42679.33</v>
      </c>
    </row>
    <row r="147" spans="2:63" s="103" customFormat="1" ht="21" customHeight="1">
      <c r="B147" s="104"/>
      <c r="D147" s="112" t="s">
        <v>126</v>
      </c>
      <c r="E147" s="112"/>
      <c r="F147" s="112"/>
      <c r="G147" s="112"/>
      <c r="H147" s="112"/>
      <c r="I147" s="112"/>
      <c r="J147" s="112"/>
      <c r="K147" s="112"/>
      <c r="L147" s="112"/>
      <c r="M147" s="112"/>
      <c r="N147" s="194">
        <f>$BK$147</f>
        <v>11989.28</v>
      </c>
      <c r="O147" s="193"/>
      <c r="P147" s="193"/>
      <c r="Q147" s="193"/>
      <c r="R147" s="107"/>
      <c r="T147" s="108"/>
      <c r="W147" s="109">
        <f>SUM($W$148:$W$150)</f>
        <v>16.678714</v>
      </c>
      <c r="Y147" s="109">
        <f>SUM($Y$148:$Y$150)</f>
        <v>0.40564799999999995</v>
      </c>
      <c r="AA147" s="110">
        <f>SUM($AA$148:$AA$150)</f>
        <v>0</v>
      </c>
      <c r="AR147" s="106" t="s">
        <v>109</v>
      </c>
      <c r="AT147" s="106" t="s">
        <v>75</v>
      </c>
      <c r="AU147" s="106" t="s">
        <v>19</v>
      </c>
      <c r="AY147" s="106" t="s">
        <v>146</v>
      </c>
      <c r="BK147" s="111">
        <f>SUM($BK$148:$BK$150)</f>
        <v>11989.28</v>
      </c>
    </row>
    <row r="148" spans="2:65" s="6" customFormat="1" ht="27" customHeight="1">
      <c r="B148" s="19"/>
      <c r="C148" s="113" t="s">
        <v>24</v>
      </c>
      <c r="D148" s="113" t="s">
        <v>148</v>
      </c>
      <c r="E148" s="114" t="s">
        <v>204</v>
      </c>
      <c r="F148" s="185" t="s">
        <v>205</v>
      </c>
      <c r="G148" s="186"/>
      <c r="H148" s="186"/>
      <c r="I148" s="186"/>
      <c r="J148" s="115" t="s">
        <v>159</v>
      </c>
      <c r="K148" s="116">
        <v>16.2</v>
      </c>
      <c r="L148" s="187">
        <v>708</v>
      </c>
      <c r="M148" s="186"/>
      <c r="N148" s="187">
        <f>ROUND($L$148*$K$148,2)</f>
        <v>11469.6</v>
      </c>
      <c r="O148" s="186"/>
      <c r="P148" s="186"/>
      <c r="Q148" s="186"/>
      <c r="R148" s="20"/>
      <c r="T148" s="117"/>
      <c r="U148" s="26" t="s">
        <v>41</v>
      </c>
      <c r="V148" s="118">
        <v>0.999</v>
      </c>
      <c r="W148" s="118">
        <f>$V$148*$K$148</f>
        <v>16.183799999999998</v>
      </c>
      <c r="X148" s="118">
        <v>0.02504</v>
      </c>
      <c r="Y148" s="118">
        <f>$X$148*$K$148</f>
        <v>0.40564799999999995</v>
      </c>
      <c r="Z148" s="118">
        <v>0</v>
      </c>
      <c r="AA148" s="119">
        <f>$Z$148*$K$148</f>
        <v>0</v>
      </c>
      <c r="AR148" s="6" t="s">
        <v>206</v>
      </c>
      <c r="AT148" s="6" t="s">
        <v>148</v>
      </c>
      <c r="AU148" s="6" t="s">
        <v>109</v>
      </c>
      <c r="AY148" s="6" t="s">
        <v>146</v>
      </c>
      <c r="BE148" s="120">
        <f>IF($U$148="základní",$N$148,0)</f>
        <v>11469.6</v>
      </c>
      <c r="BF148" s="120">
        <f>IF($U$148="snížená",$N$148,0)</f>
        <v>0</v>
      </c>
      <c r="BG148" s="120">
        <f>IF($U$148="zákl. přenesená",$N$148,0)</f>
        <v>0</v>
      </c>
      <c r="BH148" s="120">
        <f>IF($U$148="sníž. přenesená",$N$148,0)</f>
        <v>0</v>
      </c>
      <c r="BI148" s="120">
        <f>IF($U$148="nulová",$N$148,0)</f>
        <v>0</v>
      </c>
      <c r="BJ148" s="6" t="s">
        <v>19</v>
      </c>
      <c r="BK148" s="120">
        <f>ROUND($L$148*$K$148,2)</f>
        <v>11469.6</v>
      </c>
      <c r="BL148" s="6" t="s">
        <v>206</v>
      </c>
      <c r="BM148" s="6" t="s">
        <v>207</v>
      </c>
    </row>
    <row r="149" spans="2:47" s="6" customFormat="1" ht="18.75" customHeight="1">
      <c r="B149" s="19"/>
      <c r="F149" s="188" t="s">
        <v>208</v>
      </c>
      <c r="G149" s="157"/>
      <c r="H149" s="157"/>
      <c r="I149" s="157"/>
      <c r="R149" s="20"/>
      <c r="T149" s="54"/>
      <c r="AA149" s="55"/>
      <c r="AT149" s="6" t="s">
        <v>155</v>
      </c>
      <c r="AU149" s="6" t="s">
        <v>109</v>
      </c>
    </row>
    <row r="150" spans="2:65" s="6" customFormat="1" ht="27" customHeight="1">
      <c r="B150" s="19"/>
      <c r="C150" s="113" t="s">
        <v>19</v>
      </c>
      <c r="D150" s="113" t="s">
        <v>148</v>
      </c>
      <c r="E150" s="114" t="s">
        <v>209</v>
      </c>
      <c r="F150" s="185" t="s">
        <v>210</v>
      </c>
      <c r="G150" s="186"/>
      <c r="H150" s="186"/>
      <c r="I150" s="186"/>
      <c r="J150" s="115" t="s">
        <v>202</v>
      </c>
      <c r="K150" s="116">
        <v>0.406</v>
      </c>
      <c r="L150" s="187">
        <v>1280</v>
      </c>
      <c r="M150" s="186"/>
      <c r="N150" s="187">
        <f>ROUND($L$150*$K$150,2)</f>
        <v>519.68</v>
      </c>
      <c r="O150" s="186"/>
      <c r="P150" s="186"/>
      <c r="Q150" s="186"/>
      <c r="R150" s="20"/>
      <c r="T150" s="117"/>
      <c r="U150" s="26" t="s">
        <v>41</v>
      </c>
      <c r="V150" s="118">
        <v>1.219</v>
      </c>
      <c r="W150" s="118">
        <f>$V$150*$K$150</f>
        <v>0.4949140000000001</v>
      </c>
      <c r="X150" s="118">
        <v>0</v>
      </c>
      <c r="Y150" s="118">
        <f>$X$150*$K$150</f>
        <v>0</v>
      </c>
      <c r="Z150" s="118">
        <v>0</v>
      </c>
      <c r="AA150" s="119">
        <f>$Z$150*$K$150</f>
        <v>0</v>
      </c>
      <c r="AR150" s="6" t="s">
        <v>206</v>
      </c>
      <c r="AT150" s="6" t="s">
        <v>148</v>
      </c>
      <c r="AU150" s="6" t="s">
        <v>109</v>
      </c>
      <c r="AY150" s="6" t="s">
        <v>146</v>
      </c>
      <c r="BE150" s="120">
        <f>IF($U$150="základní",$N$150,0)</f>
        <v>519.68</v>
      </c>
      <c r="BF150" s="120">
        <f>IF($U$150="snížená",$N$150,0)</f>
        <v>0</v>
      </c>
      <c r="BG150" s="120">
        <f>IF($U$150="zákl. přenesená",$N$150,0)</f>
        <v>0</v>
      </c>
      <c r="BH150" s="120">
        <f>IF($U$150="sníž. přenesená",$N$150,0)</f>
        <v>0</v>
      </c>
      <c r="BI150" s="120">
        <f>IF($U$150="nulová",$N$150,0)</f>
        <v>0</v>
      </c>
      <c r="BJ150" s="6" t="s">
        <v>19</v>
      </c>
      <c r="BK150" s="120">
        <f>ROUND($L$150*$K$150,2)</f>
        <v>519.68</v>
      </c>
      <c r="BL150" s="6" t="s">
        <v>206</v>
      </c>
      <c r="BM150" s="6" t="s">
        <v>211</v>
      </c>
    </row>
    <row r="151" spans="2:63" s="103" customFormat="1" ht="30.75" customHeight="1">
      <c r="B151" s="104"/>
      <c r="D151" s="112" t="s">
        <v>127</v>
      </c>
      <c r="E151" s="112"/>
      <c r="F151" s="112"/>
      <c r="G151" s="112"/>
      <c r="H151" s="112"/>
      <c r="I151" s="112"/>
      <c r="J151" s="112"/>
      <c r="K151" s="112"/>
      <c r="L151" s="112"/>
      <c r="M151" s="112"/>
      <c r="N151" s="194">
        <f>$BK$151</f>
        <v>12249.519999999999</v>
      </c>
      <c r="O151" s="193"/>
      <c r="P151" s="193"/>
      <c r="Q151" s="193"/>
      <c r="R151" s="107"/>
      <c r="T151" s="108"/>
      <c r="W151" s="109">
        <f>SUM($W$152:$W$158)</f>
        <v>18.05052</v>
      </c>
      <c r="Y151" s="109">
        <f>SUM($Y$152:$Y$158)</f>
        <v>0.564315</v>
      </c>
      <c r="AA151" s="110">
        <f>SUM($AA$152:$AA$158)</f>
        <v>0.7069449999999999</v>
      </c>
      <c r="AR151" s="106" t="s">
        <v>109</v>
      </c>
      <c r="AT151" s="106" t="s">
        <v>75</v>
      </c>
      <c r="AU151" s="106" t="s">
        <v>19</v>
      </c>
      <c r="AY151" s="106" t="s">
        <v>146</v>
      </c>
      <c r="BK151" s="111">
        <f>SUM($BK$152:$BK$158)</f>
        <v>12249.519999999999</v>
      </c>
    </row>
    <row r="152" spans="2:65" s="6" customFormat="1" ht="27" customHeight="1">
      <c r="B152" s="19"/>
      <c r="C152" s="113" t="s">
        <v>212</v>
      </c>
      <c r="D152" s="113" t="s">
        <v>148</v>
      </c>
      <c r="E152" s="114" t="s">
        <v>213</v>
      </c>
      <c r="F152" s="185" t="s">
        <v>214</v>
      </c>
      <c r="G152" s="186"/>
      <c r="H152" s="186"/>
      <c r="I152" s="186"/>
      <c r="J152" s="115" t="s">
        <v>159</v>
      </c>
      <c r="K152" s="116">
        <v>8.5</v>
      </c>
      <c r="L152" s="187">
        <v>517</v>
      </c>
      <c r="M152" s="186"/>
      <c r="N152" s="187">
        <f>ROUND($L$152*$K$152,2)</f>
        <v>4394.5</v>
      </c>
      <c r="O152" s="186"/>
      <c r="P152" s="186"/>
      <c r="Q152" s="186"/>
      <c r="R152" s="20"/>
      <c r="T152" s="117"/>
      <c r="U152" s="26" t="s">
        <v>41</v>
      </c>
      <c r="V152" s="118">
        <v>1.369</v>
      </c>
      <c r="W152" s="118">
        <f>$V$152*$K$152</f>
        <v>11.6365</v>
      </c>
      <c r="X152" s="118">
        <v>0.03867</v>
      </c>
      <c r="Y152" s="118">
        <f>$X$152*$K$152</f>
        <v>0.328695</v>
      </c>
      <c r="Z152" s="118">
        <v>0</v>
      </c>
      <c r="AA152" s="119">
        <f>$Z$152*$K$152</f>
        <v>0</v>
      </c>
      <c r="AR152" s="6" t="s">
        <v>206</v>
      </c>
      <c r="AT152" s="6" t="s">
        <v>148</v>
      </c>
      <c r="AU152" s="6" t="s">
        <v>109</v>
      </c>
      <c r="AY152" s="6" t="s">
        <v>146</v>
      </c>
      <c r="BE152" s="120">
        <f>IF($U$152="základní",$N$152,0)</f>
        <v>4394.5</v>
      </c>
      <c r="BF152" s="120">
        <f>IF($U$152="snížená",$N$152,0)</f>
        <v>0</v>
      </c>
      <c r="BG152" s="120">
        <f>IF($U$152="zákl. přenesená",$N$152,0)</f>
        <v>0</v>
      </c>
      <c r="BH152" s="120">
        <f>IF($U$152="sníž. přenesená",$N$152,0)</f>
        <v>0</v>
      </c>
      <c r="BI152" s="120">
        <f>IF($U$152="nulová",$N$152,0)</f>
        <v>0</v>
      </c>
      <c r="BJ152" s="6" t="s">
        <v>19</v>
      </c>
      <c r="BK152" s="120">
        <f>ROUND($L$152*$K$152,2)</f>
        <v>4394.5</v>
      </c>
      <c r="BL152" s="6" t="s">
        <v>206</v>
      </c>
      <c r="BM152" s="6" t="s">
        <v>215</v>
      </c>
    </row>
    <row r="153" spans="2:47" s="6" customFormat="1" ht="18.75" customHeight="1">
      <c r="B153" s="19"/>
      <c r="F153" s="188" t="s">
        <v>216</v>
      </c>
      <c r="G153" s="157"/>
      <c r="H153" s="157"/>
      <c r="I153" s="157"/>
      <c r="R153" s="20"/>
      <c r="T153" s="54"/>
      <c r="AA153" s="55"/>
      <c r="AT153" s="6" t="s">
        <v>155</v>
      </c>
      <c r="AU153" s="6" t="s">
        <v>109</v>
      </c>
    </row>
    <row r="154" spans="2:65" s="6" customFormat="1" ht="15.75" customHeight="1">
      <c r="B154" s="19"/>
      <c r="C154" s="121" t="s">
        <v>212</v>
      </c>
      <c r="D154" s="121" t="s">
        <v>188</v>
      </c>
      <c r="E154" s="122" t="s">
        <v>217</v>
      </c>
      <c r="F154" s="189" t="s">
        <v>218</v>
      </c>
      <c r="G154" s="190"/>
      <c r="H154" s="190"/>
      <c r="I154" s="190"/>
      <c r="J154" s="123" t="s">
        <v>159</v>
      </c>
      <c r="K154" s="124">
        <v>9.35</v>
      </c>
      <c r="L154" s="191">
        <v>514</v>
      </c>
      <c r="M154" s="190"/>
      <c r="N154" s="191">
        <f>ROUND($L$154*$K$154,2)</f>
        <v>4805.9</v>
      </c>
      <c r="O154" s="186"/>
      <c r="P154" s="186"/>
      <c r="Q154" s="186"/>
      <c r="R154" s="20"/>
      <c r="T154" s="117"/>
      <c r="U154" s="26" t="s">
        <v>41</v>
      </c>
      <c r="V154" s="118">
        <v>0</v>
      </c>
      <c r="W154" s="118">
        <f>$V$154*$K$154</f>
        <v>0</v>
      </c>
      <c r="X154" s="118">
        <v>0.0182</v>
      </c>
      <c r="Y154" s="118">
        <f>$X$154*$K$154</f>
        <v>0.17017000000000002</v>
      </c>
      <c r="Z154" s="118">
        <v>0</v>
      </c>
      <c r="AA154" s="119">
        <f>$Z$154*$K$154</f>
        <v>0</v>
      </c>
      <c r="AR154" s="6" t="s">
        <v>219</v>
      </c>
      <c r="AT154" s="6" t="s">
        <v>188</v>
      </c>
      <c r="AU154" s="6" t="s">
        <v>109</v>
      </c>
      <c r="AY154" s="6" t="s">
        <v>146</v>
      </c>
      <c r="BE154" s="120">
        <f>IF($U$154="základní",$N$154,0)</f>
        <v>4805.9</v>
      </c>
      <c r="BF154" s="120">
        <f>IF($U$154="snížená",$N$154,0)</f>
        <v>0</v>
      </c>
      <c r="BG154" s="120">
        <f>IF($U$154="zákl. přenesená",$N$154,0)</f>
        <v>0</v>
      </c>
      <c r="BH154" s="120">
        <f>IF($U$154="sníž. přenesená",$N$154,0)</f>
        <v>0</v>
      </c>
      <c r="BI154" s="120">
        <f>IF($U$154="nulová",$N$154,0)</f>
        <v>0</v>
      </c>
      <c r="BJ154" s="6" t="s">
        <v>19</v>
      </c>
      <c r="BK154" s="120">
        <f>ROUND($L$154*$K$154,2)</f>
        <v>4805.9</v>
      </c>
      <c r="BL154" s="6" t="s">
        <v>206</v>
      </c>
      <c r="BM154" s="6" t="s">
        <v>220</v>
      </c>
    </row>
    <row r="155" spans="2:65" s="6" customFormat="1" ht="27" customHeight="1">
      <c r="B155" s="19"/>
      <c r="C155" s="113" t="s">
        <v>109</v>
      </c>
      <c r="D155" s="113" t="s">
        <v>148</v>
      </c>
      <c r="E155" s="114" t="s">
        <v>221</v>
      </c>
      <c r="F155" s="185" t="s">
        <v>222</v>
      </c>
      <c r="G155" s="186"/>
      <c r="H155" s="186"/>
      <c r="I155" s="186"/>
      <c r="J155" s="115" t="s">
        <v>159</v>
      </c>
      <c r="K155" s="116">
        <v>8.5</v>
      </c>
      <c r="L155" s="187">
        <v>98.8</v>
      </c>
      <c r="M155" s="186"/>
      <c r="N155" s="187">
        <f>ROUND($L$155*$K$155,2)</f>
        <v>839.8</v>
      </c>
      <c r="O155" s="186"/>
      <c r="P155" s="186"/>
      <c r="Q155" s="186"/>
      <c r="R155" s="20"/>
      <c r="T155" s="117"/>
      <c r="U155" s="26" t="s">
        <v>41</v>
      </c>
      <c r="V155" s="118">
        <v>0.368</v>
      </c>
      <c r="W155" s="118">
        <f>$V$155*$K$155</f>
        <v>3.128</v>
      </c>
      <c r="X155" s="118">
        <v>0</v>
      </c>
      <c r="Y155" s="118">
        <f>$X$155*$K$155</f>
        <v>0</v>
      </c>
      <c r="Z155" s="118">
        <v>0.08317</v>
      </c>
      <c r="AA155" s="119">
        <f>$Z$155*$K$155</f>
        <v>0.7069449999999999</v>
      </c>
      <c r="AR155" s="6" t="s">
        <v>206</v>
      </c>
      <c r="AT155" s="6" t="s">
        <v>148</v>
      </c>
      <c r="AU155" s="6" t="s">
        <v>109</v>
      </c>
      <c r="AY155" s="6" t="s">
        <v>146</v>
      </c>
      <c r="BE155" s="120">
        <f>IF($U$155="základní",$N$155,0)</f>
        <v>839.8</v>
      </c>
      <c r="BF155" s="120">
        <f>IF($U$155="snížená",$N$155,0)</f>
        <v>0</v>
      </c>
      <c r="BG155" s="120">
        <f>IF($U$155="zákl. přenesená",$N$155,0)</f>
        <v>0</v>
      </c>
      <c r="BH155" s="120">
        <f>IF($U$155="sníž. přenesená",$N$155,0)</f>
        <v>0</v>
      </c>
      <c r="BI155" s="120">
        <f>IF($U$155="nulová",$N$155,0)</f>
        <v>0</v>
      </c>
      <c r="BJ155" s="6" t="s">
        <v>19</v>
      </c>
      <c r="BK155" s="120">
        <f>ROUND($L$155*$K$155,2)</f>
        <v>839.8</v>
      </c>
      <c r="BL155" s="6" t="s">
        <v>206</v>
      </c>
      <c r="BM155" s="6" t="s">
        <v>223</v>
      </c>
    </row>
    <row r="156" spans="2:65" s="6" customFormat="1" ht="27" customHeight="1">
      <c r="B156" s="19"/>
      <c r="C156" s="113" t="s">
        <v>152</v>
      </c>
      <c r="D156" s="113" t="s">
        <v>148</v>
      </c>
      <c r="E156" s="114" t="s">
        <v>224</v>
      </c>
      <c r="F156" s="185" t="s">
        <v>225</v>
      </c>
      <c r="G156" s="186"/>
      <c r="H156" s="186"/>
      <c r="I156" s="186"/>
      <c r="J156" s="115" t="s">
        <v>159</v>
      </c>
      <c r="K156" s="116">
        <v>8.5</v>
      </c>
      <c r="L156" s="187">
        <v>229</v>
      </c>
      <c r="M156" s="186"/>
      <c r="N156" s="187">
        <f>ROUND($L$156*$K$156,2)</f>
        <v>1946.5</v>
      </c>
      <c r="O156" s="186"/>
      <c r="P156" s="186"/>
      <c r="Q156" s="186"/>
      <c r="R156" s="20"/>
      <c r="T156" s="117"/>
      <c r="U156" s="26" t="s">
        <v>41</v>
      </c>
      <c r="V156" s="118">
        <v>0.3</v>
      </c>
      <c r="W156" s="118">
        <f>$V$156*$K$156</f>
        <v>2.55</v>
      </c>
      <c r="X156" s="118">
        <v>0.0077</v>
      </c>
      <c r="Y156" s="118">
        <f>$X$156*$K$156</f>
        <v>0.06545000000000001</v>
      </c>
      <c r="Z156" s="118">
        <v>0</v>
      </c>
      <c r="AA156" s="119">
        <f>$Z$156*$K$156</f>
        <v>0</v>
      </c>
      <c r="AR156" s="6" t="s">
        <v>206</v>
      </c>
      <c r="AT156" s="6" t="s">
        <v>148</v>
      </c>
      <c r="AU156" s="6" t="s">
        <v>109</v>
      </c>
      <c r="AY156" s="6" t="s">
        <v>146</v>
      </c>
      <c r="BE156" s="120">
        <f>IF($U$156="základní",$N$156,0)</f>
        <v>1946.5</v>
      </c>
      <c r="BF156" s="120">
        <f>IF($U$156="snížená",$N$156,0)</f>
        <v>0</v>
      </c>
      <c r="BG156" s="120">
        <f>IF($U$156="zákl. přenesená",$N$156,0)</f>
        <v>0</v>
      </c>
      <c r="BH156" s="120">
        <f>IF($U$156="sníž. přenesená",$N$156,0)</f>
        <v>0</v>
      </c>
      <c r="BI156" s="120">
        <f>IF($U$156="nulová",$N$156,0)</f>
        <v>0</v>
      </c>
      <c r="BJ156" s="6" t="s">
        <v>19</v>
      </c>
      <c r="BK156" s="120">
        <f>ROUND($L$156*$K$156,2)</f>
        <v>1946.5</v>
      </c>
      <c r="BL156" s="6" t="s">
        <v>206</v>
      </c>
      <c r="BM156" s="6" t="s">
        <v>226</v>
      </c>
    </row>
    <row r="157" spans="2:47" s="6" customFormat="1" ht="18.75" customHeight="1">
      <c r="B157" s="19"/>
      <c r="F157" s="188" t="s">
        <v>227</v>
      </c>
      <c r="G157" s="157"/>
      <c r="H157" s="157"/>
      <c r="I157" s="157"/>
      <c r="R157" s="20"/>
      <c r="T157" s="54"/>
      <c r="AA157" s="55"/>
      <c r="AT157" s="6" t="s">
        <v>155</v>
      </c>
      <c r="AU157" s="6" t="s">
        <v>109</v>
      </c>
    </row>
    <row r="158" spans="2:65" s="6" customFormat="1" ht="27" customHeight="1">
      <c r="B158" s="19"/>
      <c r="C158" s="113" t="s">
        <v>19</v>
      </c>
      <c r="D158" s="113" t="s">
        <v>148</v>
      </c>
      <c r="E158" s="114" t="s">
        <v>228</v>
      </c>
      <c r="F158" s="185" t="s">
        <v>229</v>
      </c>
      <c r="G158" s="186"/>
      <c r="H158" s="186"/>
      <c r="I158" s="186"/>
      <c r="J158" s="115" t="s">
        <v>202</v>
      </c>
      <c r="K158" s="116">
        <v>0.564</v>
      </c>
      <c r="L158" s="187">
        <v>466</v>
      </c>
      <c r="M158" s="186"/>
      <c r="N158" s="187">
        <f>ROUND($L$158*$K$158,2)</f>
        <v>262.82</v>
      </c>
      <c r="O158" s="186"/>
      <c r="P158" s="186"/>
      <c r="Q158" s="186"/>
      <c r="R158" s="20"/>
      <c r="T158" s="117"/>
      <c r="U158" s="26" t="s">
        <v>41</v>
      </c>
      <c r="V158" s="118">
        <v>1.305</v>
      </c>
      <c r="W158" s="118">
        <f>$V$158*$K$158</f>
        <v>0.7360199999999999</v>
      </c>
      <c r="X158" s="118">
        <v>0</v>
      </c>
      <c r="Y158" s="118">
        <f>$X$158*$K$158</f>
        <v>0</v>
      </c>
      <c r="Z158" s="118">
        <v>0</v>
      </c>
      <c r="AA158" s="119">
        <f>$Z$158*$K$158</f>
        <v>0</v>
      </c>
      <c r="AR158" s="6" t="s">
        <v>206</v>
      </c>
      <c r="AT158" s="6" t="s">
        <v>148</v>
      </c>
      <c r="AU158" s="6" t="s">
        <v>109</v>
      </c>
      <c r="AY158" s="6" t="s">
        <v>146</v>
      </c>
      <c r="BE158" s="120">
        <f>IF($U$158="základní",$N$158,0)</f>
        <v>262.82</v>
      </c>
      <c r="BF158" s="120">
        <f>IF($U$158="snížená",$N$158,0)</f>
        <v>0</v>
      </c>
      <c r="BG158" s="120">
        <f>IF($U$158="zákl. přenesená",$N$158,0)</f>
        <v>0</v>
      </c>
      <c r="BH158" s="120">
        <f>IF($U$158="sníž. přenesená",$N$158,0)</f>
        <v>0</v>
      </c>
      <c r="BI158" s="120">
        <f>IF($U$158="nulová",$N$158,0)</f>
        <v>0</v>
      </c>
      <c r="BJ158" s="6" t="s">
        <v>19</v>
      </c>
      <c r="BK158" s="120">
        <f>ROUND($L$158*$K$158,2)</f>
        <v>262.82</v>
      </c>
      <c r="BL158" s="6" t="s">
        <v>206</v>
      </c>
      <c r="BM158" s="6" t="s">
        <v>230</v>
      </c>
    </row>
    <row r="159" spans="2:63" s="103" customFormat="1" ht="30.75" customHeight="1">
      <c r="B159" s="104"/>
      <c r="D159" s="112" t="s">
        <v>128</v>
      </c>
      <c r="E159" s="112"/>
      <c r="F159" s="112"/>
      <c r="G159" s="112"/>
      <c r="H159" s="112"/>
      <c r="I159" s="112"/>
      <c r="J159" s="112"/>
      <c r="K159" s="112"/>
      <c r="L159" s="112"/>
      <c r="M159" s="112"/>
      <c r="N159" s="194">
        <f>$BK$159</f>
        <v>10865.53</v>
      </c>
      <c r="O159" s="193"/>
      <c r="P159" s="193"/>
      <c r="Q159" s="193"/>
      <c r="R159" s="107"/>
      <c r="T159" s="108"/>
      <c r="W159" s="109">
        <f>SUM($W$160:$W$164)</f>
        <v>16.396900000000002</v>
      </c>
      <c r="Y159" s="109">
        <f>SUM($Y$160:$Y$164)</f>
        <v>0.57987</v>
      </c>
      <c r="AA159" s="110">
        <f>SUM($AA$160:$AA$164)</f>
        <v>0.46835000000000004</v>
      </c>
      <c r="AR159" s="106" t="s">
        <v>109</v>
      </c>
      <c r="AT159" s="106" t="s">
        <v>75</v>
      </c>
      <c r="AU159" s="106" t="s">
        <v>19</v>
      </c>
      <c r="AY159" s="106" t="s">
        <v>146</v>
      </c>
      <c r="BK159" s="111">
        <f>SUM($BK$160:$BK$164)</f>
        <v>10865.53</v>
      </c>
    </row>
    <row r="160" spans="2:65" s="6" customFormat="1" ht="27" customHeight="1">
      <c r="B160" s="19"/>
      <c r="C160" s="113" t="s">
        <v>19</v>
      </c>
      <c r="D160" s="113" t="s">
        <v>148</v>
      </c>
      <c r="E160" s="114" t="s">
        <v>231</v>
      </c>
      <c r="F160" s="185" t="s">
        <v>232</v>
      </c>
      <c r="G160" s="186"/>
      <c r="H160" s="186"/>
      <c r="I160" s="186"/>
      <c r="J160" s="115" t="s">
        <v>159</v>
      </c>
      <c r="K160" s="116">
        <v>8.5</v>
      </c>
      <c r="L160" s="187">
        <v>74.1</v>
      </c>
      <c r="M160" s="186"/>
      <c r="N160" s="187">
        <f>ROUND($L$160*$K$160,2)</f>
        <v>629.85</v>
      </c>
      <c r="O160" s="186"/>
      <c r="P160" s="186"/>
      <c r="Q160" s="186"/>
      <c r="R160" s="20"/>
      <c r="T160" s="117"/>
      <c r="U160" s="26" t="s">
        <v>41</v>
      </c>
      <c r="V160" s="118">
        <v>0.276</v>
      </c>
      <c r="W160" s="118">
        <f>$V$160*$K$160</f>
        <v>2.346</v>
      </c>
      <c r="X160" s="118">
        <v>0</v>
      </c>
      <c r="Y160" s="118">
        <f>$X$160*$K$160</f>
        <v>0</v>
      </c>
      <c r="Z160" s="118">
        <v>0.0551</v>
      </c>
      <c r="AA160" s="119">
        <f>$Z$160*$K$160</f>
        <v>0.46835000000000004</v>
      </c>
      <c r="AR160" s="6" t="s">
        <v>206</v>
      </c>
      <c r="AT160" s="6" t="s">
        <v>148</v>
      </c>
      <c r="AU160" s="6" t="s">
        <v>109</v>
      </c>
      <c r="AY160" s="6" t="s">
        <v>146</v>
      </c>
      <c r="BE160" s="120">
        <f>IF($U$160="základní",$N$160,0)</f>
        <v>629.85</v>
      </c>
      <c r="BF160" s="120">
        <f>IF($U$160="snížená",$N$160,0)</f>
        <v>0</v>
      </c>
      <c r="BG160" s="120">
        <f>IF($U$160="zákl. přenesená",$N$160,0)</f>
        <v>0</v>
      </c>
      <c r="BH160" s="120">
        <f>IF($U$160="sníž. přenesená",$N$160,0)</f>
        <v>0</v>
      </c>
      <c r="BI160" s="120">
        <f>IF($U$160="nulová",$N$160,0)</f>
        <v>0</v>
      </c>
      <c r="BJ160" s="6" t="s">
        <v>19</v>
      </c>
      <c r="BK160" s="120">
        <f>ROUND($L$160*$K$160,2)</f>
        <v>629.85</v>
      </c>
      <c r="BL160" s="6" t="s">
        <v>206</v>
      </c>
      <c r="BM160" s="6" t="s">
        <v>233</v>
      </c>
    </row>
    <row r="161" spans="2:65" s="6" customFormat="1" ht="27" customHeight="1">
      <c r="B161" s="19"/>
      <c r="C161" s="113" t="s">
        <v>234</v>
      </c>
      <c r="D161" s="113" t="s">
        <v>148</v>
      </c>
      <c r="E161" s="114" t="s">
        <v>235</v>
      </c>
      <c r="F161" s="185" t="s">
        <v>236</v>
      </c>
      <c r="G161" s="186"/>
      <c r="H161" s="186"/>
      <c r="I161" s="186"/>
      <c r="J161" s="115" t="s">
        <v>159</v>
      </c>
      <c r="K161" s="116">
        <v>8.5</v>
      </c>
      <c r="L161" s="187">
        <v>607</v>
      </c>
      <c r="M161" s="186"/>
      <c r="N161" s="187">
        <f>ROUND($L$161*$K$161,2)</f>
        <v>5159.5</v>
      </c>
      <c r="O161" s="186"/>
      <c r="P161" s="186"/>
      <c r="Q161" s="186"/>
      <c r="R161" s="20"/>
      <c r="T161" s="117"/>
      <c r="U161" s="26" t="s">
        <v>41</v>
      </c>
      <c r="V161" s="118">
        <v>1.564</v>
      </c>
      <c r="W161" s="118">
        <f>$V$161*$K$161</f>
        <v>13.294</v>
      </c>
      <c r="X161" s="118">
        <v>0.0482</v>
      </c>
      <c r="Y161" s="118">
        <f>$X$161*$K$161</f>
        <v>0.4097</v>
      </c>
      <c r="Z161" s="118">
        <v>0</v>
      </c>
      <c r="AA161" s="119">
        <f>$Z$161*$K$161</f>
        <v>0</v>
      </c>
      <c r="AR161" s="6" t="s">
        <v>206</v>
      </c>
      <c r="AT161" s="6" t="s">
        <v>148</v>
      </c>
      <c r="AU161" s="6" t="s">
        <v>109</v>
      </c>
      <c r="AY161" s="6" t="s">
        <v>146</v>
      </c>
      <c r="BE161" s="120">
        <f>IF($U$161="základní",$N$161,0)</f>
        <v>5159.5</v>
      </c>
      <c r="BF161" s="120">
        <f>IF($U$161="snížená",$N$161,0)</f>
        <v>0</v>
      </c>
      <c r="BG161" s="120">
        <f>IF($U$161="zákl. přenesená",$N$161,0)</f>
        <v>0</v>
      </c>
      <c r="BH161" s="120">
        <f>IF($U$161="sníž. přenesená",$N$161,0)</f>
        <v>0</v>
      </c>
      <c r="BI161" s="120">
        <f>IF($U$161="nulová",$N$161,0)</f>
        <v>0</v>
      </c>
      <c r="BJ161" s="6" t="s">
        <v>19</v>
      </c>
      <c r="BK161" s="120">
        <f>ROUND($L$161*$K$161,2)</f>
        <v>5159.5</v>
      </c>
      <c r="BL161" s="6" t="s">
        <v>206</v>
      </c>
      <c r="BM161" s="6" t="s">
        <v>237</v>
      </c>
    </row>
    <row r="162" spans="2:47" s="6" customFormat="1" ht="18.75" customHeight="1">
      <c r="B162" s="19"/>
      <c r="F162" s="188" t="s">
        <v>216</v>
      </c>
      <c r="G162" s="157"/>
      <c r="H162" s="157"/>
      <c r="I162" s="157"/>
      <c r="R162" s="20"/>
      <c r="T162" s="54"/>
      <c r="AA162" s="55"/>
      <c r="AT162" s="6" t="s">
        <v>155</v>
      </c>
      <c r="AU162" s="6" t="s">
        <v>109</v>
      </c>
    </row>
    <row r="163" spans="2:65" s="6" customFormat="1" ht="15.75" customHeight="1">
      <c r="B163" s="19"/>
      <c r="C163" s="121" t="s">
        <v>234</v>
      </c>
      <c r="D163" s="121" t="s">
        <v>188</v>
      </c>
      <c r="E163" s="122" t="s">
        <v>238</v>
      </c>
      <c r="F163" s="189" t="s">
        <v>239</v>
      </c>
      <c r="G163" s="190"/>
      <c r="H163" s="190"/>
      <c r="I163" s="190"/>
      <c r="J163" s="123" t="s">
        <v>159</v>
      </c>
      <c r="K163" s="124">
        <v>9.35</v>
      </c>
      <c r="L163" s="191">
        <v>514</v>
      </c>
      <c r="M163" s="190"/>
      <c r="N163" s="191">
        <f>ROUND($L$163*$K$163,2)</f>
        <v>4805.9</v>
      </c>
      <c r="O163" s="186"/>
      <c r="P163" s="186"/>
      <c r="Q163" s="186"/>
      <c r="R163" s="20"/>
      <c r="T163" s="117"/>
      <c r="U163" s="26" t="s">
        <v>41</v>
      </c>
      <c r="V163" s="118">
        <v>0</v>
      </c>
      <c r="W163" s="118">
        <f>$V$163*$K$163</f>
        <v>0</v>
      </c>
      <c r="X163" s="118">
        <v>0.0182</v>
      </c>
      <c r="Y163" s="118">
        <f>$X$163*$K$163</f>
        <v>0.17017000000000002</v>
      </c>
      <c r="Z163" s="118">
        <v>0</v>
      </c>
      <c r="AA163" s="119">
        <f>$Z$163*$K$163</f>
        <v>0</v>
      </c>
      <c r="AR163" s="6" t="s">
        <v>219</v>
      </c>
      <c r="AT163" s="6" t="s">
        <v>188</v>
      </c>
      <c r="AU163" s="6" t="s">
        <v>109</v>
      </c>
      <c r="AY163" s="6" t="s">
        <v>146</v>
      </c>
      <c r="BE163" s="120">
        <f>IF($U$163="základní",$N$163,0)</f>
        <v>4805.9</v>
      </c>
      <c r="BF163" s="120">
        <f>IF($U$163="snížená",$N$163,0)</f>
        <v>0</v>
      </c>
      <c r="BG163" s="120">
        <f>IF($U$163="zákl. přenesená",$N$163,0)</f>
        <v>0</v>
      </c>
      <c r="BH163" s="120">
        <f>IF($U$163="sníž. přenesená",$N$163,0)</f>
        <v>0</v>
      </c>
      <c r="BI163" s="120">
        <f>IF($U$163="nulová",$N$163,0)</f>
        <v>0</v>
      </c>
      <c r="BJ163" s="6" t="s">
        <v>19</v>
      </c>
      <c r="BK163" s="120">
        <f>ROUND($L$163*$K$163,2)</f>
        <v>4805.9</v>
      </c>
      <c r="BL163" s="6" t="s">
        <v>206</v>
      </c>
      <c r="BM163" s="6" t="s">
        <v>240</v>
      </c>
    </row>
    <row r="164" spans="2:65" s="6" customFormat="1" ht="27" customHeight="1">
      <c r="B164" s="19"/>
      <c r="C164" s="113" t="s">
        <v>19</v>
      </c>
      <c r="D164" s="113" t="s">
        <v>148</v>
      </c>
      <c r="E164" s="114" t="s">
        <v>241</v>
      </c>
      <c r="F164" s="185" t="s">
        <v>242</v>
      </c>
      <c r="G164" s="186"/>
      <c r="H164" s="186"/>
      <c r="I164" s="186"/>
      <c r="J164" s="115" t="s">
        <v>202</v>
      </c>
      <c r="K164" s="116">
        <v>0.58</v>
      </c>
      <c r="L164" s="187">
        <v>466</v>
      </c>
      <c r="M164" s="186"/>
      <c r="N164" s="187">
        <f>ROUND($L$164*$K$164,2)</f>
        <v>270.28</v>
      </c>
      <c r="O164" s="186"/>
      <c r="P164" s="186"/>
      <c r="Q164" s="186"/>
      <c r="R164" s="20"/>
      <c r="T164" s="117"/>
      <c r="U164" s="26" t="s">
        <v>41</v>
      </c>
      <c r="V164" s="118">
        <v>1.305</v>
      </c>
      <c r="W164" s="118">
        <f>$V$164*$K$164</f>
        <v>0.7568999999999999</v>
      </c>
      <c r="X164" s="118">
        <v>0</v>
      </c>
      <c r="Y164" s="118">
        <f>$X$164*$K$164</f>
        <v>0</v>
      </c>
      <c r="Z164" s="118">
        <v>0</v>
      </c>
      <c r="AA164" s="119">
        <f>$Z$164*$K$164</f>
        <v>0</v>
      </c>
      <c r="AR164" s="6" t="s">
        <v>206</v>
      </c>
      <c r="AT164" s="6" t="s">
        <v>148</v>
      </c>
      <c r="AU164" s="6" t="s">
        <v>109</v>
      </c>
      <c r="AY164" s="6" t="s">
        <v>146</v>
      </c>
      <c r="BE164" s="120">
        <f>IF($U$164="základní",$N$164,0)</f>
        <v>270.28</v>
      </c>
      <c r="BF164" s="120">
        <f>IF($U$164="snížená",$N$164,0)</f>
        <v>0</v>
      </c>
      <c r="BG164" s="120">
        <f>IF($U$164="zákl. přenesená",$N$164,0)</f>
        <v>0</v>
      </c>
      <c r="BH164" s="120">
        <f>IF($U$164="sníž. přenesená",$N$164,0)</f>
        <v>0</v>
      </c>
      <c r="BI164" s="120">
        <f>IF($U$164="nulová",$N$164,0)</f>
        <v>0</v>
      </c>
      <c r="BJ164" s="6" t="s">
        <v>19</v>
      </c>
      <c r="BK164" s="120">
        <f>ROUND($L$164*$K$164,2)</f>
        <v>270.28</v>
      </c>
      <c r="BL164" s="6" t="s">
        <v>206</v>
      </c>
      <c r="BM164" s="6" t="s">
        <v>243</v>
      </c>
    </row>
    <row r="165" spans="2:63" s="103" customFormat="1" ht="30.75" customHeight="1">
      <c r="B165" s="104"/>
      <c r="D165" s="112" t="s">
        <v>129</v>
      </c>
      <c r="E165" s="112"/>
      <c r="F165" s="112"/>
      <c r="G165" s="112"/>
      <c r="H165" s="112"/>
      <c r="I165" s="112"/>
      <c r="J165" s="112"/>
      <c r="K165" s="112"/>
      <c r="L165" s="112"/>
      <c r="M165" s="112"/>
      <c r="N165" s="194">
        <f>$BK$165</f>
        <v>7575</v>
      </c>
      <c r="O165" s="193"/>
      <c r="P165" s="193"/>
      <c r="Q165" s="193"/>
      <c r="R165" s="107"/>
      <c r="T165" s="108"/>
      <c r="W165" s="109">
        <f>SUM($W$166:$W$167)</f>
        <v>16</v>
      </c>
      <c r="Y165" s="109">
        <f>SUM($Y$166:$Y$167)</f>
        <v>0.0725</v>
      </c>
      <c r="AA165" s="110">
        <f>SUM($AA$166:$AA$167)</f>
        <v>0</v>
      </c>
      <c r="AR165" s="106" t="s">
        <v>109</v>
      </c>
      <c r="AT165" s="106" t="s">
        <v>75</v>
      </c>
      <c r="AU165" s="106" t="s">
        <v>19</v>
      </c>
      <c r="AY165" s="106" t="s">
        <v>146</v>
      </c>
      <c r="BK165" s="111">
        <f>SUM($BK$166:$BK$167)</f>
        <v>7575</v>
      </c>
    </row>
    <row r="166" spans="2:65" s="6" customFormat="1" ht="27" customHeight="1">
      <c r="B166" s="19"/>
      <c r="C166" s="113" t="s">
        <v>244</v>
      </c>
      <c r="D166" s="113" t="s">
        <v>148</v>
      </c>
      <c r="E166" s="114" t="s">
        <v>245</v>
      </c>
      <c r="F166" s="185" t="s">
        <v>246</v>
      </c>
      <c r="G166" s="186"/>
      <c r="H166" s="186"/>
      <c r="I166" s="186"/>
      <c r="J166" s="115" t="s">
        <v>159</v>
      </c>
      <c r="K166" s="116">
        <v>250</v>
      </c>
      <c r="L166" s="187">
        <v>30.3</v>
      </c>
      <c r="M166" s="186"/>
      <c r="N166" s="187">
        <f>ROUND($L$166*$K$166,2)</f>
        <v>7575</v>
      </c>
      <c r="O166" s="186"/>
      <c r="P166" s="186"/>
      <c r="Q166" s="186"/>
      <c r="R166" s="20"/>
      <c r="T166" s="117"/>
      <c r="U166" s="26" t="s">
        <v>41</v>
      </c>
      <c r="V166" s="118">
        <v>0.064</v>
      </c>
      <c r="W166" s="118">
        <f>$V$166*$K$166</f>
        <v>16</v>
      </c>
      <c r="X166" s="118">
        <v>0.00029</v>
      </c>
      <c r="Y166" s="118">
        <f>$X$166*$K$166</f>
        <v>0.0725</v>
      </c>
      <c r="Z166" s="118">
        <v>0</v>
      </c>
      <c r="AA166" s="119">
        <f>$Z$166*$K$166</f>
        <v>0</v>
      </c>
      <c r="AR166" s="6" t="s">
        <v>206</v>
      </c>
      <c r="AT166" s="6" t="s">
        <v>148</v>
      </c>
      <c r="AU166" s="6" t="s">
        <v>109</v>
      </c>
      <c r="AY166" s="6" t="s">
        <v>146</v>
      </c>
      <c r="BE166" s="120">
        <f>IF($U$166="základní",$N$166,0)</f>
        <v>7575</v>
      </c>
      <c r="BF166" s="120">
        <f>IF($U$166="snížená",$N$166,0)</f>
        <v>0</v>
      </c>
      <c r="BG166" s="120">
        <f>IF($U$166="zákl. přenesená",$N$166,0)</f>
        <v>0</v>
      </c>
      <c r="BH166" s="120">
        <f>IF($U$166="sníž. přenesená",$N$166,0)</f>
        <v>0</v>
      </c>
      <c r="BI166" s="120">
        <f>IF($U$166="nulová",$N$166,0)</f>
        <v>0</v>
      </c>
      <c r="BJ166" s="6" t="s">
        <v>19</v>
      </c>
      <c r="BK166" s="120">
        <f>ROUND($L$166*$K$166,2)</f>
        <v>7575</v>
      </c>
      <c r="BL166" s="6" t="s">
        <v>206</v>
      </c>
      <c r="BM166" s="6" t="s">
        <v>247</v>
      </c>
    </row>
    <row r="167" spans="2:47" s="6" customFormat="1" ht="18.75" customHeight="1">
      <c r="B167" s="19"/>
      <c r="F167" s="188" t="s">
        <v>248</v>
      </c>
      <c r="G167" s="157"/>
      <c r="H167" s="157"/>
      <c r="I167" s="157"/>
      <c r="R167" s="20"/>
      <c r="T167" s="125"/>
      <c r="U167" s="38"/>
      <c r="V167" s="38"/>
      <c r="W167" s="38"/>
      <c r="X167" s="38"/>
      <c r="Y167" s="38"/>
      <c r="Z167" s="38"/>
      <c r="AA167" s="40"/>
      <c r="AT167" s="6" t="s">
        <v>155</v>
      </c>
      <c r="AU167" s="6" t="s">
        <v>109</v>
      </c>
    </row>
    <row r="168" spans="2:18" s="6" customFormat="1" ht="7.5" customHeight="1">
      <c r="B168" s="41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3"/>
    </row>
    <row r="169" s="2" customFormat="1" ht="14.25" customHeight="1"/>
  </sheetData>
  <sheetProtection/>
  <mergeCells count="157">
    <mergeCell ref="N159:Q159"/>
    <mergeCell ref="N165:Q165"/>
    <mergeCell ref="H1:K1"/>
    <mergeCell ref="S2:AC2"/>
    <mergeCell ref="F166:I166"/>
    <mergeCell ref="L166:M166"/>
    <mergeCell ref="N166:Q166"/>
    <mergeCell ref="N163:Q163"/>
    <mergeCell ref="F164:I164"/>
    <mergeCell ref="L164:M164"/>
    <mergeCell ref="F167:I167"/>
    <mergeCell ref="N119:Q119"/>
    <mergeCell ref="N120:Q120"/>
    <mergeCell ref="N121:Q121"/>
    <mergeCell ref="N125:Q125"/>
    <mergeCell ref="N139:Q139"/>
    <mergeCell ref="N144:Q144"/>
    <mergeCell ref="F162:I162"/>
    <mergeCell ref="F163:I163"/>
    <mergeCell ref="L163:M163"/>
    <mergeCell ref="N164:Q164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F158:I158"/>
    <mergeCell ref="L158:M158"/>
    <mergeCell ref="N158:Q158"/>
    <mergeCell ref="F153:I153"/>
    <mergeCell ref="F154:I154"/>
    <mergeCell ref="L154:M154"/>
    <mergeCell ref="N154:Q154"/>
    <mergeCell ref="F155:I155"/>
    <mergeCell ref="L155:M155"/>
    <mergeCell ref="N155:Q155"/>
    <mergeCell ref="F149:I149"/>
    <mergeCell ref="F150:I150"/>
    <mergeCell ref="L150:M150"/>
    <mergeCell ref="N150:Q150"/>
    <mergeCell ref="F152:I152"/>
    <mergeCell ref="L152:M152"/>
    <mergeCell ref="N152:Q152"/>
    <mergeCell ref="N151:Q151"/>
    <mergeCell ref="F143:I143"/>
    <mergeCell ref="F145:I145"/>
    <mergeCell ref="L145:M145"/>
    <mergeCell ref="N145:Q145"/>
    <mergeCell ref="F148:I148"/>
    <mergeCell ref="L148:M148"/>
    <mergeCell ref="N148:Q148"/>
    <mergeCell ref="N146:Q146"/>
    <mergeCell ref="N147:Q147"/>
    <mergeCell ref="F140:I140"/>
    <mergeCell ref="L140:M140"/>
    <mergeCell ref="N140:Q140"/>
    <mergeCell ref="F141:I141"/>
    <mergeCell ref="F142:I142"/>
    <mergeCell ref="L142:M142"/>
    <mergeCell ref="N142:Q142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23:I123"/>
    <mergeCell ref="F124:I124"/>
    <mergeCell ref="L124:M124"/>
    <mergeCell ref="N124:Q124"/>
    <mergeCell ref="F126:I126"/>
    <mergeCell ref="L126:M126"/>
    <mergeCell ref="N126:Q126"/>
    <mergeCell ref="F118:I118"/>
    <mergeCell ref="L118:M118"/>
    <mergeCell ref="N118:Q118"/>
    <mergeCell ref="F122:I122"/>
    <mergeCell ref="L122:M122"/>
    <mergeCell ref="N122:Q122"/>
    <mergeCell ref="C108:Q108"/>
    <mergeCell ref="F110:P110"/>
    <mergeCell ref="F111:P111"/>
    <mergeCell ref="M113:P113"/>
    <mergeCell ref="M115:Q115"/>
    <mergeCell ref="M116:Q116"/>
    <mergeCell ref="N95:Q95"/>
    <mergeCell ref="N96:Q96"/>
    <mergeCell ref="N97:Q97"/>
    <mergeCell ref="N98:Q98"/>
    <mergeCell ref="N100:Q100"/>
    <mergeCell ref="L102:Q102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8"/>
  <sheetViews>
    <sheetView showGridLines="0" zoomScalePageLayoutView="0" workbookViewId="0" topLeftCell="A1">
      <pane ySplit="1" topLeftCell="A31" activePane="bottomLeft" state="frozen"/>
      <selection pane="topLeft" activeCell="A1" sqref="A1"/>
      <selection pane="bottomLeft" activeCell="A40" sqref="A40:IV7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0"/>
      <c r="B1" s="137"/>
      <c r="C1" s="137"/>
      <c r="D1" s="138" t="s">
        <v>1</v>
      </c>
      <c r="E1" s="137"/>
      <c r="F1" s="139" t="s">
        <v>538</v>
      </c>
      <c r="G1" s="139"/>
      <c r="H1" s="196" t="s">
        <v>539</v>
      </c>
      <c r="I1" s="196"/>
      <c r="J1" s="196"/>
      <c r="K1" s="196"/>
      <c r="L1" s="139" t="s">
        <v>540</v>
      </c>
      <c r="M1" s="137"/>
      <c r="N1" s="137"/>
      <c r="O1" s="138" t="s">
        <v>108</v>
      </c>
      <c r="P1" s="137"/>
      <c r="Q1" s="137"/>
      <c r="R1" s="137"/>
      <c r="S1" s="139" t="s">
        <v>541</v>
      </c>
      <c r="T1" s="139"/>
      <c r="U1" s="140"/>
      <c r="V1" s="1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68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109</v>
      </c>
    </row>
    <row r="4" spans="2:46" s="2" customFormat="1" ht="37.5" customHeight="1">
      <c r="B4" s="10"/>
      <c r="C4" s="143" t="s">
        <v>110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3" t="str">
        <f>'Rekapitulace stavby'!$K$6</f>
        <v>UK-stavební práce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111</v>
      </c>
      <c r="F7" s="145" t="s">
        <v>249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74" t="str">
        <f>'Rekapitulace stavby'!$AN$8</f>
        <v>23.10.2016</v>
      </c>
      <c r="P9" s="157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4" t="s">
        <v>28</v>
      </c>
      <c r="P11" s="157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144" t="s">
        <v>31</v>
      </c>
      <c r="P12" s="157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144">
        <f>IF('Rekapitulace stavby'!$AN$13="","",'Rekapitulace stavby'!$AN$13)</f>
      </c>
      <c r="P14" s="157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30</v>
      </c>
      <c r="O15" s="144">
        <f>IF('Rekapitulace stavby'!$AN$14="","",'Rekapitulace stavby'!$AN$14)</f>
      </c>
      <c r="P15" s="157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33</v>
      </c>
      <c r="M17" s="16" t="s">
        <v>27</v>
      </c>
      <c r="O17" s="144">
        <f>IF('Rekapitulace stavby'!$AN$16="","",'Rekapitulace stavby'!$AN$16)</f>
      </c>
      <c r="P17" s="157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30</v>
      </c>
      <c r="O18" s="144">
        <f>IF('Rekapitulace stavby'!$AN$17="","",'Rekapitulace stavby'!$AN$17)</f>
      </c>
      <c r="P18" s="157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35</v>
      </c>
      <c r="M20" s="16" t="s">
        <v>27</v>
      </c>
      <c r="O20" s="144">
        <f>IF('Rekapitulace stavby'!$AN$19="","",'Rekapitulace stavby'!$AN$19)</f>
      </c>
      <c r="P20" s="157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30</v>
      </c>
      <c r="O21" s="144">
        <f>IF('Rekapitulace stavby'!$AN$20="","",'Rekapitulace stavby'!$AN$20)</f>
      </c>
      <c r="P21" s="157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36</v>
      </c>
      <c r="R23" s="20"/>
    </row>
    <row r="24" spans="2:18" s="80" customFormat="1" ht="15.75" customHeight="1">
      <c r="B24" s="81"/>
      <c r="E24" s="146"/>
      <c r="F24" s="175"/>
      <c r="G24" s="175"/>
      <c r="H24" s="175"/>
      <c r="I24" s="175"/>
      <c r="J24" s="175"/>
      <c r="K24" s="175"/>
      <c r="L24" s="175"/>
      <c r="R24" s="82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3" t="s">
        <v>113</v>
      </c>
      <c r="M27" s="147">
        <f>$N$88</f>
        <v>54036.04</v>
      </c>
      <c r="N27" s="157"/>
      <c r="O27" s="157"/>
      <c r="P27" s="157"/>
      <c r="R27" s="20"/>
    </row>
    <row r="28" spans="2:18" s="6" customFormat="1" ht="15" customHeight="1">
      <c r="B28" s="19"/>
      <c r="D28" s="18" t="s">
        <v>114</v>
      </c>
      <c r="M28" s="147">
        <f>$N$96</f>
        <v>0</v>
      </c>
      <c r="N28" s="157"/>
      <c r="O28" s="157"/>
      <c r="P28" s="157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4" t="s">
        <v>39</v>
      </c>
      <c r="M30" s="176">
        <f>ROUND($M$27+$M$28,2)</f>
        <v>54036.04</v>
      </c>
      <c r="N30" s="157"/>
      <c r="O30" s="157"/>
      <c r="P30" s="157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40</v>
      </c>
      <c r="E32" s="24" t="s">
        <v>41</v>
      </c>
      <c r="F32" s="25">
        <v>0.21</v>
      </c>
      <c r="G32" s="85" t="s">
        <v>42</v>
      </c>
      <c r="H32" s="177">
        <f>ROUND((SUM($BE$96:$BE$97)+SUM($BE$115:$BE$147)),2)</f>
        <v>54036.04</v>
      </c>
      <c r="I32" s="157"/>
      <c r="J32" s="157"/>
      <c r="M32" s="177">
        <f>ROUND(ROUND((SUM($BE$96:$BE$97)+SUM($BE$115:$BE$147)),2)*$F$32,2)</f>
        <v>11347.57</v>
      </c>
      <c r="N32" s="157"/>
      <c r="O32" s="157"/>
      <c r="P32" s="157"/>
      <c r="R32" s="20"/>
    </row>
    <row r="33" spans="2:18" s="6" customFormat="1" ht="15" customHeight="1">
      <c r="B33" s="19"/>
      <c r="E33" s="24" t="s">
        <v>43</v>
      </c>
      <c r="F33" s="25">
        <v>0.15</v>
      </c>
      <c r="G33" s="85" t="s">
        <v>42</v>
      </c>
      <c r="H33" s="177">
        <f>ROUND((SUM($BF$96:$BF$97)+SUM($BF$115:$BF$147)),2)</f>
        <v>0</v>
      </c>
      <c r="I33" s="157"/>
      <c r="J33" s="157"/>
      <c r="M33" s="177">
        <f>ROUND(ROUND((SUM($BF$96:$BF$97)+SUM($BF$115:$BF$147)),2)*$F$33,2)</f>
        <v>0</v>
      </c>
      <c r="N33" s="157"/>
      <c r="O33" s="157"/>
      <c r="P33" s="157"/>
      <c r="R33" s="20"/>
    </row>
    <row r="34" spans="2:18" s="6" customFormat="1" ht="15" customHeight="1" hidden="1">
      <c r="B34" s="19"/>
      <c r="E34" s="24" t="s">
        <v>44</v>
      </c>
      <c r="F34" s="25">
        <v>0.21</v>
      </c>
      <c r="G34" s="85" t="s">
        <v>42</v>
      </c>
      <c r="H34" s="177">
        <f>ROUND((SUM($BG$96:$BG$97)+SUM($BG$115:$BG$147)),2)</f>
        <v>0</v>
      </c>
      <c r="I34" s="157"/>
      <c r="J34" s="157"/>
      <c r="M34" s="177">
        <v>0</v>
      </c>
      <c r="N34" s="157"/>
      <c r="O34" s="157"/>
      <c r="P34" s="157"/>
      <c r="R34" s="20"/>
    </row>
    <row r="35" spans="2:18" s="6" customFormat="1" ht="15" customHeight="1" hidden="1">
      <c r="B35" s="19"/>
      <c r="E35" s="24" t="s">
        <v>45</v>
      </c>
      <c r="F35" s="25">
        <v>0.15</v>
      </c>
      <c r="G35" s="85" t="s">
        <v>42</v>
      </c>
      <c r="H35" s="177">
        <f>ROUND((SUM($BH$96:$BH$97)+SUM($BH$115:$BH$147)),2)</f>
        <v>0</v>
      </c>
      <c r="I35" s="157"/>
      <c r="J35" s="157"/>
      <c r="M35" s="177">
        <v>0</v>
      </c>
      <c r="N35" s="157"/>
      <c r="O35" s="157"/>
      <c r="P35" s="157"/>
      <c r="R35" s="20"/>
    </row>
    <row r="36" spans="2:18" s="6" customFormat="1" ht="15" customHeight="1" hidden="1">
      <c r="B36" s="19"/>
      <c r="E36" s="24" t="s">
        <v>46</v>
      </c>
      <c r="F36" s="25">
        <v>0</v>
      </c>
      <c r="G36" s="85" t="s">
        <v>42</v>
      </c>
      <c r="H36" s="177">
        <f>ROUND((SUM($BI$96:$BI$97)+SUM($BI$115:$BI$147)),2)</f>
        <v>0</v>
      </c>
      <c r="I36" s="157"/>
      <c r="J36" s="157"/>
      <c r="M36" s="177">
        <v>0</v>
      </c>
      <c r="N36" s="157"/>
      <c r="O36" s="157"/>
      <c r="P36" s="157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47</v>
      </c>
      <c r="E38" s="30"/>
      <c r="F38" s="30"/>
      <c r="G38" s="86" t="s">
        <v>48</v>
      </c>
      <c r="H38" s="31" t="s">
        <v>49</v>
      </c>
      <c r="I38" s="30"/>
      <c r="J38" s="30"/>
      <c r="K38" s="30"/>
      <c r="L38" s="155">
        <f>SUM($M$30:$M$36)</f>
        <v>65383.61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 hidden="1">
      <c r="B40" s="19"/>
      <c r="R40" s="20"/>
    </row>
    <row r="41" spans="2:18" s="2" customFormat="1" ht="14.25" customHeight="1" hidden="1">
      <c r="B41" s="10"/>
      <c r="R41" s="11"/>
    </row>
    <row r="42" spans="2:18" s="2" customFormat="1" ht="14.25" customHeight="1" hidden="1">
      <c r="B42" s="10"/>
      <c r="R42" s="11"/>
    </row>
    <row r="43" spans="2:18" s="2" customFormat="1" ht="14.25" customHeight="1" hidden="1">
      <c r="B43" s="10"/>
      <c r="R43" s="11"/>
    </row>
    <row r="44" spans="2:18" s="2" customFormat="1" ht="14.25" customHeight="1" hidden="1">
      <c r="B44" s="10"/>
      <c r="R44" s="11"/>
    </row>
    <row r="45" spans="2:18" s="2" customFormat="1" ht="14.25" customHeight="1" hidden="1">
      <c r="B45" s="10"/>
      <c r="R45" s="11"/>
    </row>
    <row r="46" spans="2:18" s="2" customFormat="1" ht="14.25" customHeight="1" hidden="1">
      <c r="B46" s="10"/>
      <c r="R46" s="11"/>
    </row>
    <row r="47" spans="2:18" s="2" customFormat="1" ht="14.25" customHeight="1" hidden="1">
      <c r="B47" s="10"/>
      <c r="R47" s="11"/>
    </row>
    <row r="48" spans="2:18" s="2" customFormat="1" ht="14.25" customHeight="1" hidden="1">
      <c r="B48" s="10"/>
      <c r="R48" s="11"/>
    </row>
    <row r="49" spans="2:18" s="2" customFormat="1" ht="14.25" customHeight="1" hidden="1">
      <c r="B49" s="10"/>
      <c r="R49" s="11"/>
    </row>
    <row r="50" spans="2:18" s="6" customFormat="1" ht="15.75" customHeight="1" hidden="1">
      <c r="B50" s="19"/>
      <c r="D50" s="32" t="s">
        <v>50</v>
      </c>
      <c r="E50" s="33"/>
      <c r="F50" s="33"/>
      <c r="G50" s="33"/>
      <c r="H50" s="34"/>
      <c r="J50" s="32" t="s">
        <v>51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 hidden="1">
      <c r="B51" s="10"/>
      <c r="D51" s="35"/>
      <c r="H51" s="36"/>
      <c r="J51" s="35"/>
      <c r="P51" s="36"/>
      <c r="R51" s="11"/>
    </row>
    <row r="52" spans="2:18" s="2" customFormat="1" ht="14.25" customHeight="1" hidden="1">
      <c r="B52" s="10"/>
      <c r="D52" s="35"/>
      <c r="H52" s="36"/>
      <c r="J52" s="35"/>
      <c r="P52" s="36"/>
      <c r="R52" s="11"/>
    </row>
    <row r="53" spans="2:18" s="2" customFormat="1" ht="14.25" customHeight="1" hidden="1">
      <c r="B53" s="10"/>
      <c r="D53" s="35"/>
      <c r="H53" s="36"/>
      <c r="J53" s="35"/>
      <c r="P53" s="36"/>
      <c r="R53" s="11"/>
    </row>
    <row r="54" spans="2:18" s="2" customFormat="1" ht="14.25" customHeight="1" hidden="1">
      <c r="B54" s="10"/>
      <c r="D54" s="35"/>
      <c r="H54" s="36"/>
      <c r="J54" s="35"/>
      <c r="P54" s="36"/>
      <c r="R54" s="11"/>
    </row>
    <row r="55" spans="2:18" s="2" customFormat="1" ht="14.25" customHeight="1" hidden="1">
      <c r="B55" s="10"/>
      <c r="D55" s="35"/>
      <c r="H55" s="36"/>
      <c r="J55" s="35"/>
      <c r="P55" s="36"/>
      <c r="R55" s="11"/>
    </row>
    <row r="56" spans="2:18" s="2" customFormat="1" ht="14.25" customHeight="1" hidden="1">
      <c r="B56" s="10"/>
      <c r="D56" s="35"/>
      <c r="H56" s="36"/>
      <c r="J56" s="35"/>
      <c r="P56" s="36"/>
      <c r="R56" s="11"/>
    </row>
    <row r="57" spans="2:18" s="2" customFormat="1" ht="14.25" customHeight="1" hidden="1">
      <c r="B57" s="10"/>
      <c r="D57" s="35"/>
      <c r="H57" s="36"/>
      <c r="J57" s="35"/>
      <c r="P57" s="36"/>
      <c r="R57" s="11"/>
    </row>
    <row r="58" spans="2:18" s="2" customFormat="1" ht="14.25" customHeight="1" hidden="1">
      <c r="B58" s="10"/>
      <c r="D58" s="35"/>
      <c r="H58" s="36"/>
      <c r="J58" s="35"/>
      <c r="P58" s="36"/>
      <c r="R58" s="11"/>
    </row>
    <row r="59" spans="2:18" s="6" customFormat="1" ht="15.75" customHeight="1" hidden="1">
      <c r="B59" s="19"/>
      <c r="D59" s="37" t="s">
        <v>52</v>
      </c>
      <c r="E59" s="38"/>
      <c r="F59" s="38"/>
      <c r="G59" s="39" t="s">
        <v>53</v>
      </c>
      <c r="H59" s="40"/>
      <c r="J59" s="37" t="s">
        <v>52</v>
      </c>
      <c r="K59" s="38"/>
      <c r="L59" s="38"/>
      <c r="M59" s="38"/>
      <c r="N59" s="39" t="s">
        <v>53</v>
      </c>
      <c r="O59" s="38"/>
      <c r="P59" s="40"/>
      <c r="R59" s="20"/>
    </row>
    <row r="60" spans="2:18" s="2" customFormat="1" ht="14.25" customHeight="1" hidden="1">
      <c r="B60" s="10"/>
      <c r="R60" s="11"/>
    </row>
    <row r="61" spans="2:18" s="6" customFormat="1" ht="15.75" customHeight="1" hidden="1">
      <c r="B61" s="19"/>
      <c r="D61" s="32" t="s">
        <v>54</v>
      </c>
      <c r="E61" s="33"/>
      <c r="F61" s="33"/>
      <c r="G61" s="33"/>
      <c r="H61" s="34"/>
      <c r="J61" s="32" t="s">
        <v>55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 hidden="1">
      <c r="B62" s="10"/>
      <c r="D62" s="35"/>
      <c r="H62" s="36"/>
      <c r="J62" s="35"/>
      <c r="P62" s="36"/>
      <c r="R62" s="11"/>
    </row>
    <row r="63" spans="2:18" s="2" customFormat="1" ht="14.25" customHeight="1" hidden="1">
      <c r="B63" s="10"/>
      <c r="D63" s="35"/>
      <c r="H63" s="36"/>
      <c r="J63" s="35"/>
      <c r="P63" s="36"/>
      <c r="R63" s="11"/>
    </row>
    <row r="64" spans="2:18" s="2" customFormat="1" ht="14.25" customHeight="1" hidden="1">
      <c r="B64" s="10"/>
      <c r="D64" s="35"/>
      <c r="H64" s="36"/>
      <c r="J64" s="35"/>
      <c r="P64" s="36"/>
      <c r="R64" s="11"/>
    </row>
    <row r="65" spans="2:18" s="2" customFormat="1" ht="14.25" customHeight="1" hidden="1">
      <c r="B65" s="10"/>
      <c r="D65" s="35"/>
      <c r="H65" s="36"/>
      <c r="J65" s="35"/>
      <c r="P65" s="36"/>
      <c r="R65" s="11"/>
    </row>
    <row r="66" spans="2:18" s="2" customFormat="1" ht="14.25" customHeight="1" hidden="1">
      <c r="B66" s="10"/>
      <c r="D66" s="35"/>
      <c r="H66" s="36"/>
      <c r="J66" s="35"/>
      <c r="P66" s="36"/>
      <c r="R66" s="11"/>
    </row>
    <row r="67" spans="2:18" s="2" customFormat="1" ht="14.25" customHeight="1" hidden="1">
      <c r="B67" s="10"/>
      <c r="D67" s="35"/>
      <c r="H67" s="36"/>
      <c r="J67" s="35"/>
      <c r="P67" s="36"/>
      <c r="R67" s="11"/>
    </row>
    <row r="68" spans="2:18" s="2" customFormat="1" ht="14.25" customHeight="1" hidden="1">
      <c r="B68" s="10"/>
      <c r="D68" s="35"/>
      <c r="H68" s="36"/>
      <c r="J68" s="35"/>
      <c r="P68" s="36"/>
      <c r="R68" s="11"/>
    </row>
    <row r="69" spans="2:18" s="2" customFormat="1" ht="14.25" customHeight="1" hidden="1">
      <c r="B69" s="10"/>
      <c r="D69" s="35"/>
      <c r="H69" s="36"/>
      <c r="J69" s="35"/>
      <c r="P69" s="36"/>
      <c r="R69" s="11"/>
    </row>
    <row r="70" spans="2:18" s="6" customFormat="1" ht="15.75" customHeight="1" hidden="1">
      <c r="B70" s="19"/>
      <c r="D70" s="37" t="s">
        <v>52</v>
      </c>
      <c r="E70" s="38"/>
      <c r="F70" s="38"/>
      <c r="G70" s="39" t="s">
        <v>53</v>
      </c>
      <c r="H70" s="40"/>
      <c r="J70" s="37" t="s">
        <v>52</v>
      </c>
      <c r="K70" s="38"/>
      <c r="L70" s="38"/>
      <c r="M70" s="38"/>
      <c r="N70" s="39" t="s">
        <v>53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3" t="s">
        <v>115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3" t="str">
        <f>$F$6</f>
        <v>UK-stavební práce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R78" s="20"/>
    </row>
    <row r="79" spans="2:18" s="6" customFormat="1" ht="37.5" customHeight="1">
      <c r="B79" s="19"/>
      <c r="C79" s="49" t="s">
        <v>111</v>
      </c>
      <c r="F79" s="158" t="str">
        <f>$F$7</f>
        <v>A2 - Stavební práce - Podlahy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74" t="str">
        <f>IF($O$9="","",$O$9)</f>
        <v>23.10.2016</v>
      </c>
      <c r="N81" s="157"/>
      <c r="O81" s="157"/>
      <c r="P81" s="157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Univerzita Karlova - Správa budov a zařízení</v>
      </c>
      <c r="K83" s="16" t="s">
        <v>33</v>
      </c>
      <c r="M83" s="144" t="str">
        <f>$E$18</f>
        <v> </v>
      </c>
      <c r="N83" s="157"/>
      <c r="O83" s="157"/>
      <c r="P83" s="157"/>
      <c r="Q83" s="157"/>
      <c r="R83" s="20"/>
    </row>
    <row r="84" spans="2:18" s="6" customFormat="1" ht="15" customHeight="1">
      <c r="B84" s="19"/>
      <c r="C84" s="16" t="s">
        <v>32</v>
      </c>
      <c r="F84" s="14" t="str">
        <f>IF($E$15="","",$E$15)</f>
        <v> </v>
      </c>
      <c r="K84" s="16" t="s">
        <v>35</v>
      </c>
      <c r="M84" s="144" t="str">
        <f>$E$21</f>
        <v> </v>
      </c>
      <c r="N84" s="157"/>
      <c r="O84" s="157"/>
      <c r="P84" s="157"/>
      <c r="Q84" s="157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78" t="s">
        <v>116</v>
      </c>
      <c r="D86" s="172"/>
      <c r="E86" s="172"/>
      <c r="F86" s="172"/>
      <c r="G86" s="172"/>
      <c r="H86" s="28"/>
      <c r="I86" s="28"/>
      <c r="J86" s="28"/>
      <c r="K86" s="28"/>
      <c r="L86" s="28"/>
      <c r="M86" s="28"/>
      <c r="N86" s="178" t="s">
        <v>117</v>
      </c>
      <c r="O86" s="157"/>
      <c r="P86" s="157"/>
      <c r="Q86" s="157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1" t="s">
        <v>118</v>
      </c>
      <c r="N88" s="169">
        <f>$N$115</f>
        <v>54036.04</v>
      </c>
      <c r="O88" s="157"/>
      <c r="P88" s="157"/>
      <c r="Q88" s="157"/>
      <c r="R88" s="20"/>
      <c r="AU88" s="6" t="s">
        <v>119</v>
      </c>
    </row>
    <row r="89" spans="2:18" s="66" customFormat="1" ht="25.5" customHeight="1">
      <c r="B89" s="87"/>
      <c r="D89" s="88" t="s">
        <v>120</v>
      </c>
      <c r="N89" s="179">
        <f>$N$116</f>
        <v>4640.4</v>
      </c>
      <c r="O89" s="180"/>
      <c r="P89" s="180"/>
      <c r="Q89" s="180"/>
      <c r="R89" s="89"/>
    </row>
    <row r="90" spans="2:18" s="83" customFormat="1" ht="21" customHeight="1">
      <c r="B90" s="90"/>
      <c r="D90" s="91" t="s">
        <v>122</v>
      </c>
      <c r="N90" s="181">
        <f>$N$117</f>
        <v>4640.4</v>
      </c>
      <c r="O90" s="180"/>
      <c r="P90" s="180"/>
      <c r="Q90" s="180"/>
      <c r="R90" s="92"/>
    </row>
    <row r="91" spans="2:18" s="66" customFormat="1" ht="25.5" customHeight="1">
      <c r="B91" s="87"/>
      <c r="D91" s="88" t="s">
        <v>125</v>
      </c>
      <c r="N91" s="179">
        <f>$N$122</f>
        <v>49395.64</v>
      </c>
      <c r="O91" s="180"/>
      <c r="P91" s="180"/>
      <c r="Q91" s="180"/>
      <c r="R91" s="89"/>
    </row>
    <row r="92" spans="2:18" s="83" customFormat="1" ht="21" customHeight="1">
      <c r="B92" s="90"/>
      <c r="D92" s="91" t="s">
        <v>127</v>
      </c>
      <c r="N92" s="181">
        <f>$N$123</f>
        <v>15816.18</v>
      </c>
      <c r="O92" s="180"/>
      <c r="P92" s="180"/>
      <c r="Q92" s="180"/>
      <c r="R92" s="92"/>
    </row>
    <row r="93" spans="2:18" s="83" customFormat="1" ht="21" customHeight="1">
      <c r="B93" s="90"/>
      <c r="D93" s="91" t="s">
        <v>250</v>
      </c>
      <c r="N93" s="181">
        <f>$N$127</f>
        <v>6968.469999999999</v>
      </c>
      <c r="O93" s="180"/>
      <c r="P93" s="180"/>
      <c r="Q93" s="180"/>
      <c r="R93" s="92"/>
    </row>
    <row r="94" spans="2:18" s="83" customFormat="1" ht="21" customHeight="1">
      <c r="B94" s="90"/>
      <c r="D94" s="91" t="s">
        <v>251</v>
      </c>
      <c r="N94" s="181">
        <f>$N$136</f>
        <v>26610.989999999998</v>
      </c>
      <c r="O94" s="180"/>
      <c r="P94" s="180"/>
      <c r="Q94" s="180"/>
      <c r="R94" s="92"/>
    </row>
    <row r="95" spans="2:18" s="6" customFormat="1" ht="22.5" customHeight="1">
      <c r="B95" s="19"/>
      <c r="R95" s="20"/>
    </row>
    <row r="96" spans="2:21" s="6" customFormat="1" ht="30" customHeight="1">
      <c r="B96" s="19"/>
      <c r="C96" s="61" t="s">
        <v>130</v>
      </c>
      <c r="N96" s="169">
        <v>0</v>
      </c>
      <c r="O96" s="157"/>
      <c r="P96" s="157"/>
      <c r="Q96" s="157"/>
      <c r="R96" s="20"/>
      <c r="T96" s="93"/>
      <c r="U96" s="94" t="s">
        <v>40</v>
      </c>
    </row>
    <row r="97" spans="2:18" s="6" customFormat="1" ht="18.75" customHeight="1">
      <c r="B97" s="19"/>
      <c r="R97" s="20"/>
    </row>
    <row r="98" spans="2:18" s="6" customFormat="1" ht="30" customHeight="1">
      <c r="B98" s="19"/>
      <c r="C98" s="79" t="s">
        <v>107</v>
      </c>
      <c r="D98" s="28"/>
      <c r="E98" s="28"/>
      <c r="F98" s="28"/>
      <c r="G98" s="28"/>
      <c r="H98" s="28"/>
      <c r="I98" s="28"/>
      <c r="J98" s="28"/>
      <c r="K98" s="28"/>
      <c r="L98" s="171">
        <f>ROUND(SUM($N$88+$N$96),2)</f>
        <v>54036.04</v>
      </c>
      <c r="M98" s="172"/>
      <c r="N98" s="172"/>
      <c r="O98" s="172"/>
      <c r="P98" s="172"/>
      <c r="Q98" s="172"/>
      <c r="R98" s="20"/>
    </row>
    <row r="99" spans="2:18" s="6" customFormat="1" ht="7.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3"/>
    </row>
    <row r="103" spans="2:18" s="6" customFormat="1" ht="7.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18" s="6" customFormat="1" ht="37.5" customHeight="1">
      <c r="B104" s="19"/>
      <c r="C104" s="143" t="s">
        <v>131</v>
      </c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20"/>
    </row>
    <row r="105" spans="2:18" s="6" customFormat="1" ht="7.5" customHeight="1">
      <c r="B105" s="19"/>
      <c r="R105" s="20"/>
    </row>
    <row r="106" spans="2:18" s="6" customFormat="1" ht="30.75" customHeight="1">
      <c r="B106" s="19"/>
      <c r="C106" s="16" t="s">
        <v>14</v>
      </c>
      <c r="F106" s="173" t="str">
        <f>$F$6</f>
        <v>UK-stavební práce</v>
      </c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R106" s="20"/>
    </row>
    <row r="107" spans="2:18" s="6" customFormat="1" ht="37.5" customHeight="1">
      <c r="B107" s="19"/>
      <c r="C107" s="49" t="s">
        <v>111</v>
      </c>
      <c r="F107" s="158" t="str">
        <f>$F$7</f>
        <v>A2 - Stavební práce - Podlahy</v>
      </c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R107" s="20"/>
    </row>
    <row r="108" spans="2:18" s="6" customFormat="1" ht="7.5" customHeight="1">
      <c r="B108" s="19"/>
      <c r="R108" s="20"/>
    </row>
    <row r="109" spans="2:18" s="6" customFormat="1" ht="18.75" customHeight="1">
      <c r="B109" s="19"/>
      <c r="C109" s="16" t="s">
        <v>20</v>
      </c>
      <c r="F109" s="14" t="str">
        <f>$F$9</f>
        <v> </v>
      </c>
      <c r="K109" s="16" t="s">
        <v>22</v>
      </c>
      <c r="M109" s="174" t="str">
        <f>IF($O$9="","",$O$9)</f>
        <v>23.10.2016</v>
      </c>
      <c r="N109" s="157"/>
      <c r="O109" s="157"/>
      <c r="P109" s="157"/>
      <c r="R109" s="20"/>
    </row>
    <row r="110" spans="2:18" s="6" customFormat="1" ht="7.5" customHeight="1">
      <c r="B110" s="19"/>
      <c r="R110" s="20"/>
    </row>
    <row r="111" spans="2:18" s="6" customFormat="1" ht="15.75" customHeight="1">
      <c r="B111" s="19"/>
      <c r="C111" s="16" t="s">
        <v>26</v>
      </c>
      <c r="F111" s="14" t="str">
        <f>$E$12</f>
        <v>Univerzita Karlova - Správa budov a zařízení</v>
      </c>
      <c r="K111" s="16" t="s">
        <v>33</v>
      </c>
      <c r="M111" s="144" t="str">
        <f>$E$18</f>
        <v> </v>
      </c>
      <c r="N111" s="157"/>
      <c r="O111" s="157"/>
      <c r="P111" s="157"/>
      <c r="Q111" s="157"/>
      <c r="R111" s="20"/>
    </row>
    <row r="112" spans="2:18" s="6" customFormat="1" ht="15" customHeight="1">
      <c r="B112" s="19"/>
      <c r="C112" s="16" t="s">
        <v>32</v>
      </c>
      <c r="F112" s="14" t="str">
        <f>IF($E$15="","",$E$15)</f>
        <v> </v>
      </c>
      <c r="K112" s="16" t="s">
        <v>35</v>
      </c>
      <c r="M112" s="144" t="str">
        <f>$E$21</f>
        <v> </v>
      </c>
      <c r="N112" s="157"/>
      <c r="O112" s="157"/>
      <c r="P112" s="157"/>
      <c r="Q112" s="157"/>
      <c r="R112" s="20"/>
    </row>
    <row r="113" spans="2:18" s="6" customFormat="1" ht="11.25" customHeight="1">
      <c r="B113" s="19"/>
      <c r="R113" s="20"/>
    </row>
    <row r="114" spans="2:27" s="95" customFormat="1" ht="30" customHeight="1">
      <c r="B114" s="96"/>
      <c r="C114" s="97" t="s">
        <v>132</v>
      </c>
      <c r="D114" s="98" t="s">
        <v>133</v>
      </c>
      <c r="E114" s="98" t="s">
        <v>58</v>
      </c>
      <c r="F114" s="182" t="s">
        <v>134</v>
      </c>
      <c r="G114" s="183"/>
      <c r="H114" s="183"/>
      <c r="I114" s="183"/>
      <c r="J114" s="98" t="s">
        <v>135</v>
      </c>
      <c r="K114" s="98" t="s">
        <v>136</v>
      </c>
      <c r="L114" s="182" t="s">
        <v>137</v>
      </c>
      <c r="M114" s="183"/>
      <c r="N114" s="182" t="s">
        <v>138</v>
      </c>
      <c r="O114" s="183"/>
      <c r="P114" s="183"/>
      <c r="Q114" s="184"/>
      <c r="R114" s="99"/>
      <c r="T114" s="56" t="s">
        <v>139</v>
      </c>
      <c r="U114" s="57" t="s">
        <v>40</v>
      </c>
      <c r="V114" s="57" t="s">
        <v>140</v>
      </c>
      <c r="W114" s="57" t="s">
        <v>141</v>
      </c>
      <c r="X114" s="57" t="s">
        <v>142</v>
      </c>
      <c r="Y114" s="57" t="s">
        <v>143</v>
      </c>
      <c r="Z114" s="57" t="s">
        <v>144</v>
      </c>
      <c r="AA114" s="58" t="s">
        <v>145</v>
      </c>
    </row>
    <row r="115" spans="2:63" s="6" customFormat="1" ht="30" customHeight="1">
      <c r="B115" s="19"/>
      <c r="C115" s="61" t="s">
        <v>113</v>
      </c>
      <c r="N115" s="195">
        <f>$BK$115</f>
        <v>54036.04</v>
      </c>
      <c r="O115" s="157"/>
      <c r="P115" s="157"/>
      <c r="Q115" s="157"/>
      <c r="R115" s="20"/>
      <c r="T115" s="60"/>
      <c r="U115" s="33"/>
      <c r="V115" s="33"/>
      <c r="W115" s="100">
        <f>$W$116+$W$122</f>
        <v>70.069668</v>
      </c>
      <c r="X115" s="33"/>
      <c r="Y115" s="100">
        <f>$Y$116+$Y$122</f>
        <v>0.6997071000000001</v>
      </c>
      <c r="Z115" s="33"/>
      <c r="AA115" s="101">
        <f>$AA$116+$AA$122</f>
        <v>0.17</v>
      </c>
      <c r="AT115" s="6" t="s">
        <v>75</v>
      </c>
      <c r="AU115" s="6" t="s">
        <v>119</v>
      </c>
      <c r="BK115" s="102">
        <f>$BK$116+$BK$122</f>
        <v>54036.04</v>
      </c>
    </row>
    <row r="116" spans="2:63" s="103" customFormat="1" ht="37.5" customHeight="1">
      <c r="B116" s="104"/>
      <c r="D116" s="105" t="s">
        <v>120</v>
      </c>
      <c r="E116" s="105"/>
      <c r="F116" s="105"/>
      <c r="G116" s="105"/>
      <c r="H116" s="105"/>
      <c r="I116" s="105"/>
      <c r="J116" s="105"/>
      <c r="K116" s="105"/>
      <c r="L116" s="105"/>
      <c r="M116" s="105"/>
      <c r="N116" s="192">
        <f>$BK$116</f>
        <v>4640.4</v>
      </c>
      <c r="O116" s="193"/>
      <c r="P116" s="193"/>
      <c r="Q116" s="193"/>
      <c r="R116" s="107"/>
      <c r="T116" s="108"/>
      <c r="W116" s="109">
        <f>$W$117</f>
        <v>9.370999999999999</v>
      </c>
      <c r="Y116" s="109">
        <f>$Y$117</f>
        <v>0.00126</v>
      </c>
      <c r="AA116" s="110">
        <f>$AA$117</f>
        <v>0</v>
      </c>
      <c r="AR116" s="106" t="s">
        <v>19</v>
      </c>
      <c r="AT116" s="106" t="s">
        <v>75</v>
      </c>
      <c r="AU116" s="106" t="s">
        <v>76</v>
      </c>
      <c r="AY116" s="106" t="s">
        <v>146</v>
      </c>
      <c r="BK116" s="111">
        <f>$BK$117</f>
        <v>4640.4</v>
      </c>
    </row>
    <row r="117" spans="2:63" s="103" customFormat="1" ht="21" customHeight="1">
      <c r="B117" s="104"/>
      <c r="D117" s="112" t="s">
        <v>122</v>
      </c>
      <c r="E117" s="112"/>
      <c r="F117" s="112"/>
      <c r="G117" s="112"/>
      <c r="H117" s="112"/>
      <c r="I117" s="112"/>
      <c r="J117" s="112"/>
      <c r="K117" s="112"/>
      <c r="L117" s="112"/>
      <c r="M117" s="112"/>
      <c r="N117" s="194">
        <f>$BK$117</f>
        <v>4640.4</v>
      </c>
      <c r="O117" s="193"/>
      <c r="P117" s="193"/>
      <c r="Q117" s="193"/>
      <c r="R117" s="107"/>
      <c r="T117" s="108"/>
      <c r="W117" s="109">
        <f>SUM($W$118:$W$121)</f>
        <v>9.370999999999999</v>
      </c>
      <c r="Y117" s="109">
        <f>SUM($Y$118:$Y$121)</f>
        <v>0.00126</v>
      </c>
      <c r="AA117" s="110">
        <f>SUM($AA$118:$AA$121)</f>
        <v>0</v>
      </c>
      <c r="AR117" s="106" t="s">
        <v>19</v>
      </c>
      <c r="AT117" s="106" t="s">
        <v>75</v>
      </c>
      <c r="AU117" s="106" t="s">
        <v>19</v>
      </c>
      <c r="AY117" s="106" t="s">
        <v>146</v>
      </c>
      <c r="BK117" s="111">
        <f>SUM($BK$118:$BK$121)</f>
        <v>4640.4</v>
      </c>
    </row>
    <row r="118" spans="2:65" s="6" customFormat="1" ht="27" customHeight="1">
      <c r="B118" s="19"/>
      <c r="C118" s="113" t="s">
        <v>8</v>
      </c>
      <c r="D118" s="113" t="s">
        <v>148</v>
      </c>
      <c r="E118" s="114" t="s">
        <v>252</v>
      </c>
      <c r="F118" s="185" t="s">
        <v>253</v>
      </c>
      <c r="G118" s="186"/>
      <c r="H118" s="186"/>
      <c r="I118" s="186"/>
      <c r="J118" s="115" t="s">
        <v>159</v>
      </c>
      <c r="K118" s="116">
        <v>68</v>
      </c>
      <c r="L118" s="187">
        <v>52.8</v>
      </c>
      <c r="M118" s="186"/>
      <c r="N118" s="187">
        <f>ROUND($L$118*$K$118,2)</f>
        <v>3590.4</v>
      </c>
      <c r="O118" s="186"/>
      <c r="P118" s="186"/>
      <c r="Q118" s="186"/>
      <c r="R118" s="20"/>
      <c r="T118" s="117"/>
      <c r="U118" s="26" t="s">
        <v>41</v>
      </c>
      <c r="V118" s="118">
        <v>0.127</v>
      </c>
      <c r="W118" s="118">
        <f>$V$118*$K$118</f>
        <v>8.636</v>
      </c>
      <c r="X118" s="118">
        <v>0</v>
      </c>
      <c r="Y118" s="118">
        <f>$X$118*$K$118</f>
        <v>0</v>
      </c>
      <c r="Z118" s="118">
        <v>0</v>
      </c>
      <c r="AA118" s="119">
        <f>$Z$118*$K$118</f>
        <v>0</v>
      </c>
      <c r="AR118" s="6" t="s">
        <v>152</v>
      </c>
      <c r="AT118" s="6" t="s">
        <v>148</v>
      </c>
      <c r="AU118" s="6" t="s">
        <v>109</v>
      </c>
      <c r="AY118" s="6" t="s">
        <v>146</v>
      </c>
      <c r="BE118" s="120">
        <f>IF($U$118="základní",$N$118,0)</f>
        <v>3590.4</v>
      </c>
      <c r="BF118" s="120">
        <f>IF($U$118="snížená",$N$118,0)</f>
        <v>0</v>
      </c>
      <c r="BG118" s="120">
        <f>IF($U$118="zákl. přenesená",$N$118,0)</f>
        <v>0</v>
      </c>
      <c r="BH118" s="120">
        <f>IF($U$118="sníž. přenesená",$N$118,0)</f>
        <v>0</v>
      </c>
      <c r="BI118" s="120">
        <f>IF($U$118="nulová",$N$118,0)</f>
        <v>0</v>
      </c>
      <c r="BJ118" s="6" t="s">
        <v>19</v>
      </c>
      <c r="BK118" s="120">
        <f>ROUND($L$118*$K$118,2)</f>
        <v>3590.4</v>
      </c>
      <c r="BL118" s="6" t="s">
        <v>152</v>
      </c>
      <c r="BM118" s="6" t="s">
        <v>254</v>
      </c>
    </row>
    <row r="119" spans="2:47" s="6" customFormat="1" ht="18.75" customHeight="1">
      <c r="B119" s="19"/>
      <c r="F119" s="188" t="s">
        <v>255</v>
      </c>
      <c r="G119" s="157"/>
      <c r="H119" s="157"/>
      <c r="I119" s="157"/>
      <c r="R119" s="20"/>
      <c r="T119" s="54"/>
      <c r="AA119" s="55"/>
      <c r="AT119" s="6" t="s">
        <v>155</v>
      </c>
      <c r="AU119" s="6" t="s">
        <v>109</v>
      </c>
    </row>
    <row r="120" spans="2:65" s="6" customFormat="1" ht="27" customHeight="1">
      <c r="B120" s="19"/>
      <c r="C120" s="113" t="s">
        <v>256</v>
      </c>
      <c r="D120" s="113" t="s">
        <v>148</v>
      </c>
      <c r="E120" s="114" t="s">
        <v>257</v>
      </c>
      <c r="F120" s="185" t="s">
        <v>258</v>
      </c>
      <c r="G120" s="186"/>
      <c r="H120" s="186"/>
      <c r="I120" s="186"/>
      <c r="J120" s="115" t="s">
        <v>259</v>
      </c>
      <c r="K120" s="116">
        <v>21</v>
      </c>
      <c r="L120" s="187">
        <v>50</v>
      </c>
      <c r="M120" s="186"/>
      <c r="N120" s="187">
        <f>ROUND($L$120*$K$120,2)</f>
        <v>1050</v>
      </c>
      <c r="O120" s="186"/>
      <c r="P120" s="186"/>
      <c r="Q120" s="186"/>
      <c r="R120" s="20"/>
      <c r="T120" s="117"/>
      <c r="U120" s="26" t="s">
        <v>41</v>
      </c>
      <c r="V120" s="118">
        <v>0.035</v>
      </c>
      <c r="W120" s="118">
        <f>$V$120*$K$120</f>
        <v>0.7350000000000001</v>
      </c>
      <c r="X120" s="118">
        <v>6E-05</v>
      </c>
      <c r="Y120" s="118">
        <f>$X$120*$K$120</f>
        <v>0.00126</v>
      </c>
      <c r="Z120" s="118">
        <v>0</v>
      </c>
      <c r="AA120" s="119">
        <f>$Z$120*$K$120</f>
        <v>0</v>
      </c>
      <c r="AR120" s="6" t="s">
        <v>152</v>
      </c>
      <c r="AT120" s="6" t="s">
        <v>148</v>
      </c>
      <c r="AU120" s="6" t="s">
        <v>109</v>
      </c>
      <c r="AY120" s="6" t="s">
        <v>146</v>
      </c>
      <c r="BE120" s="120">
        <f>IF($U$120="základní",$N$120,0)</f>
        <v>1050</v>
      </c>
      <c r="BF120" s="120">
        <f>IF($U$120="snížená",$N$120,0)</f>
        <v>0</v>
      </c>
      <c r="BG120" s="120">
        <f>IF($U$120="zákl. přenesená",$N$120,0)</f>
        <v>0</v>
      </c>
      <c r="BH120" s="120">
        <f>IF($U$120="sníž. přenesená",$N$120,0)</f>
        <v>0</v>
      </c>
      <c r="BI120" s="120">
        <f>IF($U$120="nulová",$N$120,0)</f>
        <v>0</v>
      </c>
      <c r="BJ120" s="6" t="s">
        <v>19</v>
      </c>
      <c r="BK120" s="120">
        <f>ROUND($L$120*$K$120,2)</f>
        <v>1050</v>
      </c>
      <c r="BL120" s="6" t="s">
        <v>152</v>
      </c>
      <c r="BM120" s="6" t="s">
        <v>260</v>
      </c>
    </row>
    <row r="121" spans="2:47" s="6" customFormat="1" ht="18.75" customHeight="1">
      <c r="B121" s="19"/>
      <c r="F121" s="188" t="s">
        <v>261</v>
      </c>
      <c r="G121" s="157"/>
      <c r="H121" s="157"/>
      <c r="I121" s="157"/>
      <c r="R121" s="20"/>
      <c r="T121" s="54"/>
      <c r="AA121" s="55"/>
      <c r="AT121" s="6" t="s">
        <v>155</v>
      </c>
      <c r="AU121" s="6" t="s">
        <v>109</v>
      </c>
    </row>
    <row r="122" spans="2:63" s="103" customFormat="1" ht="37.5" customHeight="1">
      <c r="B122" s="104"/>
      <c r="D122" s="105" t="s">
        <v>125</v>
      </c>
      <c r="E122" s="105"/>
      <c r="F122" s="105"/>
      <c r="G122" s="105"/>
      <c r="H122" s="105"/>
      <c r="I122" s="105"/>
      <c r="J122" s="105"/>
      <c r="K122" s="105"/>
      <c r="L122" s="105"/>
      <c r="M122" s="105"/>
      <c r="N122" s="192">
        <f>$BK$122</f>
        <v>49395.64</v>
      </c>
      <c r="O122" s="193"/>
      <c r="P122" s="193"/>
      <c r="Q122" s="193"/>
      <c r="R122" s="107"/>
      <c r="T122" s="108"/>
      <c r="W122" s="109">
        <f>$W$123+$W$127+$W$136</f>
        <v>60.698668</v>
      </c>
      <c r="Y122" s="109">
        <f>$Y$123+$Y$127+$Y$136</f>
        <v>0.6984471000000001</v>
      </c>
      <c r="AA122" s="110">
        <f>$AA$123+$AA$127+$AA$136</f>
        <v>0.17</v>
      </c>
      <c r="AR122" s="106" t="s">
        <v>109</v>
      </c>
      <c r="AT122" s="106" t="s">
        <v>75</v>
      </c>
      <c r="AU122" s="106" t="s">
        <v>76</v>
      </c>
      <c r="AY122" s="106" t="s">
        <v>146</v>
      </c>
      <c r="BK122" s="111">
        <f>$BK$123+$BK$127+$BK$136</f>
        <v>49395.64</v>
      </c>
    </row>
    <row r="123" spans="2:63" s="103" customFormat="1" ht="21" customHeight="1">
      <c r="B123" s="104"/>
      <c r="D123" s="112" t="s">
        <v>127</v>
      </c>
      <c r="E123" s="112"/>
      <c r="F123" s="112"/>
      <c r="G123" s="112"/>
      <c r="H123" s="112"/>
      <c r="I123" s="112"/>
      <c r="J123" s="112"/>
      <c r="K123" s="112"/>
      <c r="L123" s="112"/>
      <c r="M123" s="112"/>
      <c r="N123" s="194">
        <f>$BK$123</f>
        <v>15816.18</v>
      </c>
      <c r="O123" s="193"/>
      <c r="P123" s="193"/>
      <c r="Q123" s="193"/>
      <c r="R123" s="107"/>
      <c r="T123" s="108"/>
      <c r="W123" s="109">
        <f>SUM($W$124:$W$126)</f>
        <v>21.08382</v>
      </c>
      <c r="Y123" s="109">
        <f>SUM($Y$124:$Y$126)</f>
        <v>0.5236000000000001</v>
      </c>
      <c r="AA123" s="110">
        <f>SUM($AA$124:$AA$126)</f>
        <v>0</v>
      </c>
      <c r="AR123" s="106" t="s">
        <v>109</v>
      </c>
      <c r="AT123" s="106" t="s">
        <v>75</v>
      </c>
      <c r="AU123" s="106" t="s">
        <v>19</v>
      </c>
      <c r="AY123" s="106" t="s">
        <v>146</v>
      </c>
      <c r="BK123" s="111">
        <f>SUM($BK$124:$BK$126)</f>
        <v>15816.18</v>
      </c>
    </row>
    <row r="124" spans="2:65" s="6" customFormat="1" ht="27" customHeight="1">
      <c r="B124" s="19"/>
      <c r="C124" s="113" t="s">
        <v>206</v>
      </c>
      <c r="D124" s="113" t="s">
        <v>148</v>
      </c>
      <c r="E124" s="114" t="s">
        <v>224</v>
      </c>
      <c r="F124" s="185" t="s">
        <v>225</v>
      </c>
      <c r="G124" s="186"/>
      <c r="H124" s="186"/>
      <c r="I124" s="186"/>
      <c r="J124" s="115" t="s">
        <v>159</v>
      </c>
      <c r="K124" s="116">
        <v>68</v>
      </c>
      <c r="L124" s="187">
        <v>229</v>
      </c>
      <c r="M124" s="186"/>
      <c r="N124" s="187">
        <f>ROUND($L$124*$K$124,2)</f>
        <v>15572</v>
      </c>
      <c r="O124" s="186"/>
      <c r="P124" s="186"/>
      <c r="Q124" s="186"/>
      <c r="R124" s="20"/>
      <c r="T124" s="117"/>
      <c r="U124" s="26" t="s">
        <v>41</v>
      </c>
      <c r="V124" s="118">
        <v>0.3</v>
      </c>
      <c r="W124" s="118">
        <f>$V$124*$K$124</f>
        <v>20.4</v>
      </c>
      <c r="X124" s="118">
        <v>0.0077</v>
      </c>
      <c r="Y124" s="118">
        <f>$X$124*$K$124</f>
        <v>0.5236000000000001</v>
      </c>
      <c r="Z124" s="118">
        <v>0</v>
      </c>
      <c r="AA124" s="119">
        <f>$Z$124*$K$124</f>
        <v>0</v>
      </c>
      <c r="AR124" s="6" t="s">
        <v>206</v>
      </c>
      <c r="AT124" s="6" t="s">
        <v>148</v>
      </c>
      <c r="AU124" s="6" t="s">
        <v>109</v>
      </c>
      <c r="AY124" s="6" t="s">
        <v>146</v>
      </c>
      <c r="BE124" s="120">
        <f>IF($U$124="základní",$N$124,0)</f>
        <v>15572</v>
      </c>
      <c r="BF124" s="120">
        <f>IF($U$124="snížená",$N$124,0)</f>
        <v>0</v>
      </c>
      <c r="BG124" s="120">
        <f>IF($U$124="zákl. přenesená",$N$124,0)</f>
        <v>0</v>
      </c>
      <c r="BH124" s="120">
        <f>IF($U$124="sníž. přenesená",$N$124,0)</f>
        <v>0</v>
      </c>
      <c r="BI124" s="120">
        <f>IF($U$124="nulová",$N$124,0)</f>
        <v>0</v>
      </c>
      <c r="BJ124" s="6" t="s">
        <v>19</v>
      </c>
      <c r="BK124" s="120">
        <f>ROUND($L$124*$K$124,2)</f>
        <v>15572</v>
      </c>
      <c r="BL124" s="6" t="s">
        <v>206</v>
      </c>
      <c r="BM124" s="6" t="s">
        <v>262</v>
      </c>
    </row>
    <row r="125" spans="2:47" s="6" customFormat="1" ht="18.75" customHeight="1">
      <c r="B125" s="19"/>
      <c r="F125" s="188" t="s">
        <v>263</v>
      </c>
      <c r="G125" s="157"/>
      <c r="H125" s="157"/>
      <c r="I125" s="157"/>
      <c r="R125" s="20"/>
      <c r="T125" s="54"/>
      <c r="AA125" s="55"/>
      <c r="AT125" s="6" t="s">
        <v>155</v>
      </c>
      <c r="AU125" s="6" t="s">
        <v>109</v>
      </c>
    </row>
    <row r="126" spans="2:65" s="6" customFormat="1" ht="27" customHeight="1">
      <c r="B126" s="19"/>
      <c r="C126" s="113" t="s">
        <v>19</v>
      </c>
      <c r="D126" s="113" t="s">
        <v>148</v>
      </c>
      <c r="E126" s="114" t="s">
        <v>228</v>
      </c>
      <c r="F126" s="185" t="s">
        <v>229</v>
      </c>
      <c r="G126" s="186"/>
      <c r="H126" s="186"/>
      <c r="I126" s="186"/>
      <c r="J126" s="115" t="s">
        <v>202</v>
      </c>
      <c r="K126" s="116">
        <v>0.524</v>
      </c>
      <c r="L126" s="187">
        <v>466</v>
      </c>
      <c r="M126" s="186"/>
      <c r="N126" s="187">
        <f>ROUND($L$126*$K$126,2)</f>
        <v>244.18</v>
      </c>
      <c r="O126" s="186"/>
      <c r="P126" s="186"/>
      <c r="Q126" s="186"/>
      <c r="R126" s="20"/>
      <c r="T126" s="117"/>
      <c r="U126" s="26" t="s">
        <v>41</v>
      </c>
      <c r="V126" s="118">
        <v>1.305</v>
      </c>
      <c r="W126" s="118">
        <f>$V$126*$K$126</f>
        <v>0.68382</v>
      </c>
      <c r="X126" s="118">
        <v>0</v>
      </c>
      <c r="Y126" s="118">
        <f>$X$126*$K$126</f>
        <v>0</v>
      </c>
      <c r="Z126" s="118">
        <v>0</v>
      </c>
      <c r="AA126" s="119">
        <f>$Z$126*$K$126</f>
        <v>0</v>
      </c>
      <c r="AR126" s="6" t="s">
        <v>152</v>
      </c>
      <c r="AT126" s="6" t="s">
        <v>148</v>
      </c>
      <c r="AU126" s="6" t="s">
        <v>109</v>
      </c>
      <c r="AY126" s="6" t="s">
        <v>146</v>
      </c>
      <c r="BE126" s="120">
        <f>IF($U$126="základní",$N$126,0)</f>
        <v>244.18</v>
      </c>
      <c r="BF126" s="120">
        <f>IF($U$126="snížená",$N$126,0)</f>
        <v>0</v>
      </c>
      <c r="BG126" s="120">
        <f>IF($U$126="zákl. přenesená",$N$126,0)</f>
        <v>0</v>
      </c>
      <c r="BH126" s="120">
        <f>IF($U$126="sníž. přenesená",$N$126,0)</f>
        <v>0</v>
      </c>
      <c r="BI126" s="120">
        <f>IF($U$126="nulová",$N$126,0)</f>
        <v>0</v>
      </c>
      <c r="BJ126" s="6" t="s">
        <v>19</v>
      </c>
      <c r="BK126" s="120">
        <f>ROUND($L$126*$K$126,2)</f>
        <v>244.18</v>
      </c>
      <c r="BL126" s="6" t="s">
        <v>152</v>
      </c>
      <c r="BM126" s="6" t="s">
        <v>264</v>
      </c>
    </row>
    <row r="127" spans="2:63" s="103" customFormat="1" ht="30.75" customHeight="1">
      <c r="B127" s="104"/>
      <c r="D127" s="112" t="s">
        <v>250</v>
      </c>
      <c r="E127" s="112"/>
      <c r="F127" s="112"/>
      <c r="G127" s="112"/>
      <c r="H127" s="112"/>
      <c r="I127" s="112"/>
      <c r="J127" s="112"/>
      <c r="K127" s="112"/>
      <c r="L127" s="112"/>
      <c r="M127" s="112"/>
      <c r="N127" s="194">
        <f>$BK$127</f>
        <v>6968.469999999999</v>
      </c>
      <c r="O127" s="193"/>
      <c r="P127" s="193"/>
      <c r="Q127" s="193"/>
      <c r="R127" s="107"/>
      <c r="T127" s="108"/>
      <c r="W127" s="109">
        <f>SUM($W$128:$W$135)</f>
        <v>15.571119999999999</v>
      </c>
      <c r="Y127" s="109">
        <f>SUM($Y$128:$Y$135)</f>
        <v>0.0233125</v>
      </c>
      <c r="AA127" s="110">
        <f>SUM($AA$128:$AA$135)</f>
        <v>0</v>
      </c>
      <c r="AR127" s="106" t="s">
        <v>109</v>
      </c>
      <c r="AT127" s="106" t="s">
        <v>75</v>
      </c>
      <c r="AU127" s="106" t="s">
        <v>19</v>
      </c>
      <c r="AY127" s="106" t="s">
        <v>146</v>
      </c>
      <c r="BK127" s="111">
        <f>SUM($BK$128:$BK$135)</f>
        <v>6968.469999999999</v>
      </c>
    </row>
    <row r="128" spans="2:65" s="6" customFormat="1" ht="27" customHeight="1">
      <c r="B128" s="19"/>
      <c r="C128" s="113" t="s">
        <v>265</v>
      </c>
      <c r="D128" s="113" t="s">
        <v>148</v>
      </c>
      <c r="E128" s="114" t="s">
        <v>266</v>
      </c>
      <c r="F128" s="185" t="s">
        <v>267</v>
      </c>
      <c r="G128" s="186"/>
      <c r="H128" s="186"/>
      <c r="I128" s="186"/>
      <c r="J128" s="115" t="s">
        <v>259</v>
      </c>
      <c r="K128" s="116">
        <v>1.25</v>
      </c>
      <c r="L128" s="187">
        <v>43.8</v>
      </c>
      <c r="M128" s="186"/>
      <c r="N128" s="187">
        <f>ROUND($L$128*$K$128,2)</f>
        <v>54.75</v>
      </c>
      <c r="O128" s="186"/>
      <c r="P128" s="186"/>
      <c r="Q128" s="186"/>
      <c r="R128" s="20"/>
      <c r="T128" s="117"/>
      <c r="U128" s="26" t="s">
        <v>41</v>
      </c>
      <c r="V128" s="118">
        <v>0.12</v>
      </c>
      <c r="W128" s="118">
        <f>$V$128*$K$128</f>
        <v>0.15</v>
      </c>
      <c r="X128" s="118">
        <v>4E-05</v>
      </c>
      <c r="Y128" s="118">
        <f>$X$128*$K$128</f>
        <v>5E-05</v>
      </c>
      <c r="Z128" s="118">
        <v>0</v>
      </c>
      <c r="AA128" s="119">
        <f>$Z$128*$K$128</f>
        <v>0</v>
      </c>
      <c r="AR128" s="6" t="s">
        <v>206</v>
      </c>
      <c r="AT128" s="6" t="s">
        <v>148</v>
      </c>
      <c r="AU128" s="6" t="s">
        <v>109</v>
      </c>
      <c r="AY128" s="6" t="s">
        <v>146</v>
      </c>
      <c r="BE128" s="120">
        <f>IF($U$128="základní",$N$128,0)</f>
        <v>54.75</v>
      </c>
      <c r="BF128" s="120">
        <f>IF($U$128="snížená",$N$128,0)</f>
        <v>0</v>
      </c>
      <c r="BG128" s="120">
        <f>IF($U$128="zákl. přenesená",$N$128,0)</f>
        <v>0</v>
      </c>
      <c r="BH128" s="120">
        <f>IF($U$128="sníž. přenesená",$N$128,0)</f>
        <v>0</v>
      </c>
      <c r="BI128" s="120">
        <f>IF($U$128="nulová",$N$128,0)</f>
        <v>0</v>
      </c>
      <c r="BJ128" s="6" t="s">
        <v>19</v>
      </c>
      <c r="BK128" s="120">
        <f>ROUND($L$128*$K$128,2)</f>
        <v>54.75</v>
      </c>
      <c r="BL128" s="6" t="s">
        <v>206</v>
      </c>
      <c r="BM128" s="6" t="s">
        <v>268</v>
      </c>
    </row>
    <row r="129" spans="2:65" s="6" customFormat="1" ht="15.75" customHeight="1">
      <c r="B129" s="19"/>
      <c r="C129" s="121" t="s">
        <v>265</v>
      </c>
      <c r="D129" s="121" t="s">
        <v>188</v>
      </c>
      <c r="E129" s="122" t="s">
        <v>269</v>
      </c>
      <c r="F129" s="189" t="s">
        <v>270</v>
      </c>
      <c r="G129" s="190"/>
      <c r="H129" s="190"/>
      <c r="I129" s="190"/>
      <c r="J129" s="123" t="s">
        <v>259</v>
      </c>
      <c r="K129" s="124">
        <v>1.25</v>
      </c>
      <c r="L129" s="191">
        <v>183</v>
      </c>
      <c r="M129" s="190"/>
      <c r="N129" s="191">
        <f>ROUND($L$129*$K$129,2)</f>
        <v>228.75</v>
      </c>
      <c r="O129" s="186"/>
      <c r="P129" s="186"/>
      <c r="Q129" s="186"/>
      <c r="R129" s="20"/>
      <c r="T129" s="117"/>
      <c r="U129" s="26" t="s">
        <v>41</v>
      </c>
      <c r="V129" s="118">
        <v>0</v>
      </c>
      <c r="W129" s="118">
        <f>$V$129*$K$129</f>
        <v>0</v>
      </c>
      <c r="X129" s="118">
        <v>0.00017</v>
      </c>
      <c r="Y129" s="118">
        <f>$X$129*$K$129</f>
        <v>0.00021250000000000002</v>
      </c>
      <c r="Z129" s="118">
        <v>0</v>
      </c>
      <c r="AA129" s="119">
        <f>$Z$129*$K$129</f>
        <v>0</v>
      </c>
      <c r="AR129" s="6" t="s">
        <v>219</v>
      </c>
      <c r="AT129" s="6" t="s">
        <v>188</v>
      </c>
      <c r="AU129" s="6" t="s">
        <v>109</v>
      </c>
      <c r="AY129" s="6" t="s">
        <v>146</v>
      </c>
      <c r="BE129" s="120">
        <f>IF($U$129="základní",$N$129,0)</f>
        <v>228.75</v>
      </c>
      <c r="BF129" s="120">
        <f>IF($U$129="snížená",$N$129,0)</f>
        <v>0</v>
      </c>
      <c r="BG129" s="120">
        <f>IF($U$129="zákl. přenesená",$N$129,0)</f>
        <v>0</v>
      </c>
      <c r="BH129" s="120">
        <f>IF($U$129="sníž. přenesená",$N$129,0)</f>
        <v>0</v>
      </c>
      <c r="BI129" s="120">
        <f>IF($U$129="nulová",$N$129,0)</f>
        <v>0</v>
      </c>
      <c r="BJ129" s="6" t="s">
        <v>19</v>
      </c>
      <c r="BK129" s="120">
        <f>ROUND($L$129*$K$129,2)</f>
        <v>228.75</v>
      </c>
      <c r="BL129" s="6" t="s">
        <v>206</v>
      </c>
      <c r="BM129" s="6" t="s">
        <v>271</v>
      </c>
    </row>
    <row r="130" spans="2:65" s="6" customFormat="1" ht="39" customHeight="1">
      <c r="B130" s="19"/>
      <c r="C130" s="113" t="s">
        <v>272</v>
      </c>
      <c r="D130" s="113" t="s">
        <v>148</v>
      </c>
      <c r="E130" s="114" t="s">
        <v>273</v>
      </c>
      <c r="F130" s="185" t="s">
        <v>274</v>
      </c>
      <c r="G130" s="186"/>
      <c r="H130" s="186"/>
      <c r="I130" s="186"/>
      <c r="J130" s="115" t="s">
        <v>159</v>
      </c>
      <c r="K130" s="116">
        <v>25</v>
      </c>
      <c r="L130" s="187">
        <v>214</v>
      </c>
      <c r="M130" s="186"/>
      <c r="N130" s="187">
        <f>ROUND($L$130*$K$130,2)</f>
        <v>5350</v>
      </c>
      <c r="O130" s="186"/>
      <c r="P130" s="186"/>
      <c r="Q130" s="186"/>
      <c r="R130" s="20"/>
      <c r="T130" s="117"/>
      <c r="U130" s="26" t="s">
        <v>41</v>
      </c>
      <c r="V130" s="118">
        <v>0.575</v>
      </c>
      <c r="W130" s="118">
        <f>$V$130*$K$130</f>
        <v>14.374999999999998</v>
      </c>
      <c r="X130" s="118">
        <v>0.00013</v>
      </c>
      <c r="Y130" s="118">
        <f>$X$130*$K$130</f>
        <v>0.00325</v>
      </c>
      <c r="Z130" s="118">
        <v>0</v>
      </c>
      <c r="AA130" s="119">
        <f>$Z$130*$K$130</f>
        <v>0</v>
      </c>
      <c r="AR130" s="6" t="s">
        <v>206</v>
      </c>
      <c r="AT130" s="6" t="s">
        <v>148</v>
      </c>
      <c r="AU130" s="6" t="s">
        <v>109</v>
      </c>
      <c r="AY130" s="6" t="s">
        <v>146</v>
      </c>
      <c r="BE130" s="120">
        <f>IF($U$130="základní",$N$130,0)</f>
        <v>5350</v>
      </c>
      <c r="BF130" s="120">
        <f>IF($U$130="snížená",$N$130,0)</f>
        <v>0</v>
      </c>
      <c r="BG130" s="120">
        <f>IF($U$130="zákl. přenesená",$N$130,0)</f>
        <v>0</v>
      </c>
      <c r="BH130" s="120">
        <f>IF($U$130="sníž. přenesená",$N$130,0)</f>
        <v>0</v>
      </c>
      <c r="BI130" s="120">
        <f>IF($U$130="nulová",$N$130,0)</f>
        <v>0</v>
      </c>
      <c r="BJ130" s="6" t="s">
        <v>19</v>
      </c>
      <c r="BK130" s="120">
        <f>ROUND($L$130*$K$130,2)</f>
        <v>5350</v>
      </c>
      <c r="BL130" s="6" t="s">
        <v>206</v>
      </c>
      <c r="BM130" s="6" t="s">
        <v>275</v>
      </c>
    </row>
    <row r="131" spans="2:47" s="6" customFormat="1" ht="30.75" customHeight="1">
      <c r="B131" s="19"/>
      <c r="F131" s="188" t="s">
        <v>276</v>
      </c>
      <c r="G131" s="157"/>
      <c r="H131" s="157"/>
      <c r="I131" s="157"/>
      <c r="R131" s="20"/>
      <c r="T131" s="54"/>
      <c r="AA131" s="55"/>
      <c r="AT131" s="6" t="s">
        <v>155</v>
      </c>
      <c r="AU131" s="6" t="s">
        <v>109</v>
      </c>
    </row>
    <row r="132" spans="2:65" s="6" customFormat="1" ht="27" customHeight="1">
      <c r="B132" s="19"/>
      <c r="C132" s="113" t="s">
        <v>277</v>
      </c>
      <c r="D132" s="113" t="s">
        <v>148</v>
      </c>
      <c r="E132" s="114" t="s">
        <v>278</v>
      </c>
      <c r="F132" s="185" t="s">
        <v>279</v>
      </c>
      <c r="G132" s="186"/>
      <c r="H132" s="186"/>
      <c r="I132" s="186"/>
      <c r="J132" s="115" t="s">
        <v>159</v>
      </c>
      <c r="K132" s="116">
        <v>22</v>
      </c>
      <c r="L132" s="187">
        <v>13.6</v>
      </c>
      <c r="M132" s="186"/>
      <c r="N132" s="187">
        <f>ROUND($L$132*$K$132,2)</f>
        <v>299.2</v>
      </c>
      <c r="O132" s="186"/>
      <c r="P132" s="186"/>
      <c r="Q132" s="186"/>
      <c r="R132" s="20"/>
      <c r="T132" s="117"/>
      <c r="U132" s="26" t="s">
        <v>41</v>
      </c>
      <c r="V132" s="118">
        <v>0.045</v>
      </c>
      <c r="W132" s="118">
        <f>$V$132*$K$132</f>
        <v>0.99</v>
      </c>
      <c r="X132" s="118">
        <v>0</v>
      </c>
      <c r="Y132" s="118">
        <f>$X$132*$K$132</f>
        <v>0</v>
      </c>
      <c r="Z132" s="118">
        <v>0</v>
      </c>
      <c r="AA132" s="119">
        <f>$Z$132*$K$132</f>
        <v>0</v>
      </c>
      <c r="AR132" s="6" t="s">
        <v>206</v>
      </c>
      <c r="AT132" s="6" t="s">
        <v>148</v>
      </c>
      <c r="AU132" s="6" t="s">
        <v>109</v>
      </c>
      <c r="AY132" s="6" t="s">
        <v>146</v>
      </c>
      <c r="BE132" s="120">
        <f>IF($U$132="základní",$N$132,0)</f>
        <v>299.2</v>
      </c>
      <c r="BF132" s="120">
        <f>IF($U$132="snížená",$N$132,0)</f>
        <v>0</v>
      </c>
      <c r="BG132" s="120">
        <f>IF($U$132="zákl. přenesená",$N$132,0)</f>
        <v>0</v>
      </c>
      <c r="BH132" s="120">
        <f>IF($U$132="sníž. přenesená",$N$132,0)</f>
        <v>0</v>
      </c>
      <c r="BI132" s="120">
        <f>IF($U$132="nulová",$N$132,0)</f>
        <v>0</v>
      </c>
      <c r="BJ132" s="6" t="s">
        <v>19</v>
      </c>
      <c r="BK132" s="120">
        <f>ROUND($L$132*$K$132,2)</f>
        <v>299.2</v>
      </c>
      <c r="BL132" s="6" t="s">
        <v>206</v>
      </c>
      <c r="BM132" s="6" t="s">
        <v>280</v>
      </c>
    </row>
    <row r="133" spans="2:65" s="6" customFormat="1" ht="27" customHeight="1">
      <c r="B133" s="19"/>
      <c r="C133" s="121" t="s">
        <v>277</v>
      </c>
      <c r="D133" s="121" t="s">
        <v>188</v>
      </c>
      <c r="E133" s="122" t="s">
        <v>281</v>
      </c>
      <c r="F133" s="189" t="s">
        <v>282</v>
      </c>
      <c r="G133" s="190"/>
      <c r="H133" s="190"/>
      <c r="I133" s="190"/>
      <c r="J133" s="123" t="s">
        <v>159</v>
      </c>
      <c r="K133" s="124">
        <v>22</v>
      </c>
      <c r="L133" s="191">
        <v>46.2</v>
      </c>
      <c r="M133" s="190"/>
      <c r="N133" s="191">
        <f>ROUND($L$133*$K$133,2)</f>
        <v>1016.4</v>
      </c>
      <c r="O133" s="186"/>
      <c r="P133" s="186"/>
      <c r="Q133" s="186"/>
      <c r="R133" s="20"/>
      <c r="T133" s="117"/>
      <c r="U133" s="26" t="s">
        <v>41</v>
      </c>
      <c r="V133" s="118">
        <v>0</v>
      </c>
      <c r="W133" s="118">
        <f>$V$133*$K$133</f>
        <v>0</v>
      </c>
      <c r="X133" s="118">
        <v>0.0009</v>
      </c>
      <c r="Y133" s="118">
        <f>$X$133*$K$133</f>
        <v>0.019799999999999998</v>
      </c>
      <c r="Z133" s="118">
        <v>0</v>
      </c>
      <c r="AA133" s="119">
        <f>$Z$133*$K$133</f>
        <v>0</v>
      </c>
      <c r="AR133" s="6" t="s">
        <v>219</v>
      </c>
      <c r="AT133" s="6" t="s">
        <v>188</v>
      </c>
      <c r="AU133" s="6" t="s">
        <v>109</v>
      </c>
      <c r="AY133" s="6" t="s">
        <v>146</v>
      </c>
      <c r="BE133" s="120">
        <f>IF($U$133="základní",$N$133,0)</f>
        <v>1016.4</v>
      </c>
      <c r="BF133" s="120">
        <f>IF($U$133="snížená",$N$133,0)</f>
        <v>0</v>
      </c>
      <c r="BG133" s="120">
        <f>IF($U$133="zákl. přenesená",$N$133,0)</f>
        <v>0</v>
      </c>
      <c r="BH133" s="120">
        <f>IF($U$133="sníž. přenesená",$N$133,0)</f>
        <v>0</v>
      </c>
      <c r="BI133" s="120">
        <f>IF($U$133="nulová",$N$133,0)</f>
        <v>0</v>
      </c>
      <c r="BJ133" s="6" t="s">
        <v>19</v>
      </c>
      <c r="BK133" s="120">
        <f>ROUND($L$133*$K$133,2)</f>
        <v>1016.4</v>
      </c>
      <c r="BL133" s="6" t="s">
        <v>206</v>
      </c>
      <c r="BM133" s="6" t="s">
        <v>283</v>
      </c>
    </row>
    <row r="134" spans="2:47" s="6" customFormat="1" ht="18.75" customHeight="1">
      <c r="B134" s="19"/>
      <c r="F134" s="188" t="s">
        <v>284</v>
      </c>
      <c r="G134" s="157"/>
      <c r="H134" s="157"/>
      <c r="I134" s="157"/>
      <c r="R134" s="20"/>
      <c r="T134" s="54"/>
      <c r="AA134" s="55"/>
      <c r="AT134" s="6" t="s">
        <v>155</v>
      </c>
      <c r="AU134" s="6" t="s">
        <v>109</v>
      </c>
    </row>
    <row r="135" spans="2:65" s="6" customFormat="1" ht="27" customHeight="1">
      <c r="B135" s="19"/>
      <c r="C135" s="113" t="s">
        <v>19</v>
      </c>
      <c r="D135" s="113" t="s">
        <v>148</v>
      </c>
      <c r="E135" s="114" t="s">
        <v>285</v>
      </c>
      <c r="F135" s="185" t="s">
        <v>286</v>
      </c>
      <c r="G135" s="186"/>
      <c r="H135" s="186"/>
      <c r="I135" s="186"/>
      <c r="J135" s="115" t="s">
        <v>202</v>
      </c>
      <c r="K135" s="116">
        <v>0.023</v>
      </c>
      <c r="L135" s="187">
        <v>842</v>
      </c>
      <c r="M135" s="186"/>
      <c r="N135" s="187">
        <f>ROUND($L$135*$K$135,2)</f>
        <v>19.37</v>
      </c>
      <c r="O135" s="186"/>
      <c r="P135" s="186"/>
      <c r="Q135" s="186"/>
      <c r="R135" s="20"/>
      <c r="T135" s="117"/>
      <c r="U135" s="26" t="s">
        <v>41</v>
      </c>
      <c r="V135" s="118">
        <v>2.44</v>
      </c>
      <c r="W135" s="118">
        <f>$V$135*$K$135</f>
        <v>0.056119999999999996</v>
      </c>
      <c r="X135" s="118">
        <v>0</v>
      </c>
      <c r="Y135" s="118">
        <f>$X$135*$K$135</f>
        <v>0</v>
      </c>
      <c r="Z135" s="118">
        <v>0</v>
      </c>
      <c r="AA135" s="119">
        <f>$Z$135*$K$135</f>
        <v>0</v>
      </c>
      <c r="AR135" s="6" t="s">
        <v>206</v>
      </c>
      <c r="AT135" s="6" t="s">
        <v>148</v>
      </c>
      <c r="AU135" s="6" t="s">
        <v>109</v>
      </c>
      <c r="AY135" s="6" t="s">
        <v>146</v>
      </c>
      <c r="BE135" s="120">
        <f>IF($U$135="základní",$N$135,0)</f>
        <v>19.37</v>
      </c>
      <c r="BF135" s="120">
        <f>IF($U$135="snížená",$N$135,0)</f>
        <v>0</v>
      </c>
      <c r="BG135" s="120">
        <f>IF($U$135="zákl. přenesená",$N$135,0)</f>
        <v>0</v>
      </c>
      <c r="BH135" s="120">
        <f>IF($U$135="sníž. přenesená",$N$135,0)</f>
        <v>0</v>
      </c>
      <c r="BI135" s="120">
        <f>IF($U$135="nulová",$N$135,0)</f>
        <v>0</v>
      </c>
      <c r="BJ135" s="6" t="s">
        <v>19</v>
      </c>
      <c r="BK135" s="120">
        <f>ROUND($L$135*$K$135,2)</f>
        <v>19.37</v>
      </c>
      <c r="BL135" s="6" t="s">
        <v>206</v>
      </c>
      <c r="BM135" s="6" t="s">
        <v>287</v>
      </c>
    </row>
    <row r="136" spans="2:63" s="103" customFormat="1" ht="30.75" customHeight="1">
      <c r="B136" s="104"/>
      <c r="D136" s="112" t="s">
        <v>251</v>
      </c>
      <c r="E136" s="112"/>
      <c r="F136" s="112"/>
      <c r="G136" s="112"/>
      <c r="H136" s="112"/>
      <c r="I136" s="112"/>
      <c r="J136" s="112"/>
      <c r="K136" s="112"/>
      <c r="L136" s="112"/>
      <c r="M136" s="112"/>
      <c r="N136" s="194">
        <f>$BK$136</f>
        <v>26610.989999999998</v>
      </c>
      <c r="O136" s="193"/>
      <c r="P136" s="193"/>
      <c r="Q136" s="193"/>
      <c r="R136" s="107"/>
      <c r="T136" s="108"/>
      <c r="W136" s="109">
        <f>SUM($W$137:$W$147)</f>
        <v>24.043728</v>
      </c>
      <c r="Y136" s="109">
        <f>SUM($Y$137:$Y$147)</f>
        <v>0.15153460000000002</v>
      </c>
      <c r="AA136" s="110">
        <f>SUM($AA$137:$AA$147)</f>
        <v>0.17</v>
      </c>
      <c r="AR136" s="106" t="s">
        <v>109</v>
      </c>
      <c r="AT136" s="106" t="s">
        <v>75</v>
      </c>
      <c r="AU136" s="106" t="s">
        <v>19</v>
      </c>
      <c r="AY136" s="106" t="s">
        <v>146</v>
      </c>
      <c r="BK136" s="111">
        <f>SUM($BK$137:$BK$147)</f>
        <v>26610.989999999998</v>
      </c>
    </row>
    <row r="137" spans="2:65" s="6" customFormat="1" ht="27" customHeight="1">
      <c r="B137" s="19"/>
      <c r="C137" s="113" t="s">
        <v>288</v>
      </c>
      <c r="D137" s="113" t="s">
        <v>148</v>
      </c>
      <c r="E137" s="114" t="s">
        <v>289</v>
      </c>
      <c r="F137" s="185" t="s">
        <v>290</v>
      </c>
      <c r="G137" s="186"/>
      <c r="H137" s="186"/>
      <c r="I137" s="186"/>
      <c r="J137" s="115" t="s">
        <v>159</v>
      </c>
      <c r="K137" s="116">
        <v>68</v>
      </c>
      <c r="L137" s="187">
        <v>38.2</v>
      </c>
      <c r="M137" s="186"/>
      <c r="N137" s="187">
        <f>ROUND($L$137*$K$137,2)</f>
        <v>2597.6</v>
      </c>
      <c r="O137" s="186"/>
      <c r="P137" s="186"/>
      <c r="Q137" s="186"/>
      <c r="R137" s="20"/>
      <c r="T137" s="117"/>
      <c r="U137" s="26" t="s">
        <v>41</v>
      </c>
      <c r="V137" s="118">
        <v>0.105</v>
      </c>
      <c r="W137" s="118">
        <f>$V$137*$K$137</f>
        <v>7.14</v>
      </c>
      <c r="X137" s="118">
        <v>0</v>
      </c>
      <c r="Y137" s="118">
        <f>$X$137*$K$137</f>
        <v>0</v>
      </c>
      <c r="Z137" s="118">
        <v>0.0025</v>
      </c>
      <c r="AA137" s="119">
        <f>$Z$137*$K$137</f>
        <v>0.17</v>
      </c>
      <c r="AR137" s="6" t="s">
        <v>206</v>
      </c>
      <c r="AT137" s="6" t="s">
        <v>148</v>
      </c>
      <c r="AU137" s="6" t="s">
        <v>109</v>
      </c>
      <c r="AY137" s="6" t="s">
        <v>146</v>
      </c>
      <c r="BE137" s="120">
        <f>IF($U$137="základní",$N$137,0)</f>
        <v>2597.6</v>
      </c>
      <c r="BF137" s="120">
        <f>IF($U$137="snížená",$N$137,0)</f>
        <v>0</v>
      </c>
      <c r="BG137" s="120">
        <f>IF($U$137="zákl. přenesená",$N$137,0)</f>
        <v>0</v>
      </c>
      <c r="BH137" s="120">
        <f>IF($U$137="sníž. přenesená",$N$137,0)</f>
        <v>0</v>
      </c>
      <c r="BI137" s="120">
        <f>IF($U$137="nulová",$N$137,0)</f>
        <v>0</v>
      </c>
      <c r="BJ137" s="6" t="s">
        <v>19</v>
      </c>
      <c r="BK137" s="120">
        <f>ROUND($L$137*$K$137,2)</f>
        <v>2597.6</v>
      </c>
      <c r="BL137" s="6" t="s">
        <v>206</v>
      </c>
      <c r="BM137" s="6" t="s">
        <v>291</v>
      </c>
    </row>
    <row r="138" spans="2:47" s="6" customFormat="1" ht="18.75" customHeight="1">
      <c r="B138" s="19"/>
      <c r="F138" s="188" t="s">
        <v>292</v>
      </c>
      <c r="G138" s="157"/>
      <c r="H138" s="157"/>
      <c r="I138" s="157"/>
      <c r="R138" s="20"/>
      <c r="T138" s="54"/>
      <c r="AA138" s="55"/>
      <c r="AT138" s="6" t="s">
        <v>155</v>
      </c>
      <c r="AU138" s="6" t="s">
        <v>109</v>
      </c>
    </row>
    <row r="139" spans="2:65" s="6" customFormat="1" ht="15.75" customHeight="1">
      <c r="B139" s="19"/>
      <c r="C139" s="113" t="s">
        <v>7</v>
      </c>
      <c r="D139" s="113" t="s">
        <v>148</v>
      </c>
      <c r="E139" s="114" t="s">
        <v>293</v>
      </c>
      <c r="F139" s="185" t="s">
        <v>294</v>
      </c>
      <c r="G139" s="186"/>
      <c r="H139" s="186"/>
      <c r="I139" s="186"/>
      <c r="J139" s="115" t="s">
        <v>159</v>
      </c>
      <c r="K139" s="116">
        <v>22.8</v>
      </c>
      <c r="L139" s="187">
        <v>107</v>
      </c>
      <c r="M139" s="186"/>
      <c r="N139" s="187">
        <f>ROUND($L$139*$K$139,2)</f>
        <v>2439.6</v>
      </c>
      <c r="O139" s="186"/>
      <c r="P139" s="186"/>
      <c r="Q139" s="186"/>
      <c r="R139" s="20"/>
      <c r="T139" s="117"/>
      <c r="U139" s="26" t="s">
        <v>41</v>
      </c>
      <c r="V139" s="118">
        <v>0.233</v>
      </c>
      <c r="W139" s="118">
        <f>$V$139*$K$139</f>
        <v>5.3124</v>
      </c>
      <c r="X139" s="118">
        <v>0.0003</v>
      </c>
      <c r="Y139" s="118">
        <f>$X$139*$K$139</f>
        <v>0.00684</v>
      </c>
      <c r="Z139" s="118">
        <v>0</v>
      </c>
      <c r="AA139" s="119">
        <f>$Z$139*$K$139</f>
        <v>0</v>
      </c>
      <c r="AR139" s="6" t="s">
        <v>206</v>
      </c>
      <c r="AT139" s="6" t="s">
        <v>148</v>
      </c>
      <c r="AU139" s="6" t="s">
        <v>109</v>
      </c>
      <c r="AY139" s="6" t="s">
        <v>146</v>
      </c>
      <c r="BE139" s="120">
        <f>IF($U$139="základní",$N$139,0)</f>
        <v>2439.6</v>
      </c>
      <c r="BF139" s="120">
        <f>IF($U$139="snížená",$N$139,0)</f>
        <v>0</v>
      </c>
      <c r="BG139" s="120">
        <f>IF($U$139="zákl. přenesená",$N$139,0)</f>
        <v>0</v>
      </c>
      <c r="BH139" s="120">
        <f>IF($U$139="sníž. přenesená",$N$139,0)</f>
        <v>0</v>
      </c>
      <c r="BI139" s="120">
        <f>IF($U$139="nulová",$N$139,0)</f>
        <v>0</v>
      </c>
      <c r="BJ139" s="6" t="s">
        <v>19</v>
      </c>
      <c r="BK139" s="120">
        <f>ROUND($L$139*$K$139,2)</f>
        <v>2439.6</v>
      </c>
      <c r="BL139" s="6" t="s">
        <v>206</v>
      </c>
      <c r="BM139" s="6" t="s">
        <v>295</v>
      </c>
    </row>
    <row r="140" spans="2:47" s="6" customFormat="1" ht="18.75" customHeight="1">
      <c r="B140" s="19"/>
      <c r="F140" s="188" t="s">
        <v>296</v>
      </c>
      <c r="G140" s="157"/>
      <c r="H140" s="157"/>
      <c r="I140" s="157"/>
      <c r="R140" s="20"/>
      <c r="T140" s="54"/>
      <c r="AA140" s="55"/>
      <c r="AT140" s="6" t="s">
        <v>155</v>
      </c>
      <c r="AU140" s="6" t="s">
        <v>109</v>
      </c>
    </row>
    <row r="141" spans="2:65" s="6" customFormat="1" ht="15.75" customHeight="1">
      <c r="B141" s="19"/>
      <c r="C141" s="121" t="s">
        <v>7</v>
      </c>
      <c r="D141" s="121" t="s">
        <v>188</v>
      </c>
      <c r="E141" s="122" t="s">
        <v>297</v>
      </c>
      <c r="F141" s="189" t="s">
        <v>298</v>
      </c>
      <c r="G141" s="190"/>
      <c r="H141" s="190"/>
      <c r="I141" s="190"/>
      <c r="J141" s="123" t="s">
        <v>159</v>
      </c>
      <c r="K141" s="124">
        <v>25.08</v>
      </c>
      <c r="L141" s="191">
        <v>528</v>
      </c>
      <c r="M141" s="190"/>
      <c r="N141" s="191">
        <f>ROUND($L$141*$K$141,2)</f>
        <v>13242.24</v>
      </c>
      <c r="O141" s="186"/>
      <c r="P141" s="186"/>
      <c r="Q141" s="186"/>
      <c r="R141" s="20"/>
      <c r="T141" s="117"/>
      <c r="U141" s="26" t="s">
        <v>41</v>
      </c>
      <c r="V141" s="118">
        <v>0</v>
      </c>
      <c r="W141" s="118">
        <f>$V$141*$K$141</f>
        <v>0</v>
      </c>
      <c r="X141" s="118">
        <v>0.00287</v>
      </c>
      <c r="Y141" s="118">
        <f>$X$141*$K$141</f>
        <v>0.0719796</v>
      </c>
      <c r="Z141" s="118">
        <v>0</v>
      </c>
      <c r="AA141" s="119">
        <f>$Z$141*$K$141</f>
        <v>0</v>
      </c>
      <c r="AR141" s="6" t="s">
        <v>219</v>
      </c>
      <c r="AT141" s="6" t="s">
        <v>188</v>
      </c>
      <c r="AU141" s="6" t="s">
        <v>109</v>
      </c>
      <c r="AY141" s="6" t="s">
        <v>146</v>
      </c>
      <c r="BE141" s="120">
        <f>IF($U$141="základní",$N$141,0)</f>
        <v>13242.24</v>
      </c>
      <c r="BF141" s="120">
        <f>IF($U$141="snížená",$N$141,0)</f>
        <v>0</v>
      </c>
      <c r="BG141" s="120">
        <f>IF($U$141="zákl. přenesená",$N$141,0)</f>
        <v>0</v>
      </c>
      <c r="BH141" s="120">
        <f>IF($U$141="sníž. přenesená",$N$141,0)</f>
        <v>0</v>
      </c>
      <c r="BI141" s="120">
        <f>IF($U$141="nulová",$N$141,0)</f>
        <v>0</v>
      </c>
      <c r="BJ141" s="6" t="s">
        <v>19</v>
      </c>
      <c r="BK141" s="120">
        <f>ROUND($L$141*$K$141,2)</f>
        <v>13242.24</v>
      </c>
      <c r="BL141" s="6" t="s">
        <v>206</v>
      </c>
      <c r="BM141" s="6" t="s">
        <v>299</v>
      </c>
    </row>
    <row r="142" spans="2:65" s="6" customFormat="1" ht="15.75" customHeight="1">
      <c r="B142" s="19"/>
      <c r="C142" s="113" t="s">
        <v>300</v>
      </c>
      <c r="D142" s="113" t="s">
        <v>148</v>
      </c>
      <c r="E142" s="114" t="s">
        <v>301</v>
      </c>
      <c r="F142" s="185" t="s">
        <v>302</v>
      </c>
      <c r="G142" s="186"/>
      <c r="H142" s="186"/>
      <c r="I142" s="186"/>
      <c r="J142" s="115" t="s">
        <v>259</v>
      </c>
      <c r="K142" s="116">
        <v>23</v>
      </c>
      <c r="L142" s="187">
        <v>79.4</v>
      </c>
      <c r="M142" s="186"/>
      <c r="N142" s="187">
        <f>ROUND($L$142*$K$142,2)</f>
        <v>1826.2</v>
      </c>
      <c r="O142" s="186"/>
      <c r="P142" s="186"/>
      <c r="Q142" s="186"/>
      <c r="R142" s="20"/>
      <c r="T142" s="117"/>
      <c r="U142" s="26" t="s">
        <v>41</v>
      </c>
      <c r="V142" s="118">
        <v>0.167</v>
      </c>
      <c r="W142" s="118">
        <f>$V$142*$K$142</f>
        <v>3.841</v>
      </c>
      <c r="X142" s="118">
        <v>0.00012</v>
      </c>
      <c r="Y142" s="118">
        <f>$X$142*$K$142</f>
        <v>0.00276</v>
      </c>
      <c r="Z142" s="118">
        <v>0</v>
      </c>
      <c r="AA142" s="119">
        <f>$Z$142*$K$142</f>
        <v>0</v>
      </c>
      <c r="AR142" s="6" t="s">
        <v>206</v>
      </c>
      <c r="AT142" s="6" t="s">
        <v>148</v>
      </c>
      <c r="AU142" s="6" t="s">
        <v>109</v>
      </c>
      <c r="AY142" s="6" t="s">
        <v>146</v>
      </c>
      <c r="BE142" s="120">
        <f>IF($U$142="základní",$N$142,0)</f>
        <v>1826.2</v>
      </c>
      <c r="BF142" s="120">
        <f>IF($U$142="snížená",$N$142,0)</f>
        <v>0</v>
      </c>
      <c r="BG142" s="120">
        <f>IF($U$142="zákl. přenesená",$N$142,0)</f>
        <v>0</v>
      </c>
      <c r="BH142" s="120">
        <f>IF($U$142="sníž. přenesená",$N$142,0)</f>
        <v>0</v>
      </c>
      <c r="BI142" s="120">
        <f>IF($U$142="nulová",$N$142,0)</f>
        <v>0</v>
      </c>
      <c r="BJ142" s="6" t="s">
        <v>19</v>
      </c>
      <c r="BK142" s="120">
        <f>ROUND($L$142*$K$142,2)</f>
        <v>1826.2</v>
      </c>
      <c r="BL142" s="6" t="s">
        <v>206</v>
      </c>
      <c r="BM142" s="6" t="s">
        <v>303</v>
      </c>
    </row>
    <row r="143" spans="2:65" s="6" customFormat="1" ht="27" customHeight="1">
      <c r="B143" s="19"/>
      <c r="C143" s="121" t="s">
        <v>300</v>
      </c>
      <c r="D143" s="121" t="s">
        <v>188</v>
      </c>
      <c r="E143" s="122" t="s">
        <v>304</v>
      </c>
      <c r="F143" s="189" t="s">
        <v>305</v>
      </c>
      <c r="G143" s="190"/>
      <c r="H143" s="190"/>
      <c r="I143" s="190"/>
      <c r="J143" s="123" t="s">
        <v>159</v>
      </c>
      <c r="K143" s="124">
        <v>25.3</v>
      </c>
      <c r="L143" s="191">
        <v>225</v>
      </c>
      <c r="M143" s="190"/>
      <c r="N143" s="191">
        <f>ROUND($L$143*$K$143,2)</f>
        <v>5692.5</v>
      </c>
      <c r="O143" s="186"/>
      <c r="P143" s="186"/>
      <c r="Q143" s="186"/>
      <c r="R143" s="20"/>
      <c r="T143" s="117"/>
      <c r="U143" s="26" t="s">
        <v>41</v>
      </c>
      <c r="V143" s="118">
        <v>0</v>
      </c>
      <c r="W143" s="118">
        <f>$V$143*$K$143</f>
        <v>0</v>
      </c>
      <c r="X143" s="118">
        <v>0.00235</v>
      </c>
      <c r="Y143" s="118">
        <f>$X$143*$K$143</f>
        <v>0.059455</v>
      </c>
      <c r="Z143" s="118">
        <v>0</v>
      </c>
      <c r="AA143" s="119">
        <f>$Z$143*$K$143</f>
        <v>0</v>
      </c>
      <c r="AR143" s="6" t="s">
        <v>219</v>
      </c>
      <c r="AT143" s="6" t="s">
        <v>188</v>
      </c>
      <c r="AU143" s="6" t="s">
        <v>109</v>
      </c>
      <c r="AY143" s="6" t="s">
        <v>146</v>
      </c>
      <c r="BE143" s="120">
        <f>IF($U$143="základní",$N$143,0)</f>
        <v>5692.5</v>
      </c>
      <c r="BF143" s="120">
        <f>IF($U$143="snížená",$N$143,0)</f>
        <v>0</v>
      </c>
      <c r="BG143" s="120">
        <f>IF($U$143="zákl. přenesená",$N$143,0)</f>
        <v>0</v>
      </c>
      <c r="BH143" s="120">
        <f>IF($U$143="sníž. přenesená",$N$143,0)</f>
        <v>0</v>
      </c>
      <c r="BI143" s="120">
        <f>IF($U$143="nulová",$N$143,0)</f>
        <v>0</v>
      </c>
      <c r="BJ143" s="6" t="s">
        <v>19</v>
      </c>
      <c r="BK143" s="120">
        <f>ROUND($L$143*$K$143,2)</f>
        <v>5692.5</v>
      </c>
      <c r="BL143" s="6" t="s">
        <v>206</v>
      </c>
      <c r="BM143" s="6" t="s">
        <v>306</v>
      </c>
    </row>
    <row r="144" spans="2:47" s="6" customFormat="1" ht="18.75" customHeight="1">
      <c r="B144" s="19"/>
      <c r="F144" s="188" t="s">
        <v>307</v>
      </c>
      <c r="G144" s="157"/>
      <c r="H144" s="157"/>
      <c r="I144" s="157"/>
      <c r="R144" s="20"/>
      <c r="T144" s="54"/>
      <c r="AA144" s="55"/>
      <c r="AT144" s="6" t="s">
        <v>155</v>
      </c>
      <c r="AU144" s="6" t="s">
        <v>109</v>
      </c>
    </row>
    <row r="145" spans="2:65" s="6" customFormat="1" ht="15.75" customHeight="1">
      <c r="B145" s="19"/>
      <c r="C145" s="113" t="s">
        <v>308</v>
      </c>
      <c r="D145" s="113" t="s">
        <v>148</v>
      </c>
      <c r="E145" s="114" t="s">
        <v>309</v>
      </c>
      <c r="F145" s="185" t="s">
        <v>310</v>
      </c>
      <c r="G145" s="186"/>
      <c r="H145" s="186"/>
      <c r="I145" s="186"/>
      <c r="J145" s="115" t="s">
        <v>259</v>
      </c>
      <c r="K145" s="116">
        <v>21</v>
      </c>
      <c r="L145" s="187">
        <v>36</v>
      </c>
      <c r="M145" s="186"/>
      <c r="N145" s="187">
        <f>ROUND($L$145*$K$145,2)</f>
        <v>756</v>
      </c>
      <c r="O145" s="186"/>
      <c r="P145" s="186"/>
      <c r="Q145" s="186"/>
      <c r="R145" s="20"/>
      <c r="T145" s="117"/>
      <c r="U145" s="26" t="s">
        <v>41</v>
      </c>
      <c r="V145" s="118">
        <v>0.361</v>
      </c>
      <c r="W145" s="118">
        <f>$V$145*$K$145</f>
        <v>7.5809999999999995</v>
      </c>
      <c r="X145" s="118">
        <v>0.0005</v>
      </c>
      <c r="Y145" s="118">
        <f>$X$145*$K$145</f>
        <v>0.0105</v>
      </c>
      <c r="Z145" s="118">
        <v>0</v>
      </c>
      <c r="AA145" s="119">
        <f>$Z$145*$K$145</f>
        <v>0</v>
      </c>
      <c r="AR145" s="6" t="s">
        <v>206</v>
      </c>
      <c r="AT145" s="6" t="s">
        <v>148</v>
      </c>
      <c r="AU145" s="6" t="s">
        <v>109</v>
      </c>
      <c r="AY145" s="6" t="s">
        <v>146</v>
      </c>
      <c r="BE145" s="120">
        <f>IF($U$145="základní",$N$145,0)</f>
        <v>756</v>
      </c>
      <c r="BF145" s="120">
        <f>IF($U$145="snížená",$N$145,0)</f>
        <v>0</v>
      </c>
      <c r="BG145" s="120">
        <f>IF($U$145="zákl. přenesená",$N$145,0)</f>
        <v>0</v>
      </c>
      <c r="BH145" s="120">
        <f>IF($U$145="sníž. přenesená",$N$145,0)</f>
        <v>0</v>
      </c>
      <c r="BI145" s="120">
        <f>IF($U$145="nulová",$N$145,0)</f>
        <v>0</v>
      </c>
      <c r="BJ145" s="6" t="s">
        <v>19</v>
      </c>
      <c r="BK145" s="120">
        <f>ROUND($L$145*$K$145,2)</f>
        <v>756</v>
      </c>
      <c r="BL145" s="6" t="s">
        <v>206</v>
      </c>
      <c r="BM145" s="6" t="s">
        <v>311</v>
      </c>
    </row>
    <row r="146" spans="2:47" s="6" customFormat="1" ht="18.75" customHeight="1">
      <c r="B146" s="19"/>
      <c r="F146" s="188" t="s">
        <v>312</v>
      </c>
      <c r="G146" s="157"/>
      <c r="H146" s="157"/>
      <c r="I146" s="157"/>
      <c r="R146" s="20"/>
      <c r="T146" s="54"/>
      <c r="AA146" s="55"/>
      <c r="AT146" s="6" t="s">
        <v>155</v>
      </c>
      <c r="AU146" s="6" t="s">
        <v>109</v>
      </c>
    </row>
    <row r="147" spans="2:65" s="6" customFormat="1" ht="27" customHeight="1">
      <c r="B147" s="19"/>
      <c r="C147" s="113" t="s">
        <v>19</v>
      </c>
      <c r="D147" s="113" t="s">
        <v>148</v>
      </c>
      <c r="E147" s="114" t="s">
        <v>313</v>
      </c>
      <c r="F147" s="185" t="s">
        <v>314</v>
      </c>
      <c r="G147" s="186"/>
      <c r="H147" s="186"/>
      <c r="I147" s="186"/>
      <c r="J147" s="115" t="s">
        <v>202</v>
      </c>
      <c r="K147" s="116">
        <v>0.152</v>
      </c>
      <c r="L147" s="187">
        <v>374</v>
      </c>
      <c r="M147" s="186"/>
      <c r="N147" s="187">
        <f>ROUND($L$147*$K$147,2)</f>
        <v>56.85</v>
      </c>
      <c r="O147" s="186"/>
      <c r="P147" s="186"/>
      <c r="Q147" s="186"/>
      <c r="R147" s="20"/>
      <c r="T147" s="117"/>
      <c r="U147" s="126" t="s">
        <v>41</v>
      </c>
      <c r="V147" s="127">
        <v>1.114</v>
      </c>
      <c r="W147" s="127">
        <f>$V$147*$K$147</f>
        <v>0.169328</v>
      </c>
      <c r="X147" s="127">
        <v>0</v>
      </c>
      <c r="Y147" s="127">
        <f>$X$147*$K$147</f>
        <v>0</v>
      </c>
      <c r="Z147" s="127">
        <v>0</v>
      </c>
      <c r="AA147" s="128">
        <f>$Z$147*$K$147</f>
        <v>0</v>
      </c>
      <c r="AR147" s="6" t="s">
        <v>206</v>
      </c>
      <c r="AT147" s="6" t="s">
        <v>148</v>
      </c>
      <c r="AU147" s="6" t="s">
        <v>109</v>
      </c>
      <c r="AY147" s="6" t="s">
        <v>146</v>
      </c>
      <c r="BE147" s="120">
        <f>IF($U$147="základní",$N$147,0)</f>
        <v>56.85</v>
      </c>
      <c r="BF147" s="120">
        <f>IF($U$147="snížená",$N$147,0)</f>
        <v>0</v>
      </c>
      <c r="BG147" s="120">
        <f>IF($U$147="zákl. přenesená",$N$147,0)</f>
        <v>0</v>
      </c>
      <c r="BH147" s="120">
        <f>IF($U$147="sníž. přenesená",$N$147,0)</f>
        <v>0</v>
      </c>
      <c r="BI147" s="120">
        <f>IF($U$147="nulová",$N$147,0)</f>
        <v>0</v>
      </c>
      <c r="BJ147" s="6" t="s">
        <v>19</v>
      </c>
      <c r="BK147" s="120">
        <f>ROUND($L$147*$K$147,2)</f>
        <v>56.85</v>
      </c>
      <c r="BL147" s="6" t="s">
        <v>206</v>
      </c>
      <c r="BM147" s="6" t="s">
        <v>315</v>
      </c>
    </row>
    <row r="148" spans="2:18" s="6" customFormat="1" ht="7.5" customHeight="1">
      <c r="B148" s="41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3"/>
    </row>
    <row r="169" s="2" customFormat="1" ht="14.25" customHeight="1"/>
  </sheetData>
  <sheetProtection/>
  <mergeCells count="123">
    <mergeCell ref="S2:AC2"/>
    <mergeCell ref="N117:Q117"/>
    <mergeCell ref="N122:Q122"/>
    <mergeCell ref="N123:Q123"/>
    <mergeCell ref="N127:Q127"/>
    <mergeCell ref="N136:Q136"/>
    <mergeCell ref="M111:Q111"/>
    <mergeCell ref="M112:Q112"/>
    <mergeCell ref="N96:Q96"/>
    <mergeCell ref="L98:Q98"/>
    <mergeCell ref="H1:K1"/>
    <mergeCell ref="F144:I144"/>
    <mergeCell ref="F145:I145"/>
    <mergeCell ref="L145:M145"/>
    <mergeCell ref="N145:Q145"/>
    <mergeCell ref="F146:I146"/>
    <mergeCell ref="F138:I138"/>
    <mergeCell ref="F139:I139"/>
    <mergeCell ref="L139:M139"/>
    <mergeCell ref="N139:Q139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0:I140"/>
    <mergeCell ref="F141:I141"/>
    <mergeCell ref="L141:M141"/>
    <mergeCell ref="N141:Q141"/>
    <mergeCell ref="F134:I134"/>
    <mergeCell ref="F135:I135"/>
    <mergeCell ref="L135:M135"/>
    <mergeCell ref="N135:Q135"/>
    <mergeCell ref="F137:I137"/>
    <mergeCell ref="L137:M137"/>
    <mergeCell ref="N137:Q137"/>
    <mergeCell ref="F131:I131"/>
    <mergeCell ref="F132:I132"/>
    <mergeCell ref="L132:M132"/>
    <mergeCell ref="N132:Q132"/>
    <mergeCell ref="F133:I133"/>
    <mergeCell ref="L133:M133"/>
    <mergeCell ref="N133:Q133"/>
    <mergeCell ref="F129:I129"/>
    <mergeCell ref="L129:M129"/>
    <mergeCell ref="N129:Q129"/>
    <mergeCell ref="F130:I130"/>
    <mergeCell ref="L130:M130"/>
    <mergeCell ref="N130:Q130"/>
    <mergeCell ref="F125:I125"/>
    <mergeCell ref="F126:I126"/>
    <mergeCell ref="L126:M126"/>
    <mergeCell ref="N126:Q126"/>
    <mergeCell ref="F128:I128"/>
    <mergeCell ref="L128:M128"/>
    <mergeCell ref="N128:Q128"/>
    <mergeCell ref="F119:I119"/>
    <mergeCell ref="F120:I120"/>
    <mergeCell ref="L120:M120"/>
    <mergeCell ref="N120:Q120"/>
    <mergeCell ref="F121:I121"/>
    <mergeCell ref="F124:I124"/>
    <mergeCell ref="L124:M124"/>
    <mergeCell ref="N124:Q124"/>
    <mergeCell ref="F114:I114"/>
    <mergeCell ref="L114:M114"/>
    <mergeCell ref="N114:Q114"/>
    <mergeCell ref="F118:I118"/>
    <mergeCell ref="L118:M118"/>
    <mergeCell ref="N118:Q118"/>
    <mergeCell ref="N115:Q115"/>
    <mergeCell ref="N116:Q116"/>
    <mergeCell ref="C104:Q104"/>
    <mergeCell ref="F106:P106"/>
    <mergeCell ref="F107:P107"/>
    <mergeCell ref="M109:P109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showGridLines="0" zoomScalePageLayoutView="0" workbookViewId="0" topLeftCell="A1">
      <pane ySplit="1" topLeftCell="A29" activePane="bottomLeft" state="frozen"/>
      <selection pane="topLeft" activeCell="A1" sqref="A1"/>
      <selection pane="bottomLeft" activeCell="A40" sqref="A40:IV7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0"/>
      <c r="B1" s="137"/>
      <c r="C1" s="137"/>
      <c r="D1" s="138" t="s">
        <v>1</v>
      </c>
      <c r="E1" s="137"/>
      <c r="F1" s="139" t="s">
        <v>538</v>
      </c>
      <c r="G1" s="139"/>
      <c r="H1" s="196" t="s">
        <v>539</v>
      </c>
      <c r="I1" s="196"/>
      <c r="J1" s="196"/>
      <c r="K1" s="196"/>
      <c r="L1" s="139" t="s">
        <v>540</v>
      </c>
      <c r="M1" s="137"/>
      <c r="N1" s="137"/>
      <c r="O1" s="138" t="s">
        <v>108</v>
      </c>
      <c r="P1" s="137"/>
      <c r="Q1" s="137"/>
      <c r="R1" s="137"/>
      <c r="S1" s="139" t="s">
        <v>541</v>
      </c>
      <c r="T1" s="139"/>
      <c r="U1" s="140"/>
      <c r="V1" s="1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68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89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109</v>
      </c>
    </row>
    <row r="4" spans="2:46" s="2" customFormat="1" ht="37.5" customHeight="1">
      <c r="B4" s="10"/>
      <c r="C4" s="143" t="s">
        <v>110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3" t="str">
        <f>'Rekapitulace stavby'!$K$6</f>
        <v>UK-stavební práce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111</v>
      </c>
      <c r="F7" s="145" t="s">
        <v>316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74" t="str">
        <f>'Rekapitulace stavby'!$AN$8</f>
        <v>23.10.2016</v>
      </c>
      <c r="P9" s="157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4" t="s">
        <v>28</v>
      </c>
      <c r="P11" s="157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144" t="s">
        <v>31</v>
      </c>
      <c r="P12" s="157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144">
        <f>IF('Rekapitulace stavby'!$AN$13="","",'Rekapitulace stavby'!$AN$13)</f>
      </c>
      <c r="P14" s="157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30</v>
      </c>
      <c r="O15" s="144">
        <f>IF('Rekapitulace stavby'!$AN$14="","",'Rekapitulace stavby'!$AN$14)</f>
      </c>
      <c r="P15" s="157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33</v>
      </c>
      <c r="M17" s="16" t="s">
        <v>27</v>
      </c>
      <c r="O17" s="144">
        <f>IF('Rekapitulace stavby'!$AN$16="","",'Rekapitulace stavby'!$AN$16)</f>
      </c>
      <c r="P17" s="157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30</v>
      </c>
      <c r="O18" s="144">
        <f>IF('Rekapitulace stavby'!$AN$17="","",'Rekapitulace stavby'!$AN$17)</f>
      </c>
      <c r="P18" s="157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35</v>
      </c>
      <c r="M20" s="16" t="s">
        <v>27</v>
      </c>
      <c r="O20" s="144">
        <f>IF('Rekapitulace stavby'!$AN$19="","",'Rekapitulace stavby'!$AN$19)</f>
      </c>
      <c r="P20" s="157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30</v>
      </c>
      <c r="O21" s="144">
        <f>IF('Rekapitulace stavby'!$AN$20="","",'Rekapitulace stavby'!$AN$20)</f>
      </c>
      <c r="P21" s="157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36</v>
      </c>
      <c r="R23" s="20"/>
    </row>
    <row r="24" spans="2:18" s="80" customFormat="1" ht="15.75" customHeight="1">
      <c r="B24" s="81"/>
      <c r="E24" s="146"/>
      <c r="F24" s="175"/>
      <c r="G24" s="175"/>
      <c r="H24" s="175"/>
      <c r="I24" s="175"/>
      <c r="J24" s="175"/>
      <c r="K24" s="175"/>
      <c r="L24" s="175"/>
      <c r="R24" s="82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3" t="s">
        <v>113</v>
      </c>
      <c r="M27" s="147">
        <f>$N$88</f>
        <v>4059.7500000000005</v>
      </c>
      <c r="N27" s="157"/>
      <c r="O27" s="157"/>
      <c r="P27" s="157"/>
      <c r="R27" s="20"/>
    </row>
    <row r="28" spans="2:18" s="6" customFormat="1" ht="15" customHeight="1">
      <c r="B28" s="19"/>
      <c r="D28" s="18" t="s">
        <v>114</v>
      </c>
      <c r="M28" s="147">
        <f>$N$93</f>
        <v>0</v>
      </c>
      <c r="N28" s="157"/>
      <c r="O28" s="157"/>
      <c r="P28" s="157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4" t="s">
        <v>39</v>
      </c>
      <c r="M30" s="176">
        <f>ROUND($M$27+$M$28,2)</f>
        <v>4059.75</v>
      </c>
      <c r="N30" s="157"/>
      <c r="O30" s="157"/>
      <c r="P30" s="157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40</v>
      </c>
      <c r="E32" s="24" t="s">
        <v>41</v>
      </c>
      <c r="F32" s="25">
        <v>0.21</v>
      </c>
      <c r="G32" s="85" t="s">
        <v>42</v>
      </c>
      <c r="H32" s="177">
        <f>ROUND((SUM($BE$93:$BE$94)+SUM($BE$112:$BE$127)),2)</f>
        <v>4059.75</v>
      </c>
      <c r="I32" s="157"/>
      <c r="J32" s="157"/>
      <c r="M32" s="177">
        <f>ROUND(ROUND((SUM($BE$93:$BE$94)+SUM($BE$112:$BE$127)),2)*$F$32,2)</f>
        <v>852.55</v>
      </c>
      <c r="N32" s="157"/>
      <c r="O32" s="157"/>
      <c r="P32" s="157"/>
      <c r="R32" s="20"/>
    </row>
    <row r="33" spans="2:18" s="6" customFormat="1" ht="15" customHeight="1">
      <c r="B33" s="19"/>
      <c r="E33" s="24" t="s">
        <v>43</v>
      </c>
      <c r="F33" s="25">
        <v>0.15</v>
      </c>
      <c r="G33" s="85" t="s">
        <v>42</v>
      </c>
      <c r="H33" s="177">
        <f>ROUND((SUM($BF$93:$BF$94)+SUM($BF$112:$BF$127)),2)</f>
        <v>0</v>
      </c>
      <c r="I33" s="157"/>
      <c r="J33" s="157"/>
      <c r="M33" s="177">
        <f>ROUND(ROUND((SUM($BF$93:$BF$94)+SUM($BF$112:$BF$127)),2)*$F$33,2)</f>
        <v>0</v>
      </c>
      <c r="N33" s="157"/>
      <c r="O33" s="157"/>
      <c r="P33" s="157"/>
      <c r="R33" s="20"/>
    </row>
    <row r="34" spans="2:18" s="6" customFormat="1" ht="15" customHeight="1" hidden="1">
      <c r="B34" s="19"/>
      <c r="E34" s="24" t="s">
        <v>44</v>
      </c>
      <c r="F34" s="25">
        <v>0.21</v>
      </c>
      <c r="G34" s="85" t="s">
        <v>42</v>
      </c>
      <c r="H34" s="177">
        <f>ROUND((SUM($BG$93:$BG$94)+SUM($BG$112:$BG$127)),2)</f>
        <v>0</v>
      </c>
      <c r="I34" s="157"/>
      <c r="J34" s="157"/>
      <c r="M34" s="177">
        <v>0</v>
      </c>
      <c r="N34" s="157"/>
      <c r="O34" s="157"/>
      <c r="P34" s="157"/>
      <c r="R34" s="20"/>
    </row>
    <row r="35" spans="2:18" s="6" customFormat="1" ht="15" customHeight="1" hidden="1">
      <c r="B35" s="19"/>
      <c r="E35" s="24" t="s">
        <v>45</v>
      </c>
      <c r="F35" s="25">
        <v>0.15</v>
      </c>
      <c r="G35" s="85" t="s">
        <v>42</v>
      </c>
      <c r="H35" s="177">
        <f>ROUND((SUM($BH$93:$BH$94)+SUM($BH$112:$BH$127)),2)</f>
        <v>0</v>
      </c>
      <c r="I35" s="157"/>
      <c r="J35" s="157"/>
      <c r="M35" s="177">
        <v>0</v>
      </c>
      <c r="N35" s="157"/>
      <c r="O35" s="157"/>
      <c r="P35" s="157"/>
      <c r="R35" s="20"/>
    </row>
    <row r="36" spans="2:18" s="6" customFormat="1" ht="15" customHeight="1" hidden="1">
      <c r="B36" s="19"/>
      <c r="E36" s="24" t="s">
        <v>46</v>
      </c>
      <c r="F36" s="25">
        <v>0</v>
      </c>
      <c r="G36" s="85" t="s">
        <v>42</v>
      </c>
      <c r="H36" s="177">
        <f>ROUND((SUM($BI$93:$BI$94)+SUM($BI$112:$BI$127)),2)</f>
        <v>0</v>
      </c>
      <c r="I36" s="157"/>
      <c r="J36" s="157"/>
      <c r="M36" s="177">
        <v>0</v>
      </c>
      <c r="N36" s="157"/>
      <c r="O36" s="157"/>
      <c r="P36" s="157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47</v>
      </c>
      <c r="E38" s="30"/>
      <c r="F38" s="30"/>
      <c r="G38" s="86" t="s">
        <v>48</v>
      </c>
      <c r="H38" s="31" t="s">
        <v>49</v>
      </c>
      <c r="I38" s="30"/>
      <c r="J38" s="30"/>
      <c r="K38" s="30"/>
      <c r="L38" s="155">
        <f>SUM($M$30:$M$36)</f>
        <v>4912.3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 hidden="1">
      <c r="B40" s="19"/>
      <c r="R40" s="20"/>
    </row>
    <row r="41" spans="2:18" s="2" customFormat="1" ht="14.25" customHeight="1" hidden="1">
      <c r="B41" s="10"/>
      <c r="R41" s="11"/>
    </row>
    <row r="42" spans="2:18" s="2" customFormat="1" ht="14.25" customHeight="1" hidden="1">
      <c r="B42" s="10"/>
      <c r="R42" s="11"/>
    </row>
    <row r="43" spans="2:18" s="2" customFormat="1" ht="14.25" customHeight="1" hidden="1">
      <c r="B43" s="10"/>
      <c r="R43" s="11"/>
    </row>
    <row r="44" spans="2:18" s="2" customFormat="1" ht="14.25" customHeight="1" hidden="1">
      <c r="B44" s="10"/>
      <c r="R44" s="11"/>
    </row>
    <row r="45" spans="2:18" s="2" customFormat="1" ht="14.25" customHeight="1" hidden="1">
      <c r="B45" s="10"/>
      <c r="R45" s="11"/>
    </row>
    <row r="46" spans="2:18" s="2" customFormat="1" ht="14.25" customHeight="1" hidden="1">
      <c r="B46" s="10"/>
      <c r="R46" s="11"/>
    </row>
    <row r="47" spans="2:18" s="2" customFormat="1" ht="14.25" customHeight="1" hidden="1">
      <c r="B47" s="10"/>
      <c r="R47" s="11"/>
    </row>
    <row r="48" spans="2:18" s="2" customFormat="1" ht="14.25" customHeight="1" hidden="1">
      <c r="B48" s="10"/>
      <c r="R48" s="11"/>
    </row>
    <row r="49" spans="2:18" s="2" customFormat="1" ht="14.25" customHeight="1" hidden="1">
      <c r="B49" s="10"/>
      <c r="R49" s="11"/>
    </row>
    <row r="50" spans="2:18" s="6" customFormat="1" ht="15.75" customHeight="1" hidden="1">
      <c r="B50" s="19"/>
      <c r="D50" s="32" t="s">
        <v>50</v>
      </c>
      <c r="E50" s="33"/>
      <c r="F50" s="33"/>
      <c r="G50" s="33"/>
      <c r="H50" s="34"/>
      <c r="J50" s="32" t="s">
        <v>51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 hidden="1">
      <c r="B51" s="10"/>
      <c r="D51" s="35"/>
      <c r="H51" s="36"/>
      <c r="J51" s="35"/>
      <c r="P51" s="36"/>
      <c r="R51" s="11"/>
    </row>
    <row r="52" spans="2:18" s="2" customFormat="1" ht="14.25" customHeight="1" hidden="1">
      <c r="B52" s="10"/>
      <c r="D52" s="35"/>
      <c r="H52" s="36"/>
      <c r="J52" s="35"/>
      <c r="P52" s="36"/>
      <c r="R52" s="11"/>
    </row>
    <row r="53" spans="2:18" s="2" customFormat="1" ht="14.25" customHeight="1" hidden="1">
      <c r="B53" s="10"/>
      <c r="D53" s="35"/>
      <c r="H53" s="36"/>
      <c r="J53" s="35"/>
      <c r="P53" s="36"/>
      <c r="R53" s="11"/>
    </row>
    <row r="54" spans="2:18" s="2" customFormat="1" ht="14.25" customHeight="1" hidden="1">
      <c r="B54" s="10"/>
      <c r="D54" s="35"/>
      <c r="H54" s="36"/>
      <c r="J54" s="35"/>
      <c r="P54" s="36"/>
      <c r="R54" s="11"/>
    </row>
    <row r="55" spans="2:18" s="2" customFormat="1" ht="14.25" customHeight="1" hidden="1">
      <c r="B55" s="10"/>
      <c r="D55" s="35"/>
      <c r="H55" s="36"/>
      <c r="J55" s="35"/>
      <c r="P55" s="36"/>
      <c r="R55" s="11"/>
    </row>
    <row r="56" spans="2:18" s="2" customFormat="1" ht="14.25" customHeight="1" hidden="1">
      <c r="B56" s="10"/>
      <c r="D56" s="35"/>
      <c r="H56" s="36"/>
      <c r="J56" s="35"/>
      <c r="P56" s="36"/>
      <c r="R56" s="11"/>
    </row>
    <row r="57" spans="2:18" s="2" customFormat="1" ht="14.25" customHeight="1" hidden="1">
      <c r="B57" s="10"/>
      <c r="D57" s="35"/>
      <c r="H57" s="36"/>
      <c r="J57" s="35"/>
      <c r="P57" s="36"/>
      <c r="R57" s="11"/>
    </row>
    <row r="58" spans="2:18" s="2" customFormat="1" ht="14.25" customHeight="1" hidden="1">
      <c r="B58" s="10"/>
      <c r="D58" s="35"/>
      <c r="H58" s="36"/>
      <c r="J58" s="35"/>
      <c r="P58" s="36"/>
      <c r="R58" s="11"/>
    </row>
    <row r="59" spans="2:18" s="6" customFormat="1" ht="15.75" customHeight="1" hidden="1">
      <c r="B59" s="19"/>
      <c r="D59" s="37" t="s">
        <v>52</v>
      </c>
      <c r="E59" s="38"/>
      <c r="F59" s="38"/>
      <c r="G59" s="39" t="s">
        <v>53</v>
      </c>
      <c r="H59" s="40"/>
      <c r="J59" s="37" t="s">
        <v>52</v>
      </c>
      <c r="K59" s="38"/>
      <c r="L59" s="38"/>
      <c r="M59" s="38"/>
      <c r="N59" s="39" t="s">
        <v>53</v>
      </c>
      <c r="O59" s="38"/>
      <c r="P59" s="40"/>
      <c r="R59" s="20"/>
    </row>
    <row r="60" spans="2:18" s="2" customFormat="1" ht="14.25" customHeight="1" hidden="1">
      <c r="B60" s="10"/>
      <c r="R60" s="11"/>
    </row>
    <row r="61" spans="2:18" s="6" customFormat="1" ht="15.75" customHeight="1" hidden="1">
      <c r="B61" s="19"/>
      <c r="D61" s="32" t="s">
        <v>54</v>
      </c>
      <c r="E61" s="33"/>
      <c r="F61" s="33"/>
      <c r="G61" s="33"/>
      <c r="H61" s="34"/>
      <c r="J61" s="32" t="s">
        <v>55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 hidden="1">
      <c r="B62" s="10"/>
      <c r="D62" s="35"/>
      <c r="H62" s="36"/>
      <c r="J62" s="35"/>
      <c r="P62" s="36"/>
      <c r="R62" s="11"/>
    </row>
    <row r="63" spans="2:18" s="2" customFormat="1" ht="14.25" customHeight="1" hidden="1">
      <c r="B63" s="10"/>
      <c r="D63" s="35"/>
      <c r="H63" s="36"/>
      <c r="J63" s="35"/>
      <c r="P63" s="36"/>
      <c r="R63" s="11"/>
    </row>
    <row r="64" spans="2:18" s="2" customFormat="1" ht="14.25" customHeight="1" hidden="1">
      <c r="B64" s="10"/>
      <c r="D64" s="35"/>
      <c r="H64" s="36"/>
      <c r="J64" s="35"/>
      <c r="P64" s="36"/>
      <c r="R64" s="11"/>
    </row>
    <row r="65" spans="2:18" s="2" customFormat="1" ht="14.25" customHeight="1" hidden="1">
      <c r="B65" s="10"/>
      <c r="D65" s="35"/>
      <c r="H65" s="36"/>
      <c r="J65" s="35"/>
      <c r="P65" s="36"/>
      <c r="R65" s="11"/>
    </row>
    <row r="66" spans="2:18" s="2" customFormat="1" ht="14.25" customHeight="1" hidden="1">
      <c r="B66" s="10"/>
      <c r="D66" s="35"/>
      <c r="H66" s="36"/>
      <c r="J66" s="35"/>
      <c r="P66" s="36"/>
      <c r="R66" s="11"/>
    </row>
    <row r="67" spans="2:18" s="2" customFormat="1" ht="14.25" customHeight="1" hidden="1">
      <c r="B67" s="10"/>
      <c r="D67" s="35"/>
      <c r="H67" s="36"/>
      <c r="J67" s="35"/>
      <c r="P67" s="36"/>
      <c r="R67" s="11"/>
    </row>
    <row r="68" spans="2:18" s="2" customFormat="1" ht="14.25" customHeight="1" hidden="1">
      <c r="B68" s="10"/>
      <c r="D68" s="35"/>
      <c r="H68" s="36"/>
      <c r="J68" s="35"/>
      <c r="P68" s="36"/>
      <c r="R68" s="11"/>
    </row>
    <row r="69" spans="2:18" s="2" customFormat="1" ht="14.25" customHeight="1" hidden="1">
      <c r="B69" s="10"/>
      <c r="D69" s="35"/>
      <c r="H69" s="36"/>
      <c r="J69" s="35"/>
      <c r="P69" s="36"/>
      <c r="R69" s="11"/>
    </row>
    <row r="70" spans="2:18" s="6" customFormat="1" ht="15.75" customHeight="1" hidden="1">
      <c r="B70" s="19"/>
      <c r="D70" s="37" t="s">
        <v>52</v>
      </c>
      <c r="E70" s="38"/>
      <c r="F70" s="38"/>
      <c r="G70" s="39" t="s">
        <v>53</v>
      </c>
      <c r="H70" s="40"/>
      <c r="J70" s="37" t="s">
        <v>52</v>
      </c>
      <c r="K70" s="38"/>
      <c r="L70" s="38"/>
      <c r="M70" s="38"/>
      <c r="N70" s="39" t="s">
        <v>53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3" t="s">
        <v>115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3" t="str">
        <f>$F$6</f>
        <v>UK-stavební práce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R78" s="20"/>
    </row>
    <row r="79" spans="2:18" s="6" customFormat="1" ht="37.5" customHeight="1">
      <c r="B79" s="19"/>
      <c r="C79" s="49" t="s">
        <v>111</v>
      </c>
      <c r="F79" s="158" t="str">
        <f>$F$7</f>
        <v>A3 - Stavební práce - Ostatní stavební práce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74" t="str">
        <f>IF($O$9="","",$O$9)</f>
        <v>23.10.2016</v>
      </c>
      <c r="N81" s="157"/>
      <c r="O81" s="157"/>
      <c r="P81" s="157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Univerzita Karlova - Správa budov a zařízení</v>
      </c>
      <c r="K83" s="16" t="s">
        <v>33</v>
      </c>
      <c r="M83" s="144" t="str">
        <f>$E$18</f>
        <v> </v>
      </c>
      <c r="N83" s="157"/>
      <c r="O83" s="157"/>
      <c r="P83" s="157"/>
      <c r="Q83" s="157"/>
      <c r="R83" s="20"/>
    </row>
    <row r="84" spans="2:18" s="6" customFormat="1" ht="15" customHeight="1">
      <c r="B84" s="19"/>
      <c r="C84" s="16" t="s">
        <v>32</v>
      </c>
      <c r="F84" s="14" t="str">
        <f>IF($E$15="","",$E$15)</f>
        <v> </v>
      </c>
      <c r="K84" s="16" t="s">
        <v>35</v>
      </c>
      <c r="M84" s="144" t="str">
        <f>$E$21</f>
        <v> </v>
      </c>
      <c r="N84" s="157"/>
      <c r="O84" s="157"/>
      <c r="P84" s="157"/>
      <c r="Q84" s="157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78" t="s">
        <v>116</v>
      </c>
      <c r="D86" s="172"/>
      <c r="E86" s="172"/>
      <c r="F86" s="172"/>
      <c r="G86" s="172"/>
      <c r="H86" s="28"/>
      <c r="I86" s="28"/>
      <c r="J86" s="28"/>
      <c r="K86" s="28"/>
      <c r="L86" s="28"/>
      <c r="M86" s="28"/>
      <c r="N86" s="178" t="s">
        <v>117</v>
      </c>
      <c r="O86" s="157"/>
      <c r="P86" s="157"/>
      <c r="Q86" s="157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1" t="s">
        <v>118</v>
      </c>
      <c r="N88" s="169">
        <f>$N$112</f>
        <v>4059.7500000000005</v>
      </c>
      <c r="O88" s="157"/>
      <c r="P88" s="157"/>
      <c r="Q88" s="157"/>
      <c r="R88" s="20"/>
      <c r="AU88" s="6" t="s">
        <v>119</v>
      </c>
    </row>
    <row r="89" spans="2:18" s="66" customFormat="1" ht="25.5" customHeight="1">
      <c r="B89" s="87"/>
      <c r="D89" s="88" t="s">
        <v>125</v>
      </c>
      <c r="N89" s="179">
        <f>$N$113</f>
        <v>4059.7500000000005</v>
      </c>
      <c r="O89" s="180"/>
      <c r="P89" s="180"/>
      <c r="Q89" s="180"/>
      <c r="R89" s="89"/>
    </row>
    <row r="90" spans="2:18" s="83" customFormat="1" ht="21" customHeight="1">
      <c r="B90" s="90"/>
      <c r="D90" s="91" t="s">
        <v>317</v>
      </c>
      <c r="N90" s="181">
        <f>$N$114</f>
        <v>4008.2300000000005</v>
      </c>
      <c r="O90" s="180"/>
      <c r="P90" s="180"/>
      <c r="Q90" s="180"/>
      <c r="R90" s="92"/>
    </row>
    <row r="91" spans="2:18" s="83" customFormat="1" ht="21" customHeight="1">
      <c r="B91" s="90"/>
      <c r="D91" s="91" t="s">
        <v>318</v>
      </c>
      <c r="N91" s="181">
        <f>$N$125</f>
        <v>51.52</v>
      </c>
      <c r="O91" s="180"/>
      <c r="P91" s="180"/>
      <c r="Q91" s="180"/>
      <c r="R91" s="92"/>
    </row>
    <row r="92" spans="2:18" s="6" customFormat="1" ht="22.5" customHeight="1">
      <c r="B92" s="19"/>
      <c r="R92" s="20"/>
    </row>
    <row r="93" spans="2:21" s="6" customFormat="1" ht="30" customHeight="1">
      <c r="B93" s="19"/>
      <c r="C93" s="61" t="s">
        <v>130</v>
      </c>
      <c r="N93" s="169">
        <v>0</v>
      </c>
      <c r="O93" s="157"/>
      <c r="P93" s="157"/>
      <c r="Q93" s="157"/>
      <c r="R93" s="20"/>
      <c r="T93" s="93"/>
      <c r="U93" s="94" t="s">
        <v>40</v>
      </c>
    </row>
    <row r="94" spans="2:18" s="6" customFormat="1" ht="18.75" customHeight="1">
      <c r="B94" s="19"/>
      <c r="R94" s="20"/>
    </row>
    <row r="95" spans="2:18" s="6" customFormat="1" ht="30" customHeight="1">
      <c r="B95" s="19"/>
      <c r="C95" s="79" t="s">
        <v>107</v>
      </c>
      <c r="D95" s="28"/>
      <c r="E95" s="28"/>
      <c r="F95" s="28"/>
      <c r="G95" s="28"/>
      <c r="H95" s="28"/>
      <c r="I95" s="28"/>
      <c r="J95" s="28"/>
      <c r="K95" s="28"/>
      <c r="L95" s="171">
        <f>ROUND(SUM($N$88+$N$93),2)</f>
        <v>4059.75</v>
      </c>
      <c r="M95" s="172"/>
      <c r="N95" s="172"/>
      <c r="O95" s="172"/>
      <c r="P95" s="172"/>
      <c r="Q95" s="172"/>
      <c r="R95" s="20"/>
    </row>
    <row r="96" spans="2:18" s="6" customFormat="1" ht="7.5" customHeight="1"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3"/>
    </row>
    <row r="100" spans="2:18" s="6" customFormat="1" ht="7.5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6"/>
    </row>
    <row r="101" spans="2:18" s="6" customFormat="1" ht="37.5" customHeight="1">
      <c r="B101" s="19"/>
      <c r="C101" s="143" t="s">
        <v>131</v>
      </c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20"/>
    </row>
    <row r="102" spans="2:18" s="6" customFormat="1" ht="7.5" customHeight="1">
      <c r="B102" s="19"/>
      <c r="R102" s="20"/>
    </row>
    <row r="103" spans="2:18" s="6" customFormat="1" ht="30.75" customHeight="1">
      <c r="B103" s="19"/>
      <c r="C103" s="16" t="s">
        <v>14</v>
      </c>
      <c r="F103" s="173" t="str">
        <f>$F$6</f>
        <v>UK-stavební práce</v>
      </c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R103" s="20"/>
    </row>
    <row r="104" spans="2:18" s="6" customFormat="1" ht="37.5" customHeight="1">
      <c r="B104" s="19"/>
      <c r="C104" s="49" t="s">
        <v>111</v>
      </c>
      <c r="F104" s="158" t="str">
        <f>$F$7</f>
        <v>A3 - Stavební práce - Ostatní stavební práce</v>
      </c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R104" s="20"/>
    </row>
    <row r="105" spans="2:18" s="6" customFormat="1" ht="7.5" customHeight="1">
      <c r="B105" s="19"/>
      <c r="R105" s="20"/>
    </row>
    <row r="106" spans="2:18" s="6" customFormat="1" ht="18.75" customHeight="1">
      <c r="B106" s="19"/>
      <c r="C106" s="16" t="s">
        <v>20</v>
      </c>
      <c r="F106" s="14" t="str">
        <f>$F$9</f>
        <v> </v>
      </c>
      <c r="K106" s="16" t="s">
        <v>22</v>
      </c>
      <c r="M106" s="174" t="str">
        <f>IF($O$9="","",$O$9)</f>
        <v>23.10.2016</v>
      </c>
      <c r="N106" s="157"/>
      <c r="O106" s="157"/>
      <c r="P106" s="157"/>
      <c r="R106" s="20"/>
    </row>
    <row r="107" spans="2:18" s="6" customFormat="1" ht="7.5" customHeight="1">
      <c r="B107" s="19"/>
      <c r="R107" s="20"/>
    </row>
    <row r="108" spans="2:18" s="6" customFormat="1" ht="15.75" customHeight="1">
      <c r="B108" s="19"/>
      <c r="C108" s="16" t="s">
        <v>26</v>
      </c>
      <c r="F108" s="14" t="str">
        <f>$E$12</f>
        <v>Univerzita Karlova - Správa budov a zařízení</v>
      </c>
      <c r="K108" s="16" t="s">
        <v>33</v>
      </c>
      <c r="M108" s="144" t="str">
        <f>$E$18</f>
        <v> </v>
      </c>
      <c r="N108" s="157"/>
      <c r="O108" s="157"/>
      <c r="P108" s="157"/>
      <c r="Q108" s="157"/>
      <c r="R108" s="20"/>
    </row>
    <row r="109" spans="2:18" s="6" customFormat="1" ht="15" customHeight="1">
      <c r="B109" s="19"/>
      <c r="C109" s="16" t="s">
        <v>32</v>
      </c>
      <c r="F109" s="14" t="str">
        <f>IF($E$15="","",$E$15)</f>
        <v> </v>
      </c>
      <c r="K109" s="16" t="s">
        <v>35</v>
      </c>
      <c r="M109" s="144" t="str">
        <f>$E$21</f>
        <v> </v>
      </c>
      <c r="N109" s="157"/>
      <c r="O109" s="157"/>
      <c r="P109" s="157"/>
      <c r="Q109" s="157"/>
      <c r="R109" s="20"/>
    </row>
    <row r="110" spans="2:18" s="6" customFormat="1" ht="11.25" customHeight="1">
      <c r="B110" s="19"/>
      <c r="R110" s="20"/>
    </row>
    <row r="111" spans="2:27" s="95" customFormat="1" ht="30" customHeight="1">
      <c r="B111" s="96"/>
      <c r="C111" s="97" t="s">
        <v>132</v>
      </c>
      <c r="D111" s="98" t="s">
        <v>133</v>
      </c>
      <c r="E111" s="98" t="s">
        <v>58</v>
      </c>
      <c r="F111" s="182" t="s">
        <v>134</v>
      </c>
      <c r="G111" s="183"/>
      <c r="H111" s="183"/>
      <c r="I111" s="183"/>
      <c r="J111" s="98" t="s">
        <v>135</v>
      </c>
      <c r="K111" s="98" t="s">
        <v>136</v>
      </c>
      <c r="L111" s="182" t="s">
        <v>137</v>
      </c>
      <c r="M111" s="183"/>
      <c r="N111" s="182" t="s">
        <v>138</v>
      </c>
      <c r="O111" s="183"/>
      <c r="P111" s="183"/>
      <c r="Q111" s="184"/>
      <c r="R111" s="99"/>
      <c r="T111" s="56" t="s">
        <v>139</v>
      </c>
      <c r="U111" s="57" t="s">
        <v>40</v>
      </c>
      <c r="V111" s="57" t="s">
        <v>140</v>
      </c>
      <c r="W111" s="57" t="s">
        <v>141</v>
      </c>
      <c r="X111" s="57" t="s">
        <v>142</v>
      </c>
      <c r="Y111" s="57" t="s">
        <v>143</v>
      </c>
      <c r="Z111" s="57" t="s">
        <v>144</v>
      </c>
      <c r="AA111" s="58" t="s">
        <v>145</v>
      </c>
    </row>
    <row r="112" spans="2:63" s="6" customFormat="1" ht="30" customHeight="1">
      <c r="B112" s="19"/>
      <c r="C112" s="61" t="s">
        <v>113</v>
      </c>
      <c r="N112" s="195">
        <f>$BK$112</f>
        <v>4059.7500000000005</v>
      </c>
      <c r="O112" s="157"/>
      <c r="P112" s="157"/>
      <c r="Q112" s="157"/>
      <c r="R112" s="20"/>
      <c r="T112" s="60"/>
      <c r="U112" s="33"/>
      <c r="V112" s="33"/>
      <c r="W112" s="100">
        <f>$W$113</f>
        <v>8.34577</v>
      </c>
      <c r="X112" s="33"/>
      <c r="Y112" s="100">
        <f>$Y$113</f>
        <v>0.0064718</v>
      </c>
      <c r="Z112" s="33"/>
      <c r="AA112" s="101">
        <f>$AA$113</f>
        <v>0</v>
      </c>
      <c r="AT112" s="6" t="s">
        <v>75</v>
      </c>
      <c r="AU112" s="6" t="s">
        <v>119</v>
      </c>
      <c r="BK112" s="102">
        <f>$BK$113</f>
        <v>4059.7500000000005</v>
      </c>
    </row>
    <row r="113" spans="2:63" s="103" customFormat="1" ht="37.5" customHeight="1">
      <c r="B113" s="104"/>
      <c r="D113" s="105" t="s">
        <v>125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192">
        <f>$BK$113</f>
        <v>4059.7500000000005</v>
      </c>
      <c r="O113" s="193"/>
      <c r="P113" s="193"/>
      <c r="Q113" s="193"/>
      <c r="R113" s="107"/>
      <c r="T113" s="108"/>
      <c r="W113" s="109">
        <f>$W$114+$W$125</f>
        <v>8.34577</v>
      </c>
      <c r="Y113" s="109">
        <f>$Y$114+$Y$125</f>
        <v>0.0064718</v>
      </c>
      <c r="AA113" s="110">
        <f>$AA$114+$AA$125</f>
        <v>0</v>
      </c>
      <c r="AR113" s="106" t="s">
        <v>109</v>
      </c>
      <c r="AT113" s="106" t="s">
        <v>75</v>
      </c>
      <c r="AU113" s="106" t="s">
        <v>76</v>
      </c>
      <c r="AY113" s="106" t="s">
        <v>146</v>
      </c>
      <c r="BK113" s="111">
        <f>$BK$114+$BK$125</f>
        <v>4059.7500000000005</v>
      </c>
    </row>
    <row r="114" spans="2:63" s="103" customFormat="1" ht="21" customHeight="1">
      <c r="B114" s="104"/>
      <c r="D114" s="112" t="s">
        <v>317</v>
      </c>
      <c r="E114" s="112"/>
      <c r="F114" s="112"/>
      <c r="G114" s="112"/>
      <c r="H114" s="112"/>
      <c r="I114" s="112"/>
      <c r="J114" s="112"/>
      <c r="K114" s="112"/>
      <c r="L114" s="112"/>
      <c r="M114" s="112"/>
      <c r="N114" s="194">
        <f>$BK$114</f>
        <v>4008.2300000000005</v>
      </c>
      <c r="O114" s="193"/>
      <c r="P114" s="193"/>
      <c r="Q114" s="193"/>
      <c r="R114" s="107"/>
      <c r="T114" s="108"/>
      <c r="W114" s="109">
        <f>SUM($W$115:$W$124)</f>
        <v>8.17557</v>
      </c>
      <c r="Y114" s="109">
        <f>SUM($Y$115:$Y$124)</f>
        <v>0.0064718</v>
      </c>
      <c r="AA114" s="110">
        <f>SUM($AA$115:$AA$124)</f>
        <v>0</v>
      </c>
      <c r="AR114" s="106" t="s">
        <v>109</v>
      </c>
      <c r="AT114" s="106" t="s">
        <v>75</v>
      </c>
      <c r="AU114" s="106" t="s">
        <v>19</v>
      </c>
      <c r="AY114" s="106" t="s">
        <v>146</v>
      </c>
      <c r="BK114" s="111">
        <f>SUM($BK$115:$BK$124)</f>
        <v>4008.2300000000005</v>
      </c>
    </row>
    <row r="115" spans="2:65" s="6" customFormat="1" ht="27" customHeight="1">
      <c r="B115" s="19"/>
      <c r="C115" s="113" t="s">
        <v>319</v>
      </c>
      <c r="D115" s="113" t="s">
        <v>148</v>
      </c>
      <c r="E115" s="114" t="s">
        <v>320</v>
      </c>
      <c r="F115" s="185" t="s">
        <v>321</v>
      </c>
      <c r="G115" s="186"/>
      <c r="H115" s="186"/>
      <c r="I115" s="186"/>
      <c r="J115" s="115" t="s">
        <v>159</v>
      </c>
      <c r="K115" s="116">
        <v>2.3</v>
      </c>
      <c r="L115" s="187">
        <v>146</v>
      </c>
      <c r="M115" s="186"/>
      <c r="N115" s="187">
        <f>ROUND($L$115*$K$115,2)</f>
        <v>335.8</v>
      </c>
      <c r="O115" s="186"/>
      <c r="P115" s="186"/>
      <c r="Q115" s="186"/>
      <c r="R115" s="20"/>
      <c r="T115" s="117"/>
      <c r="U115" s="26" t="s">
        <v>41</v>
      </c>
      <c r="V115" s="118">
        <v>0.231</v>
      </c>
      <c r="W115" s="118">
        <f>$V$115*$K$115</f>
        <v>0.5313</v>
      </c>
      <c r="X115" s="118">
        <v>0.00046</v>
      </c>
      <c r="Y115" s="118">
        <f>$X$115*$K$115</f>
        <v>0.001058</v>
      </c>
      <c r="Z115" s="118">
        <v>0</v>
      </c>
      <c r="AA115" s="119">
        <f>$Z$115*$K$115</f>
        <v>0</v>
      </c>
      <c r="AR115" s="6" t="s">
        <v>206</v>
      </c>
      <c r="AT115" s="6" t="s">
        <v>148</v>
      </c>
      <c r="AU115" s="6" t="s">
        <v>109</v>
      </c>
      <c r="AY115" s="6" t="s">
        <v>146</v>
      </c>
      <c r="BE115" s="120">
        <f>IF($U$115="základní",$N$115,0)</f>
        <v>335.8</v>
      </c>
      <c r="BF115" s="120">
        <f>IF($U$115="snížená",$N$115,0)</f>
        <v>0</v>
      </c>
      <c r="BG115" s="120">
        <f>IF($U$115="zákl. přenesená",$N$115,0)</f>
        <v>0</v>
      </c>
      <c r="BH115" s="120">
        <f>IF($U$115="sníž. přenesená",$N$115,0)</f>
        <v>0</v>
      </c>
      <c r="BI115" s="120">
        <f>IF($U$115="nulová",$N$115,0)</f>
        <v>0</v>
      </c>
      <c r="BJ115" s="6" t="s">
        <v>19</v>
      </c>
      <c r="BK115" s="120">
        <f>ROUND($L$115*$K$115,2)</f>
        <v>335.8</v>
      </c>
      <c r="BL115" s="6" t="s">
        <v>206</v>
      </c>
      <c r="BM115" s="6" t="s">
        <v>322</v>
      </c>
    </row>
    <row r="116" spans="2:47" s="6" customFormat="1" ht="30.75" customHeight="1">
      <c r="B116" s="19"/>
      <c r="F116" s="188" t="s">
        <v>323</v>
      </c>
      <c r="G116" s="157"/>
      <c r="H116" s="157"/>
      <c r="I116" s="157"/>
      <c r="R116" s="20"/>
      <c r="T116" s="54"/>
      <c r="AA116" s="55"/>
      <c r="AT116" s="6" t="s">
        <v>155</v>
      </c>
      <c r="AU116" s="6" t="s">
        <v>109</v>
      </c>
    </row>
    <row r="117" spans="2:65" s="6" customFormat="1" ht="27" customHeight="1">
      <c r="B117" s="19"/>
      <c r="C117" s="113" t="s">
        <v>324</v>
      </c>
      <c r="D117" s="113" t="s">
        <v>148</v>
      </c>
      <c r="E117" s="114" t="s">
        <v>325</v>
      </c>
      <c r="F117" s="185" t="s">
        <v>326</v>
      </c>
      <c r="G117" s="186"/>
      <c r="H117" s="186"/>
      <c r="I117" s="186"/>
      <c r="J117" s="115" t="s">
        <v>159</v>
      </c>
      <c r="K117" s="116">
        <v>1.6</v>
      </c>
      <c r="L117" s="187">
        <v>242</v>
      </c>
      <c r="M117" s="186"/>
      <c r="N117" s="187">
        <f>ROUND($L$117*$K$117,2)</f>
        <v>387.2</v>
      </c>
      <c r="O117" s="186"/>
      <c r="P117" s="186"/>
      <c r="Q117" s="186"/>
      <c r="R117" s="20"/>
      <c r="T117" s="117"/>
      <c r="U117" s="26" t="s">
        <v>41</v>
      </c>
      <c r="V117" s="118">
        <v>0.39</v>
      </c>
      <c r="W117" s="118">
        <f>$V$117*$K$117</f>
        <v>0.6240000000000001</v>
      </c>
      <c r="X117" s="118">
        <v>0.00084</v>
      </c>
      <c r="Y117" s="118">
        <f>$X$117*$K$117</f>
        <v>0.0013440000000000001</v>
      </c>
      <c r="Z117" s="118">
        <v>0</v>
      </c>
      <c r="AA117" s="119">
        <f>$Z$117*$K$117</f>
        <v>0</v>
      </c>
      <c r="AR117" s="6" t="s">
        <v>206</v>
      </c>
      <c r="AT117" s="6" t="s">
        <v>148</v>
      </c>
      <c r="AU117" s="6" t="s">
        <v>109</v>
      </c>
      <c r="AY117" s="6" t="s">
        <v>146</v>
      </c>
      <c r="BE117" s="120">
        <f>IF($U$117="základní",$N$117,0)</f>
        <v>387.2</v>
      </c>
      <c r="BF117" s="120">
        <f>IF($U$117="snížená",$N$117,0)</f>
        <v>0</v>
      </c>
      <c r="BG117" s="120">
        <f>IF($U$117="zákl. přenesená",$N$117,0)</f>
        <v>0</v>
      </c>
      <c r="BH117" s="120">
        <f>IF($U$117="sníž. přenesená",$N$117,0)</f>
        <v>0</v>
      </c>
      <c r="BI117" s="120">
        <f>IF($U$117="nulová",$N$117,0)</f>
        <v>0</v>
      </c>
      <c r="BJ117" s="6" t="s">
        <v>19</v>
      </c>
      <c r="BK117" s="120">
        <f>ROUND($L$117*$K$117,2)</f>
        <v>387.2</v>
      </c>
      <c r="BL117" s="6" t="s">
        <v>206</v>
      </c>
      <c r="BM117" s="6" t="s">
        <v>327</v>
      </c>
    </row>
    <row r="118" spans="2:47" s="6" customFormat="1" ht="30.75" customHeight="1">
      <c r="B118" s="19"/>
      <c r="F118" s="188" t="s">
        <v>328</v>
      </c>
      <c r="G118" s="157"/>
      <c r="H118" s="157"/>
      <c r="I118" s="157"/>
      <c r="R118" s="20"/>
      <c r="T118" s="54"/>
      <c r="AA118" s="55"/>
      <c r="AT118" s="6" t="s">
        <v>155</v>
      </c>
      <c r="AU118" s="6" t="s">
        <v>109</v>
      </c>
    </row>
    <row r="119" spans="2:65" s="6" customFormat="1" ht="27" customHeight="1">
      <c r="B119" s="19"/>
      <c r="C119" s="113" t="s">
        <v>329</v>
      </c>
      <c r="D119" s="113" t="s">
        <v>148</v>
      </c>
      <c r="E119" s="114" t="s">
        <v>330</v>
      </c>
      <c r="F119" s="185" t="s">
        <v>331</v>
      </c>
      <c r="G119" s="186"/>
      <c r="H119" s="186"/>
      <c r="I119" s="186"/>
      <c r="J119" s="115" t="s">
        <v>159</v>
      </c>
      <c r="K119" s="116">
        <v>10.71</v>
      </c>
      <c r="L119" s="187">
        <v>9.45</v>
      </c>
      <c r="M119" s="186"/>
      <c r="N119" s="187">
        <f>ROUND($L$119*$K$119,2)</f>
        <v>101.21</v>
      </c>
      <c r="O119" s="186"/>
      <c r="P119" s="186"/>
      <c r="Q119" s="186"/>
      <c r="R119" s="20"/>
      <c r="T119" s="117"/>
      <c r="U119" s="26" t="s">
        <v>41</v>
      </c>
      <c r="V119" s="118">
        <v>0.033</v>
      </c>
      <c r="W119" s="118">
        <f>$V$119*$K$119</f>
        <v>0.35343</v>
      </c>
      <c r="X119" s="118">
        <v>0</v>
      </c>
      <c r="Y119" s="118">
        <f>$X$119*$K$119</f>
        <v>0</v>
      </c>
      <c r="Z119" s="118">
        <v>0</v>
      </c>
      <c r="AA119" s="119">
        <f>$Z$119*$K$119</f>
        <v>0</v>
      </c>
      <c r="AR119" s="6" t="s">
        <v>206</v>
      </c>
      <c r="AT119" s="6" t="s">
        <v>148</v>
      </c>
      <c r="AU119" s="6" t="s">
        <v>109</v>
      </c>
      <c r="AY119" s="6" t="s">
        <v>146</v>
      </c>
      <c r="BE119" s="120">
        <f>IF($U$119="základní",$N$119,0)</f>
        <v>101.21</v>
      </c>
      <c r="BF119" s="120">
        <f>IF($U$119="snížená",$N$119,0)</f>
        <v>0</v>
      </c>
      <c r="BG119" s="120">
        <f>IF($U$119="zákl. přenesená",$N$119,0)</f>
        <v>0</v>
      </c>
      <c r="BH119" s="120">
        <f>IF($U$119="sníž. přenesená",$N$119,0)</f>
        <v>0</v>
      </c>
      <c r="BI119" s="120">
        <f>IF($U$119="nulová",$N$119,0)</f>
        <v>0</v>
      </c>
      <c r="BJ119" s="6" t="s">
        <v>19</v>
      </c>
      <c r="BK119" s="120">
        <f>ROUND($L$119*$K$119,2)</f>
        <v>101.21</v>
      </c>
      <c r="BL119" s="6" t="s">
        <v>206</v>
      </c>
      <c r="BM119" s="6" t="s">
        <v>332</v>
      </c>
    </row>
    <row r="120" spans="2:47" s="6" customFormat="1" ht="30.75" customHeight="1">
      <c r="B120" s="19"/>
      <c r="F120" s="188" t="s">
        <v>333</v>
      </c>
      <c r="G120" s="157"/>
      <c r="H120" s="157"/>
      <c r="I120" s="157"/>
      <c r="R120" s="20"/>
      <c r="T120" s="54"/>
      <c r="AA120" s="55"/>
      <c r="AT120" s="6" t="s">
        <v>155</v>
      </c>
      <c r="AU120" s="6" t="s">
        <v>109</v>
      </c>
    </row>
    <row r="121" spans="2:51" s="6" customFormat="1" ht="18.75" customHeight="1">
      <c r="B121" s="129"/>
      <c r="E121" s="130"/>
      <c r="F121" s="197" t="s">
        <v>334</v>
      </c>
      <c r="G121" s="198"/>
      <c r="H121" s="198"/>
      <c r="I121" s="198"/>
      <c r="K121" s="131">
        <v>10.71</v>
      </c>
      <c r="R121" s="132"/>
      <c r="T121" s="133"/>
      <c r="AA121" s="134"/>
      <c r="AT121" s="130" t="s">
        <v>335</v>
      </c>
      <c r="AU121" s="130" t="s">
        <v>109</v>
      </c>
      <c r="AV121" s="130" t="s">
        <v>109</v>
      </c>
      <c r="AW121" s="130" t="s">
        <v>119</v>
      </c>
      <c r="AX121" s="130" t="s">
        <v>19</v>
      </c>
      <c r="AY121" s="130" t="s">
        <v>146</v>
      </c>
    </row>
    <row r="122" spans="2:65" s="6" customFormat="1" ht="39" customHeight="1">
      <c r="B122" s="19"/>
      <c r="C122" s="113" t="s">
        <v>336</v>
      </c>
      <c r="D122" s="113" t="s">
        <v>148</v>
      </c>
      <c r="E122" s="114" t="s">
        <v>337</v>
      </c>
      <c r="F122" s="185" t="s">
        <v>338</v>
      </c>
      <c r="G122" s="186"/>
      <c r="H122" s="186"/>
      <c r="I122" s="186"/>
      <c r="J122" s="115" t="s">
        <v>151</v>
      </c>
      <c r="K122" s="116">
        <v>6</v>
      </c>
      <c r="L122" s="187">
        <v>9.45</v>
      </c>
      <c r="M122" s="186"/>
      <c r="N122" s="187">
        <f>ROUND($L$122*$K$122,2)</f>
        <v>56.7</v>
      </c>
      <c r="O122" s="186"/>
      <c r="P122" s="186"/>
      <c r="Q122" s="186"/>
      <c r="R122" s="20"/>
      <c r="T122" s="117"/>
      <c r="U122" s="26" t="s">
        <v>41</v>
      </c>
      <c r="V122" s="118">
        <v>0.033</v>
      </c>
      <c r="W122" s="118">
        <f>$V$122*$K$122</f>
        <v>0.198</v>
      </c>
      <c r="X122" s="118">
        <v>0</v>
      </c>
      <c r="Y122" s="118">
        <f>$X$122*$K$122</f>
        <v>0</v>
      </c>
      <c r="Z122" s="118">
        <v>0</v>
      </c>
      <c r="AA122" s="119">
        <f>$Z$122*$K$122</f>
        <v>0</v>
      </c>
      <c r="AR122" s="6" t="s">
        <v>206</v>
      </c>
      <c r="AT122" s="6" t="s">
        <v>148</v>
      </c>
      <c r="AU122" s="6" t="s">
        <v>109</v>
      </c>
      <c r="AY122" s="6" t="s">
        <v>146</v>
      </c>
      <c r="BE122" s="120">
        <f>IF($U$122="základní",$N$122,0)</f>
        <v>56.7</v>
      </c>
      <c r="BF122" s="120">
        <f>IF($U$122="snížená",$N$122,0)</f>
        <v>0</v>
      </c>
      <c r="BG122" s="120">
        <f>IF($U$122="zákl. přenesená",$N$122,0)</f>
        <v>0</v>
      </c>
      <c r="BH122" s="120">
        <f>IF($U$122="sníž. přenesená",$N$122,0)</f>
        <v>0</v>
      </c>
      <c r="BI122" s="120">
        <f>IF($U$122="nulová",$N$122,0)</f>
        <v>0</v>
      </c>
      <c r="BJ122" s="6" t="s">
        <v>19</v>
      </c>
      <c r="BK122" s="120">
        <f>ROUND($L$122*$K$122,2)</f>
        <v>56.7</v>
      </c>
      <c r="BL122" s="6" t="s">
        <v>206</v>
      </c>
      <c r="BM122" s="6" t="s">
        <v>339</v>
      </c>
    </row>
    <row r="123" spans="2:65" s="6" customFormat="1" ht="27" customHeight="1">
      <c r="B123" s="19"/>
      <c r="C123" s="113" t="s">
        <v>329</v>
      </c>
      <c r="D123" s="113" t="s">
        <v>148</v>
      </c>
      <c r="E123" s="114" t="s">
        <v>340</v>
      </c>
      <c r="F123" s="185" t="s">
        <v>341</v>
      </c>
      <c r="G123" s="186"/>
      <c r="H123" s="186"/>
      <c r="I123" s="186"/>
      <c r="J123" s="115" t="s">
        <v>159</v>
      </c>
      <c r="K123" s="116">
        <v>10.71</v>
      </c>
      <c r="L123" s="187">
        <v>292</v>
      </c>
      <c r="M123" s="186"/>
      <c r="N123" s="187">
        <f>ROUND($L$123*$K$123,2)</f>
        <v>3127.32</v>
      </c>
      <c r="O123" s="186"/>
      <c r="P123" s="186"/>
      <c r="Q123" s="186"/>
      <c r="R123" s="20"/>
      <c r="T123" s="117"/>
      <c r="U123" s="26" t="s">
        <v>41</v>
      </c>
      <c r="V123" s="118">
        <v>0.604</v>
      </c>
      <c r="W123" s="118">
        <f>$V$123*$K$123</f>
        <v>6.46884</v>
      </c>
      <c r="X123" s="118">
        <v>0.00038</v>
      </c>
      <c r="Y123" s="118">
        <f>$X$123*$K$123</f>
        <v>0.0040698</v>
      </c>
      <c r="Z123" s="118">
        <v>0</v>
      </c>
      <c r="AA123" s="119">
        <f>$Z$123*$K$123</f>
        <v>0</v>
      </c>
      <c r="AR123" s="6" t="s">
        <v>206</v>
      </c>
      <c r="AT123" s="6" t="s">
        <v>148</v>
      </c>
      <c r="AU123" s="6" t="s">
        <v>109</v>
      </c>
      <c r="AY123" s="6" t="s">
        <v>146</v>
      </c>
      <c r="BE123" s="120">
        <f>IF($U$123="základní",$N$123,0)</f>
        <v>3127.32</v>
      </c>
      <c r="BF123" s="120">
        <f>IF($U$123="snížená",$N$123,0)</f>
        <v>0</v>
      </c>
      <c r="BG123" s="120">
        <f>IF($U$123="zákl. přenesená",$N$123,0)</f>
        <v>0</v>
      </c>
      <c r="BH123" s="120">
        <f>IF($U$123="sníž. přenesená",$N$123,0)</f>
        <v>0</v>
      </c>
      <c r="BI123" s="120">
        <f>IF($U$123="nulová",$N$123,0)</f>
        <v>0</v>
      </c>
      <c r="BJ123" s="6" t="s">
        <v>19</v>
      </c>
      <c r="BK123" s="120">
        <f>ROUND($L$123*$K$123,2)</f>
        <v>3127.32</v>
      </c>
      <c r="BL123" s="6" t="s">
        <v>206</v>
      </c>
      <c r="BM123" s="6" t="s">
        <v>342</v>
      </c>
    </row>
    <row r="124" spans="2:47" s="6" customFormat="1" ht="18.75" customHeight="1">
      <c r="B124" s="19"/>
      <c r="F124" s="188" t="s">
        <v>343</v>
      </c>
      <c r="G124" s="157"/>
      <c r="H124" s="157"/>
      <c r="I124" s="157"/>
      <c r="R124" s="20"/>
      <c r="T124" s="54"/>
      <c r="AA124" s="55"/>
      <c r="AT124" s="6" t="s">
        <v>155</v>
      </c>
      <c r="AU124" s="6" t="s">
        <v>109</v>
      </c>
    </row>
    <row r="125" spans="2:63" s="103" customFormat="1" ht="30.75" customHeight="1">
      <c r="B125" s="104"/>
      <c r="D125" s="112" t="s">
        <v>318</v>
      </c>
      <c r="E125" s="112"/>
      <c r="F125" s="112"/>
      <c r="G125" s="112"/>
      <c r="H125" s="112"/>
      <c r="I125" s="112"/>
      <c r="J125" s="112"/>
      <c r="K125" s="112"/>
      <c r="L125" s="112"/>
      <c r="M125" s="112"/>
      <c r="N125" s="194">
        <f>$BK$125</f>
        <v>51.52</v>
      </c>
      <c r="O125" s="193"/>
      <c r="P125" s="193"/>
      <c r="Q125" s="193"/>
      <c r="R125" s="107"/>
      <c r="T125" s="108"/>
      <c r="W125" s="109">
        <f>SUM($W$126:$W$127)</f>
        <v>0.1702</v>
      </c>
      <c r="Y125" s="109">
        <f>SUM($Y$126:$Y$127)</f>
        <v>0</v>
      </c>
      <c r="AA125" s="110">
        <f>SUM($AA$126:$AA$127)</f>
        <v>0</v>
      </c>
      <c r="AR125" s="106" t="s">
        <v>109</v>
      </c>
      <c r="AT125" s="106" t="s">
        <v>75</v>
      </c>
      <c r="AU125" s="106" t="s">
        <v>19</v>
      </c>
      <c r="AY125" s="106" t="s">
        <v>146</v>
      </c>
      <c r="BK125" s="111">
        <f>SUM($BK$126:$BK$127)</f>
        <v>51.52</v>
      </c>
    </row>
    <row r="126" spans="2:65" s="6" customFormat="1" ht="15.75" customHeight="1">
      <c r="B126" s="19"/>
      <c r="C126" s="113" t="s">
        <v>319</v>
      </c>
      <c r="D126" s="113" t="s">
        <v>148</v>
      </c>
      <c r="E126" s="114" t="s">
        <v>344</v>
      </c>
      <c r="F126" s="185" t="s">
        <v>345</v>
      </c>
      <c r="G126" s="186"/>
      <c r="H126" s="186"/>
      <c r="I126" s="186"/>
      <c r="J126" s="115" t="s">
        <v>159</v>
      </c>
      <c r="K126" s="116">
        <v>2.3</v>
      </c>
      <c r="L126" s="187">
        <v>22.4</v>
      </c>
      <c r="M126" s="186"/>
      <c r="N126" s="187">
        <f>ROUND($L$126*$K$126,2)</f>
        <v>51.52</v>
      </c>
      <c r="O126" s="186"/>
      <c r="P126" s="186"/>
      <c r="Q126" s="186"/>
      <c r="R126" s="20"/>
      <c r="T126" s="117"/>
      <c r="U126" s="26" t="s">
        <v>41</v>
      </c>
      <c r="V126" s="118">
        <v>0.074</v>
      </c>
      <c r="W126" s="118">
        <f>$V$126*$K$126</f>
        <v>0.1702</v>
      </c>
      <c r="X126" s="118">
        <v>0</v>
      </c>
      <c r="Y126" s="118">
        <f>$X$126*$K$126</f>
        <v>0</v>
      </c>
      <c r="Z126" s="118">
        <v>0</v>
      </c>
      <c r="AA126" s="119">
        <f>$Z$126*$K$126</f>
        <v>0</v>
      </c>
      <c r="AR126" s="6" t="s">
        <v>206</v>
      </c>
      <c r="AT126" s="6" t="s">
        <v>148</v>
      </c>
      <c r="AU126" s="6" t="s">
        <v>109</v>
      </c>
      <c r="AY126" s="6" t="s">
        <v>146</v>
      </c>
      <c r="BE126" s="120">
        <f>IF($U$126="základní",$N$126,0)</f>
        <v>51.52</v>
      </c>
      <c r="BF126" s="120">
        <f>IF($U$126="snížená",$N$126,0)</f>
        <v>0</v>
      </c>
      <c r="BG126" s="120">
        <f>IF($U$126="zákl. přenesená",$N$126,0)</f>
        <v>0</v>
      </c>
      <c r="BH126" s="120">
        <f>IF($U$126="sníž. přenesená",$N$126,0)</f>
        <v>0</v>
      </c>
      <c r="BI126" s="120">
        <f>IF($U$126="nulová",$N$126,0)</f>
        <v>0</v>
      </c>
      <c r="BJ126" s="6" t="s">
        <v>19</v>
      </c>
      <c r="BK126" s="120">
        <f>ROUND($L$126*$K$126,2)</f>
        <v>51.52</v>
      </c>
      <c r="BL126" s="6" t="s">
        <v>206</v>
      </c>
      <c r="BM126" s="6" t="s">
        <v>346</v>
      </c>
    </row>
    <row r="127" spans="2:47" s="6" customFormat="1" ht="18.75" customHeight="1">
      <c r="B127" s="19"/>
      <c r="F127" s="188" t="s">
        <v>347</v>
      </c>
      <c r="G127" s="157"/>
      <c r="H127" s="157"/>
      <c r="I127" s="157"/>
      <c r="R127" s="20"/>
      <c r="T127" s="125"/>
      <c r="U127" s="38"/>
      <c r="V127" s="38"/>
      <c r="W127" s="38"/>
      <c r="X127" s="38"/>
      <c r="Y127" s="38"/>
      <c r="Z127" s="38"/>
      <c r="AA127" s="40"/>
      <c r="AT127" s="6" t="s">
        <v>155</v>
      </c>
      <c r="AU127" s="6" t="s">
        <v>109</v>
      </c>
    </row>
    <row r="128" spans="2:18" s="6" customFormat="1" ht="7.5" customHeight="1"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3"/>
    </row>
    <row r="169" s="2" customFormat="1" ht="14.25" customHeight="1"/>
  </sheetData>
  <sheetProtection/>
  <mergeCells count="81">
    <mergeCell ref="H1:K1"/>
    <mergeCell ref="S2:AC2"/>
    <mergeCell ref="F124:I124"/>
    <mergeCell ref="F126:I126"/>
    <mergeCell ref="L126:M126"/>
    <mergeCell ref="N126:Q126"/>
    <mergeCell ref="N123:Q123"/>
    <mergeCell ref="F118:I118"/>
    <mergeCell ref="F119:I119"/>
    <mergeCell ref="L119:M119"/>
    <mergeCell ref="F127:I127"/>
    <mergeCell ref="N112:Q112"/>
    <mergeCell ref="N113:Q113"/>
    <mergeCell ref="N114:Q114"/>
    <mergeCell ref="N125:Q125"/>
    <mergeCell ref="F122:I122"/>
    <mergeCell ref="L122:M122"/>
    <mergeCell ref="N122:Q122"/>
    <mergeCell ref="F123:I123"/>
    <mergeCell ref="L123:M123"/>
    <mergeCell ref="N119:Q119"/>
    <mergeCell ref="F120:I120"/>
    <mergeCell ref="F121:I121"/>
    <mergeCell ref="F115:I115"/>
    <mergeCell ref="L115:M115"/>
    <mergeCell ref="N115:Q115"/>
    <mergeCell ref="F116:I116"/>
    <mergeCell ref="F117:I117"/>
    <mergeCell ref="L117:M117"/>
    <mergeCell ref="N117:Q117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N89:Q89"/>
    <mergeCell ref="N90:Q90"/>
    <mergeCell ref="N91:Q91"/>
    <mergeCell ref="N93:Q93"/>
    <mergeCell ref="L95:Q95"/>
    <mergeCell ref="C101:Q101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6"/>
  <sheetViews>
    <sheetView showGridLines="0" zoomScalePageLayoutView="0" workbookViewId="0" topLeftCell="A1">
      <pane ySplit="1" topLeftCell="A48" activePane="bottomLeft" state="frozen"/>
      <selection pane="topLeft" activeCell="A1" sqref="A1"/>
      <selection pane="bottomLeft" activeCell="A40" sqref="A40:IV7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0"/>
      <c r="B1" s="137"/>
      <c r="C1" s="137"/>
      <c r="D1" s="138" t="s">
        <v>1</v>
      </c>
      <c r="E1" s="137"/>
      <c r="F1" s="139" t="s">
        <v>538</v>
      </c>
      <c r="G1" s="139"/>
      <c r="H1" s="196" t="s">
        <v>539</v>
      </c>
      <c r="I1" s="196"/>
      <c r="J1" s="196"/>
      <c r="K1" s="196"/>
      <c r="L1" s="139" t="s">
        <v>540</v>
      </c>
      <c r="M1" s="137"/>
      <c r="N1" s="137"/>
      <c r="O1" s="138" t="s">
        <v>108</v>
      </c>
      <c r="P1" s="137"/>
      <c r="Q1" s="137"/>
      <c r="R1" s="137"/>
      <c r="S1" s="139" t="s">
        <v>541</v>
      </c>
      <c r="T1" s="139"/>
      <c r="U1" s="140"/>
      <c r="V1" s="1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68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109</v>
      </c>
    </row>
    <row r="4" spans="2:46" s="2" customFormat="1" ht="37.5" customHeight="1">
      <c r="B4" s="10"/>
      <c r="C4" s="143" t="s">
        <v>110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3" t="str">
        <f>'Rekapitulace stavby'!$K$6</f>
        <v>UK-stavební práce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111</v>
      </c>
      <c r="F7" s="145" t="s">
        <v>348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74" t="str">
        <f>'Rekapitulace stavby'!$AN$8</f>
        <v>23.10.2016</v>
      </c>
      <c r="P9" s="157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4" t="s">
        <v>28</v>
      </c>
      <c r="P11" s="157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144" t="s">
        <v>31</v>
      </c>
      <c r="P12" s="157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144">
        <f>IF('Rekapitulace stavby'!$AN$13="","",'Rekapitulace stavby'!$AN$13)</f>
      </c>
      <c r="P14" s="157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30</v>
      </c>
      <c r="O15" s="144">
        <f>IF('Rekapitulace stavby'!$AN$14="","",'Rekapitulace stavby'!$AN$14)</f>
      </c>
      <c r="P15" s="157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33</v>
      </c>
      <c r="M17" s="16" t="s">
        <v>27</v>
      </c>
      <c r="O17" s="144">
        <f>IF('Rekapitulace stavby'!$AN$16="","",'Rekapitulace stavby'!$AN$16)</f>
      </c>
      <c r="P17" s="157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30</v>
      </c>
      <c r="O18" s="144">
        <f>IF('Rekapitulace stavby'!$AN$17="","",'Rekapitulace stavby'!$AN$17)</f>
      </c>
      <c r="P18" s="157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35</v>
      </c>
      <c r="M20" s="16" t="s">
        <v>27</v>
      </c>
      <c r="O20" s="144">
        <f>IF('Rekapitulace stavby'!$AN$19="","",'Rekapitulace stavby'!$AN$19)</f>
      </c>
      <c r="P20" s="157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30</v>
      </c>
      <c r="O21" s="144">
        <f>IF('Rekapitulace stavby'!$AN$20="","",'Rekapitulace stavby'!$AN$20)</f>
      </c>
      <c r="P21" s="157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36</v>
      </c>
      <c r="R23" s="20"/>
    </row>
    <row r="24" spans="2:18" s="80" customFormat="1" ht="15.75" customHeight="1">
      <c r="B24" s="81"/>
      <c r="E24" s="146"/>
      <c r="F24" s="175"/>
      <c r="G24" s="175"/>
      <c r="H24" s="175"/>
      <c r="I24" s="175"/>
      <c r="J24" s="175"/>
      <c r="K24" s="175"/>
      <c r="L24" s="175"/>
      <c r="R24" s="82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3" t="s">
        <v>113</v>
      </c>
      <c r="M27" s="147">
        <f>$N$88</f>
        <v>24102.09</v>
      </c>
      <c r="N27" s="157"/>
      <c r="O27" s="157"/>
      <c r="P27" s="157"/>
      <c r="R27" s="20"/>
    </row>
    <row r="28" spans="2:18" s="6" customFormat="1" ht="15" customHeight="1">
      <c r="B28" s="19"/>
      <c r="D28" s="18" t="s">
        <v>114</v>
      </c>
      <c r="M28" s="147">
        <f>$N$96</f>
        <v>0</v>
      </c>
      <c r="N28" s="157"/>
      <c r="O28" s="157"/>
      <c r="P28" s="157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4" t="s">
        <v>39</v>
      </c>
      <c r="M30" s="176">
        <f>ROUND($M$27+$M$28,2)</f>
        <v>24102.09</v>
      </c>
      <c r="N30" s="157"/>
      <c r="O30" s="157"/>
      <c r="P30" s="157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40</v>
      </c>
      <c r="E32" s="24" t="s">
        <v>41</v>
      </c>
      <c r="F32" s="25">
        <v>0.21</v>
      </c>
      <c r="G32" s="85" t="s">
        <v>42</v>
      </c>
      <c r="H32" s="177">
        <f>ROUND((SUM($BE$96:$BE$97)+SUM($BE$115:$BE$135)),2)</f>
        <v>24102.09</v>
      </c>
      <c r="I32" s="157"/>
      <c r="J32" s="157"/>
      <c r="M32" s="177">
        <f>ROUND(ROUND((SUM($BE$96:$BE$97)+SUM($BE$115:$BE$135)),2)*$F$32,2)</f>
        <v>5061.44</v>
      </c>
      <c r="N32" s="157"/>
      <c r="O32" s="157"/>
      <c r="P32" s="157"/>
      <c r="R32" s="20"/>
    </row>
    <row r="33" spans="2:18" s="6" customFormat="1" ht="15" customHeight="1">
      <c r="B33" s="19"/>
      <c r="E33" s="24" t="s">
        <v>43</v>
      </c>
      <c r="F33" s="25">
        <v>0.15</v>
      </c>
      <c r="G33" s="85" t="s">
        <v>42</v>
      </c>
      <c r="H33" s="177">
        <f>ROUND((SUM($BF$96:$BF$97)+SUM($BF$115:$BF$135)),2)</f>
        <v>0</v>
      </c>
      <c r="I33" s="157"/>
      <c r="J33" s="157"/>
      <c r="M33" s="177">
        <f>ROUND(ROUND((SUM($BF$96:$BF$97)+SUM($BF$115:$BF$135)),2)*$F$33,2)</f>
        <v>0</v>
      </c>
      <c r="N33" s="157"/>
      <c r="O33" s="157"/>
      <c r="P33" s="157"/>
      <c r="R33" s="20"/>
    </row>
    <row r="34" spans="2:18" s="6" customFormat="1" ht="15" customHeight="1" hidden="1">
      <c r="B34" s="19"/>
      <c r="E34" s="24" t="s">
        <v>44</v>
      </c>
      <c r="F34" s="25">
        <v>0.21</v>
      </c>
      <c r="G34" s="85" t="s">
        <v>42</v>
      </c>
      <c r="H34" s="177">
        <f>ROUND((SUM($BG$96:$BG$97)+SUM($BG$115:$BG$135)),2)</f>
        <v>0</v>
      </c>
      <c r="I34" s="157"/>
      <c r="J34" s="157"/>
      <c r="M34" s="177">
        <v>0</v>
      </c>
      <c r="N34" s="157"/>
      <c r="O34" s="157"/>
      <c r="P34" s="157"/>
      <c r="R34" s="20"/>
    </row>
    <row r="35" spans="2:18" s="6" customFormat="1" ht="15" customHeight="1" hidden="1">
      <c r="B35" s="19"/>
      <c r="E35" s="24" t="s">
        <v>45</v>
      </c>
      <c r="F35" s="25">
        <v>0.15</v>
      </c>
      <c r="G35" s="85" t="s">
        <v>42</v>
      </c>
      <c r="H35" s="177">
        <f>ROUND((SUM($BH$96:$BH$97)+SUM($BH$115:$BH$135)),2)</f>
        <v>0</v>
      </c>
      <c r="I35" s="157"/>
      <c r="J35" s="157"/>
      <c r="M35" s="177">
        <v>0</v>
      </c>
      <c r="N35" s="157"/>
      <c r="O35" s="157"/>
      <c r="P35" s="157"/>
      <c r="R35" s="20"/>
    </row>
    <row r="36" spans="2:18" s="6" customFormat="1" ht="15" customHeight="1" hidden="1">
      <c r="B36" s="19"/>
      <c r="E36" s="24" t="s">
        <v>46</v>
      </c>
      <c r="F36" s="25">
        <v>0</v>
      </c>
      <c r="G36" s="85" t="s">
        <v>42</v>
      </c>
      <c r="H36" s="177">
        <f>ROUND((SUM($BI$96:$BI$97)+SUM($BI$115:$BI$135)),2)</f>
        <v>0</v>
      </c>
      <c r="I36" s="157"/>
      <c r="J36" s="157"/>
      <c r="M36" s="177">
        <v>0</v>
      </c>
      <c r="N36" s="157"/>
      <c r="O36" s="157"/>
      <c r="P36" s="157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47</v>
      </c>
      <c r="E38" s="30"/>
      <c r="F38" s="30"/>
      <c r="G38" s="86" t="s">
        <v>48</v>
      </c>
      <c r="H38" s="31" t="s">
        <v>49</v>
      </c>
      <c r="I38" s="30"/>
      <c r="J38" s="30"/>
      <c r="K38" s="30"/>
      <c r="L38" s="155">
        <f>SUM($M$30:$M$36)</f>
        <v>29163.53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 hidden="1">
      <c r="B40" s="19"/>
      <c r="R40" s="20"/>
    </row>
    <row r="41" spans="2:18" s="2" customFormat="1" ht="14.25" customHeight="1" hidden="1">
      <c r="B41" s="10"/>
      <c r="R41" s="11"/>
    </row>
    <row r="42" spans="2:18" s="2" customFormat="1" ht="14.25" customHeight="1" hidden="1">
      <c r="B42" s="10"/>
      <c r="R42" s="11"/>
    </row>
    <row r="43" spans="2:18" s="2" customFormat="1" ht="14.25" customHeight="1" hidden="1">
      <c r="B43" s="10"/>
      <c r="R43" s="11"/>
    </row>
    <row r="44" spans="2:18" s="2" customFormat="1" ht="14.25" customHeight="1" hidden="1">
      <c r="B44" s="10"/>
      <c r="R44" s="11"/>
    </row>
    <row r="45" spans="2:18" s="2" customFormat="1" ht="14.25" customHeight="1" hidden="1">
      <c r="B45" s="10"/>
      <c r="R45" s="11"/>
    </row>
    <row r="46" spans="2:18" s="2" customFormat="1" ht="14.25" customHeight="1" hidden="1">
      <c r="B46" s="10"/>
      <c r="R46" s="11"/>
    </row>
    <row r="47" spans="2:18" s="2" customFormat="1" ht="14.25" customHeight="1" hidden="1">
      <c r="B47" s="10"/>
      <c r="R47" s="11"/>
    </row>
    <row r="48" spans="2:18" s="2" customFormat="1" ht="14.25" customHeight="1" hidden="1">
      <c r="B48" s="10"/>
      <c r="R48" s="11"/>
    </row>
    <row r="49" spans="2:18" s="2" customFormat="1" ht="14.25" customHeight="1" hidden="1">
      <c r="B49" s="10"/>
      <c r="R49" s="11"/>
    </row>
    <row r="50" spans="2:18" s="6" customFormat="1" ht="15.75" customHeight="1" hidden="1">
      <c r="B50" s="19"/>
      <c r="D50" s="32" t="s">
        <v>50</v>
      </c>
      <c r="E50" s="33"/>
      <c r="F50" s="33"/>
      <c r="G50" s="33"/>
      <c r="H50" s="34"/>
      <c r="J50" s="32" t="s">
        <v>51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 hidden="1">
      <c r="B51" s="10"/>
      <c r="D51" s="35"/>
      <c r="H51" s="36"/>
      <c r="J51" s="35"/>
      <c r="P51" s="36"/>
      <c r="R51" s="11"/>
    </row>
    <row r="52" spans="2:18" s="2" customFormat="1" ht="14.25" customHeight="1" hidden="1">
      <c r="B52" s="10"/>
      <c r="D52" s="35"/>
      <c r="H52" s="36"/>
      <c r="J52" s="35"/>
      <c r="P52" s="36"/>
      <c r="R52" s="11"/>
    </row>
    <row r="53" spans="2:18" s="2" customFormat="1" ht="14.25" customHeight="1" hidden="1">
      <c r="B53" s="10"/>
      <c r="D53" s="35"/>
      <c r="H53" s="36"/>
      <c r="J53" s="35"/>
      <c r="P53" s="36"/>
      <c r="R53" s="11"/>
    </row>
    <row r="54" spans="2:18" s="2" customFormat="1" ht="14.25" customHeight="1" hidden="1">
      <c r="B54" s="10"/>
      <c r="D54" s="35"/>
      <c r="H54" s="36"/>
      <c r="J54" s="35"/>
      <c r="P54" s="36"/>
      <c r="R54" s="11"/>
    </row>
    <row r="55" spans="2:18" s="2" customFormat="1" ht="14.25" customHeight="1" hidden="1">
      <c r="B55" s="10"/>
      <c r="D55" s="35"/>
      <c r="H55" s="36"/>
      <c r="J55" s="35"/>
      <c r="P55" s="36"/>
      <c r="R55" s="11"/>
    </row>
    <row r="56" spans="2:18" s="2" customFormat="1" ht="14.25" customHeight="1" hidden="1">
      <c r="B56" s="10"/>
      <c r="D56" s="35"/>
      <c r="H56" s="36"/>
      <c r="J56" s="35"/>
      <c r="P56" s="36"/>
      <c r="R56" s="11"/>
    </row>
    <row r="57" spans="2:18" s="2" customFormat="1" ht="14.25" customHeight="1" hidden="1">
      <c r="B57" s="10"/>
      <c r="D57" s="35"/>
      <c r="H57" s="36"/>
      <c r="J57" s="35"/>
      <c r="P57" s="36"/>
      <c r="R57" s="11"/>
    </row>
    <row r="58" spans="2:18" s="2" customFormat="1" ht="14.25" customHeight="1" hidden="1">
      <c r="B58" s="10"/>
      <c r="D58" s="35"/>
      <c r="H58" s="36"/>
      <c r="J58" s="35"/>
      <c r="P58" s="36"/>
      <c r="R58" s="11"/>
    </row>
    <row r="59" spans="2:18" s="6" customFormat="1" ht="15.75" customHeight="1" hidden="1">
      <c r="B59" s="19"/>
      <c r="D59" s="37" t="s">
        <v>52</v>
      </c>
      <c r="E59" s="38"/>
      <c r="F59" s="38"/>
      <c r="G59" s="39" t="s">
        <v>53</v>
      </c>
      <c r="H59" s="40"/>
      <c r="J59" s="37" t="s">
        <v>52</v>
      </c>
      <c r="K59" s="38"/>
      <c r="L59" s="38"/>
      <c r="M59" s="38"/>
      <c r="N59" s="39" t="s">
        <v>53</v>
      </c>
      <c r="O59" s="38"/>
      <c r="P59" s="40"/>
      <c r="R59" s="20"/>
    </row>
    <row r="60" spans="2:18" s="2" customFormat="1" ht="14.25" customHeight="1" hidden="1">
      <c r="B60" s="10"/>
      <c r="R60" s="11"/>
    </row>
    <row r="61" spans="2:18" s="6" customFormat="1" ht="15.75" customHeight="1" hidden="1">
      <c r="B61" s="19"/>
      <c r="D61" s="32" t="s">
        <v>54</v>
      </c>
      <c r="E61" s="33"/>
      <c r="F61" s="33"/>
      <c r="G61" s="33"/>
      <c r="H61" s="34"/>
      <c r="J61" s="32" t="s">
        <v>55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 hidden="1">
      <c r="B62" s="10"/>
      <c r="D62" s="35"/>
      <c r="H62" s="36"/>
      <c r="J62" s="35"/>
      <c r="P62" s="36"/>
      <c r="R62" s="11"/>
    </row>
    <row r="63" spans="2:18" s="2" customFormat="1" ht="14.25" customHeight="1" hidden="1">
      <c r="B63" s="10"/>
      <c r="D63" s="35"/>
      <c r="H63" s="36"/>
      <c r="J63" s="35"/>
      <c r="P63" s="36"/>
      <c r="R63" s="11"/>
    </row>
    <row r="64" spans="2:18" s="2" customFormat="1" ht="14.25" customHeight="1" hidden="1">
      <c r="B64" s="10"/>
      <c r="D64" s="35"/>
      <c r="H64" s="36"/>
      <c r="J64" s="35"/>
      <c r="P64" s="36"/>
      <c r="R64" s="11"/>
    </row>
    <row r="65" spans="2:18" s="2" customFormat="1" ht="14.25" customHeight="1" hidden="1">
      <c r="B65" s="10"/>
      <c r="D65" s="35"/>
      <c r="H65" s="36"/>
      <c r="J65" s="35"/>
      <c r="P65" s="36"/>
      <c r="R65" s="11"/>
    </row>
    <row r="66" spans="2:18" s="2" customFormat="1" ht="14.25" customHeight="1" hidden="1">
      <c r="B66" s="10"/>
      <c r="D66" s="35"/>
      <c r="H66" s="36"/>
      <c r="J66" s="35"/>
      <c r="P66" s="36"/>
      <c r="R66" s="11"/>
    </row>
    <row r="67" spans="2:18" s="2" customFormat="1" ht="14.25" customHeight="1" hidden="1">
      <c r="B67" s="10"/>
      <c r="D67" s="35"/>
      <c r="H67" s="36"/>
      <c r="J67" s="35"/>
      <c r="P67" s="36"/>
      <c r="R67" s="11"/>
    </row>
    <row r="68" spans="2:18" s="2" customFormat="1" ht="14.25" customHeight="1" hidden="1">
      <c r="B68" s="10"/>
      <c r="D68" s="35"/>
      <c r="H68" s="36"/>
      <c r="J68" s="35"/>
      <c r="P68" s="36"/>
      <c r="R68" s="11"/>
    </row>
    <row r="69" spans="2:18" s="2" customFormat="1" ht="14.25" customHeight="1" hidden="1">
      <c r="B69" s="10"/>
      <c r="D69" s="35"/>
      <c r="H69" s="36"/>
      <c r="J69" s="35"/>
      <c r="P69" s="36"/>
      <c r="R69" s="11"/>
    </row>
    <row r="70" spans="2:18" s="6" customFormat="1" ht="15.75" customHeight="1" hidden="1">
      <c r="B70" s="19"/>
      <c r="D70" s="37" t="s">
        <v>52</v>
      </c>
      <c r="E70" s="38"/>
      <c r="F70" s="38"/>
      <c r="G70" s="39" t="s">
        <v>53</v>
      </c>
      <c r="H70" s="40"/>
      <c r="J70" s="37" t="s">
        <v>52</v>
      </c>
      <c r="K70" s="38"/>
      <c r="L70" s="38"/>
      <c r="M70" s="38"/>
      <c r="N70" s="39" t="s">
        <v>53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3" t="s">
        <v>115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3" t="str">
        <f>$F$6</f>
        <v>UK-stavební práce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R78" s="20"/>
    </row>
    <row r="79" spans="2:18" s="6" customFormat="1" ht="37.5" customHeight="1">
      <c r="B79" s="19"/>
      <c r="C79" s="49" t="s">
        <v>111</v>
      </c>
      <c r="F79" s="158" t="str">
        <f>$F$7</f>
        <v>A4 - Stavební práce - Úpravy povrchů vnější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74" t="str">
        <f>IF($O$9="","",$O$9)</f>
        <v>23.10.2016</v>
      </c>
      <c r="N81" s="157"/>
      <c r="O81" s="157"/>
      <c r="P81" s="157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Univerzita Karlova - Správa budov a zařízení</v>
      </c>
      <c r="K83" s="16" t="s">
        <v>33</v>
      </c>
      <c r="M83" s="144" t="str">
        <f>$E$18</f>
        <v> </v>
      </c>
      <c r="N83" s="157"/>
      <c r="O83" s="157"/>
      <c r="P83" s="157"/>
      <c r="Q83" s="157"/>
      <c r="R83" s="20"/>
    </row>
    <row r="84" spans="2:18" s="6" customFormat="1" ht="15" customHeight="1">
      <c r="B84" s="19"/>
      <c r="C84" s="16" t="s">
        <v>32</v>
      </c>
      <c r="F84" s="14" t="str">
        <f>IF($E$15="","",$E$15)</f>
        <v> </v>
      </c>
      <c r="K84" s="16" t="s">
        <v>35</v>
      </c>
      <c r="M84" s="144" t="str">
        <f>$E$21</f>
        <v> </v>
      </c>
      <c r="N84" s="157"/>
      <c r="O84" s="157"/>
      <c r="P84" s="157"/>
      <c r="Q84" s="157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78" t="s">
        <v>116</v>
      </c>
      <c r="D86" s="172"/>
      <c r="E86" s="172"/>
      <c r="F86" s="172"/>
      <c r="G86" s="172"/>
      <c r="H86" s="28"/>
      <c r="I86" s="28"/>
      <c r="J86" s="28"/>
      <c r="K86" s="28"/>
      <c r="L86" s="28"/>
      <c r="M86" s="28"/>
      <c r="N86" s="178" t="s">
        <v>117</v>
      </c>
      <c r="O86" s="157"/>
      <c r="P86" s="157"/>
      <c r="Q86" s="157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1" t="s">
        <v>118</v>
      </c>
      <c r="N88" s="169">
        <f>$N$115</f>
        <v>24102.09</v>
      </c>
      <c r="O88" s="157"/>
      <c r="P88" s="157"/>
      <c r="Q88" s="157"/>
      <c r="R88" s="20"/>
      <c r="AU88" s="6" t="s">
        <v>119</v>
      </c>
    </row>
    <row r="89" spans="2:18" s="66" customFormat="1" ht="25.5" customHeight="1">
      <c r="B89" s="87"/>
      <c r="D89" s="88" t="s">
        <v>120</v>
      </c>
      <c r="N89" s="179">
        <f>$N$116</f>
        <v>23879.84</v>
      </c>
      <c r="O89" s="180"/>
      <c r="P89" s="180"/>
      <c r="Q89" s="180"/>
      <c r="R89" s="89"/>
    </row>
    <row r="90" spans="2:18" s="83" customFormat="1" ht="21" customHeight="1">
      <c r="B90" s="90"/>
      <c r="D90" s="91" t="s">
        <v>122</v>
      </c>
      <c r="N90" s="181">
        <f>$N$117</f>
        <v>15907.5</v>
      </c>
      <c r="O90" s="180"/>
      <c r="P90" s="180"/>
      <c r="Q90" s="180"/>
      <c r="R90" s="92"/>
    </row>
    <row r="91" spans="2:18" s="83" customFormat="1" ht="21" customHeight="1">
      <c r="B91" s="90"/>
      <c r="D91" s="91" t="s">
        <v>123</v>
      </c>
      <c r="N91" s="181">
        <f>$N$125</f>
        <v>7490</v>
      </c>
      <c r="O91" s="180"/>
      <c r="P91" s="180"/>
      <c r="Q91" s="180"/>
      <c r="R91" s="92"/>
    </row>
    <row r="92" spans="2:18" s="83" customFormat="1" ht="21" customHeight="1">
      <c r="B92" s="90"/>
      <c r="D92" s="91" t="s">
        <v>124</v>
      </c>
      <c r="N92" s="181">
        <f>$N$131</f>
        <v>482.34</v>
      </c>
      <c r="O92" s="180"/>
      <c r="P92" s="180"/>
      <c r="Q92" s="180"/>
      <c r="R92" s="92"/>
    </row>
    <row r="93" spans="2:18" s="66" customFormat="1" ht="25.5" customHeight="1">
      <c r="B93" s="87"/>
      <c r="D93" s="88" t="s">
        <v>125</v>
      </c>
      <c r="N93" s="179">
        <f>$N$133</f>
        <v>222.25</v>
      </c>
      <c r="O93" s="180"/>
      <c r="P93" s="180"/>
      <c r="Q93" s="180"/>
      <c r="R93" s="89"/>
    </row>
    <row r="94" spans="2:18" s="83" customFormat="1" ht="21" customHeight="1">
      <c r="B94" s="90"/>
      <c r="D94" s="91" t="s">
        <v>129</v>
      </c>
      <c r="N94" s="181">
        <f>$N$134</f>
        <v>222.25</v>
      </c>
      <c r="O94" s="180"/>
      <c r="P94" s="180"/>
      <c r="Q94" s="180"/>
      <c r="R94" s="92"/>
    </row>
    <row r="95" spans="2:18" s="6" customFormat="1" ht="22.5" customHeight="1">
      <c r="B95" s="19"/>
      <c r="R95" s="20"/>
    </row>
    <row r="96" spans="2:21" s="6" customFormat="1" ht="30" customHeight="1">
      <c r="B96" s="19"/>
      <c r="C96" s="61" t="s">
        <v>130</v>
      </c>
      <c r="N96" s="169">
        <v>0</v>
      </c>
      <c r="O96" s="157"/>
      <c r="P96" s="157"/>
      <c r="Q96" s="157"/>
      <c r="R96" s="20"/>
      <c r="T96" s="93"/>
      <c r="U96" s="94" t="s">
        <v>40</v>
      </c>
    </row>
    <row r="97" spans="2:18" s="6" customFormat="1" ht="18.75" customHeight="1">
      <c r="B97" s="19"/>
      <c r="R97" s="20"/>
    </row>
    <row r="98" spans="2:18" s="6" customFormat="1" ht="30" customHeight="1">
      <c r="B98" s="19"/>
      <c r="C98" s="79" t="s">
        <v>107</v>
      </c>
      <c r="D98" s="28"/>
      <c r="E98" s="28"/>
      <c r="F98" s="28"/>
      <c r="G98" s="28"/>
      <c r="H98" s="28"/>
      <c r="I98" s="28"/>
      <c r="J98" s="28"/>
      <c r="K98" s="28"/>
      <c r="L98" s="171">
        <f>ROUND(SUM($N$88+$N$96),2)</f>
        <v>24102.09</v>
      </c>
      <c r="M98" s="172"/>
      <c r="N98" s="172"/>
      <c r="O98" s="172"/>
      <c r="P98" s="172"/>
      <c r="Q98" s="172"/>
      <c r="R98" s="20"/>
    </row>
    <row r="99" spans="2:18" s="6" customFormat="1" ht="7.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3"/>
    </row>
    <row r="103" spans="2:18" s="6" customFormat="1" ht="7.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18" s="6" customFormat="1" ht="37.5" customHeight="1">
      <c r="B104" s="19"/>
      <c r="C104" s="143" t="s">
        <v>131</v>
      </c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20"/>
    </row>
    <row r="105" spans="2:18" s="6" customFormat="1" ht="7.5" customHeight="1">
      <c r="B105" s="19"/>
      <c r="R105" s="20"/>
    </row>
    <row r="106" spans="2:18" s="6" customFormat="1" ht="30.75" customHeight="1">
      <c r="B106" s="19"/>
      <c r="C106" s="16" t="s">
        <v>14</v>
      </c>
      <c r="F106" s="173" t="str">
        <f>$F$6</f>
        <v>UK-stavební práce</v>
      </c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R106" s="20"/>
    </row>
    <row r="107" spans="2:18" s="6" customFormat="1" ht="37.5" customHeight="1">
      <c r="B107" s="19"/>
      <c r="C107" s="49" t="s">
        <v>111</v>
      </c>
      <c r="F107" s="158" t="str">
        <f>$F$7</f>
        <v>A4 - Stavební práce - Úpravy povrchů vnější</v>
      </c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R107" s="20"/>
    </row>
    <row r="108" spans="2:18" s="6" customFormat="1" ht="7.5" customHeight="1">
      <c r="B108" s="19"/>
      <c r="R108" s="20"/>
    </row>
    <row r="109" spans="2:18" s="6" customFormat="1" ht="18.75" customHeight="1">
      <c r="B109" s="19"/>
      <c r="C109" s="16" t="s">
        <v>20</v>
      </c>
      <c r="F109" s="14" t="str">
        <f>$F$9</f>
        <v> </v>
      </c>
      <c r="K109" s="16" t="s">
        <v>22</v>
      </c>
      <c r="M109" s="174" t="str">
        <f>IF($O$9="","",$O$9)</f>
        <v>23.10.2016</v>
      </c>
      <c r="N109" s="157"/>
      <c r="O109" s="157"/>
      <c r="P109" s="157"/>
      <c r="R109" s="20"/>
    </row>
    <row r="110" spans="2:18" s="6" customFormat="1" ht="7.5" customHeight="1">
      <c r="B110" s="19"/>
      <c r="R110" s="20"/>
    </row>
    <row r="111" spans="2:18" s="6" customFormat="1" ht="15.75" customHeight="1">
      <c r="B111" s="19"/>
      <c r="C111" s="16" t="s">
        <v>26</v>
      </c>
      <c r="F111" s="14" t="str">
        <f>$E$12</f>
        <v>Univerzita Karlova - Správa budov a zařízení</v>
      </c>
      <c r="K111" s="16" t="s">
        <v>33</v>
      </c>
      <c r="M111" s="144" t="str">
        <f>$E$18</f>
        <v> </v>
      </c>
      <c r="N111" s="157"/>
      <c r="O111" s="157"/>
      <c r="P111" s="157"/>
      <c r="Q111" s="157"/>
      <c r="R111" s="20"/>
    </row>
    <row r="112" spans="2:18" s="6" customFormat="1" ht="15" customHeight="1">
      <c r="B112" s="19"/>
      <c r="C112" s="16" t="s">
        <v>32</v>
      </c>
      <c r="F112" s="14" t="str">
        <f>IF($E$15="","",$E$15)</f>
        <v> </v>
      </c>
      <c r="K112" s="16" t="s">
        <v>35</v>
      </c>
      <c r="M112" s="144" t="str">
        <f>$E$21</f>
        <v> </v>
      </c>
      <c r="N112" s="157"/>
      <c r="O112" s="157"/>
      <c r="P112" s="157"/>
      <c r="Q112" s="157"/>
      <c r="R112" s="20"/>
    </row>
    <row r="113" spans="2:18" s="6" customFormat="1" ht="11.25" customHeight="1">
      <c r="B113" s="19"/>
      <c r="R113" s="20"/>
    </row>
    <row r="114" spans="2:27" s="95" customFormat="1" ht="30" customHeight="1">
      <c r="B114" s="96"/>
      <c r="C114" s="97" t="s">
        <v>132</v>
      </c>
      <c r="D114" s="98" t="s">
        <v>133</v>
      </c>
      <c r="E114" s="98" t="s">
        <v>58</v>
      </c>
      <c r="F114" s="182" t="s">
        <v>134</v>
      </c>
      <c r="G114" s="183"/>
      <c r="H114" s="183"/>
      <c r="I114" s="183"/>
      <c r="J114" s="98" t="s">
        <v>135</v>
      </c>
      <c r="K114" s="98" t="s">
        <v>136</v>
      </c>
      <c r="L114" s="182" t="s">
        <v>137</v>
      </c>
      <c r="M114" s="183"/>
      <c r="N114" s="182" t="s">
        <v>138</v>
      </c>
      <c r="O114" s="183"/>
      <c r="P114" s="183"/>
      <c r="Q114" s="184"/>
      <c r="R114" s="99"/>
      <c r="T114" s="56" t="s">
        <v>139</v>
      </c>
      <c r="U114" s="57" t="s">
        <v>40</v>
      </c>
      <c r="V114" s="57" t="s">
        <v>140</v>
      </c>
      <c r="W114" s="57" t="s">
        <v>141</v>
      </c>
      <c r="X114" s="57" t="s">
        <v>142</v>
      </c>
      <c r="Y114" s="57" t="s">
        <v>143</v>
      </c>
      <c r="Z114" s="57" t="s">
        <v>144</v>
      </c>
      <c r="AA114" s="58" t="s">
        <v>145</v>
      </c>
    </row>
    <row r="115" spans="2:63" s="6" customFormat="1" ht="30" customHeight="1">
      <c r="B115" s="19"/>
      <c r="C115" s="61" t="s">
        <v>113</v>
      </c>
      <c r="N115" s="195">
        <f>$BK$115</f>
        <v>24102.09</v>
      </c>
      <c r="O115" s="157"/>
      <c r="P115" s="157"/>
      <c r="Q115" s="157"/>
      <c r="R115" s="20"/>
      <c r="T115" s="60"/>
      <c r="U115" s="33"/>
      <c r="V115" s="33"/>
      <c r="W115" s="100">
        <f>$W$116+$W$133</f>
        <v>51.95155199999999</v>
      </c>
      <c r="X115" s="33"/>
      <c r="Y115" s="100">
        <f>$Y$116+$Y$133</f>
        <v>1.8384999999999998</v>
      </c>
      <c r="Z115" s="33"/>
      <c r="AA115" s="101">
        <f>$AA$116+$AA$133</f>
        <v>1.575</v>
      </c>
      <c r="AT115" s="6" t="s">
        <v>75</v>
      </c>
      <c r="AU115" s="6" t="s">
        <v>119</v>
      </c>
      <c r="BK115" s="102">
        <f>$BK$116+$BK$133</f>
        <v>24102.09</v>
      </c>
    </row>
    <row r="116" spans="2:63" s="103" customFormat="1" ht="37.5" customHeight="1">
      <c r="B116" s="104"/>
      <c r="D116" s="105" t="s">
        <v>120</v>
      </c>
      <c r="E116" s="105"/>
      <c r="F116" s="105"/>
      <c r="G116" s="105"/>
      <c r="H116" s="105"/>
      <c r="I116" s="105"/>
      <c r="J116" s="105"/>
      <c r="K116" s="105"/>
      <c r="L116" s="105"/>
      <c r="M116" s="105"/>
      <c r="N116" s="192">
        <f>$BK$116</f>
        <v>23879.84</v>
      </c>
      <c r="O116" s="193"/>
      <c r="P116" s="193"/>
      <c r="Q116" s="193"/>
      <c r="R116" s="107"/>
      <c r="T116" s="108"/>
      <c r="W116" s="109">
        <f>$W$117+$W$125+$W$131</f>
        <v>51.401551999999995</v>
      </c>
      <c r="Y116" s="109">
        <f>$Y$117+$Y$125+$Y$131</f>
        <v>1.8335</v>
      </c>
      <c r="AA116" s="110">
        <f>$AA$117+$AA$125+$AA$131</f>
        <v>1.575</v>
      </c>
      <c r="AR116" s="106" t="s">
        <v>19</v>
      </c>
      <c r="AT116" s="106" t="s">
        <v>75</v>
      </c>
      <c r="AU116" s="106" t="s">
        <v>76</v>
      </c>
      <c r="AY116" s="106" t="s">
        <v>146</v>
      </c>
      <c r="BK116" s="111">
        <f>$BK$117+$BK$125+$BK$131</f>
        <v>23879.84</v>
      </c>
    </row>
    <row r="117" spans="2:63" s="103" customFormat="1" ht="21" customHeight="1">
      <c r="B117" s="104"/>
      <c r="D117" s="112" t="s">
        <v>122</v>
      </c>
      <c r="E117" s="112"/>
      <c r="F117" s="112"/>
      <c r="G117" s="112"/>
      <c r="H117" s="112"/>
      <c r="I117" s="112"/>
      <c r="J117" s="112"/>
      <c r="K117" s="112"/>
      <c r="L117" s="112"/>
      <c r="M117" s="112"/>
      <c r="N117" s="194">
        <f>$BK$117</f>
        <v>15907.5</v>
      </c>
      <c r="O117" s="193"/>
      <c r="P117" s="193"/>
      <c r="Q117" s="193"/>
      <c r="R117" s="107"/>
      <c r="T117" s="108"/>
      <c r="W117" s="109">
        <f>SUM($W$118:$W$124)</f>
        <v>28.450000000000003</v>
      </c>
      <c r="Y117" s="109">
        <f>SUM($Y$118:$Y$124)</f>
        <v>1.8335</v>
      </c>
      <c r="AA117" s="110">
        <f>SUM($AA$118:$AA$124)</f>
        <v>0</v>
      </c>
      <c r="AR117" s="106" t="s">
        <v>19</v>
      </c>
      <c r="AT117" s="106" t="s">
        <v>75</v>
      </c>
      <c r="AU117" s="106" t="s">
        <v>19</v>
      </c>
      <c r="AY117" s="106" t="s">
        <v>146</v>
      </c>
      <c r="BK117" s="111">
        <f>SUM($BK$118:$BK$124)</f>
        <v>15907.5</v>
      </c>
    </row>
    <row r="118" spans="2:65" s="6" customFormat="1" ht="27" customHeight="1">
      <c r="B118" s="19"/>
      <c r="C118" s="113" t="s">
        <v>219</v>
      </c>
      <c r="D118" s="113" t="s">
        <v>148</v>
      </c>
      <c r="E118" s="114" t="s">
        <v>349</v>
      </c>
      <c r="F118" s="185" t="s">
        <v>350</v>
      </c>
      <c r="G118" s="186"/>
      <c r="H118" s="186"/>
      <c r="I118" s="186"/>
      <c r="J118" s="115" t="s">
        <v>159</v>
      </c>
      <c r="K118" s="116">
        <v>25</v>
      </c>
      <c r="L118" s="187">
        <v>35</v>
      </c>
      <c r="M118" s="186"/>
      <c r="N118" s="187">
        <f>ROUND($L$118*$K$118,2)</f>
        <v>875</v>
      </c>
      <c r="O118" s="186"/>
      <c r="P118" s="186"/>
      <c r="Q118" s="186"/>
      <c r="R118" s="20"/>
      <c r="T118" s="117"/>
      <c r="U118" s="26" t="s">
        <v>41</v>
      </c>
      <c r="V118" s="118">
        <v>0.074</v>
      </c>
      <c r="W118" s="118">
        <f>$V$118*$K$118</f>
        <v>1.8499999999999999</v>
      </c>
      <c r="X118" s="118">
        <v>0.00026</v>
      </c>
      <c r="Y118" s="118">
        <f>$X$118*$K$118</f>
        <v>0.0065</v>
      </c>
      <c r="Z118" s="118">
        <v>0</v>
      </c>
      <c r="AA118" s="119">
        <f>$Z$118*$K$118</f>
        <v>0</v>
      </c>
      <c r="AR118" s="6" t="s">
        <v>152</v>
      </c>
      <c r="AT118" s="6" t="s">
        <v>148</v>
      </c>
      <c r="AU118" s="6" t="s">
        <v>109</v>
      </c>
      <c r="AY118" s="6" t="s">
        <v>146</v>
      </c>
      <c r="BE118" s="120">
        <f>IF($U$118="základní",$N$118,0)</f>
        <v>875</v>
      </c>
      <c r="BF118" s="120">
        <f>IF($U$118="snížená",$N$118,0)</f>
        <v>0</v>
      </c>
      <c r="BG118" s="120">
        <f>IF($U$118="zákl. přenesená",$N$118,0)</f>
        <v>0</v>
      </c>
      <c r="BH118" s="120">
        <f>IF($U$118="sníž. přenesená",$N$118,0)</f>
        <v>0</v>
      </c>
      <c r="BI118" s="120">
        <f>IF($U$118="nulová",$N$118,0)</f>
        <v>0</v>
      </c>
      <c r="BJ118" s="6" t="s">
        <v>19</v>
      </c>
      <c r="BK118" s="120">
        <f>ROUND($L$118*$K$118,2)</f>
        <v>875</v>
      </c>
      <c r="BL118" s="6" t="s">
        <v>152</v>
      </c>
      <c r="BM118" s="6" t="s">
        <v>351</v>
      </c>
    </row>
    <row r="119" spans="2:65" s="6" customFormat="1" ht="27" customHeight="1">
      <c r="B119" s="19"/>
      <c r="C119" s="113" t="s">
        <v>352</v>
      </c>
      <c r="D119" s="113" t="s">
        <v>148</v>
      </c>
      <c r="E119" s="114" t="s">
        <v>353</v>
      </c>
      <c r="F119" s="185" t="s">
        <v>354</v>
      </c>
      <c r="G119" s="186"/>
      <c r="H119" s="186"/>
      <c r="I119" s="186"/>
      <c r="J119" s="115" t="s">
        <v>159</v>
      </c>
      <c r="K119" s="116">
        <v>25</v>
      </c>
      <c r="L119" s="187">
        <v>234</v>
      </c>
      <c r="M119" s="186"/>
      <c r="N119" s="187">
        <f>ROUND($L$119*$K$119,2)</f>
        <v>5850</v>
      </c>
      <c r="O119" s="186"/>
      <c r="P119" s="186"/>
      <c r="Q119" s="186"/>
      <c r="R119" s="20"/>
      <c r="T119" s="117"/>
      <c r="U119" s="26" t="s">
        <v>41</v>
      </c>
      <c r="V119" s="118">
        <v>0.46</v>
      </c>
      <c r="W119" s="118">
        <f>$V$119*$K$119</f>
        <v>11.5</v>
      </c>
      <c r="X119" s="118">
        <v>0.02636</v>
      </c>
      <c r="Y119" s="118">
        <f>$X$119*$K$119</f>
        <v>0.659</v>
      </c>
      <c r="Z119" s="118">
        <v>0</v>
      </c>
      <c r="AA119" s="119">
        <f>$Z$119*$K$119</f>
        <v>0</v>
      </c>
      <c r="AR119" s="6" t="s">
        <v>152</v>
      </c>
      <c r="AT119" s="6" t="s">
        <v>148</v>
      </c>
      <c r="AU119" s="6" t="s">
        <v>109</v>
      </c>
      <c r="AY119" s="6" t="s">
        <v>146</v>
      </c>
      <c r="BE119" s="120">
        <f>IF($U$119="základní",$N$119,0)</f>
        <v>5850</v>
      </c>
      <c r="BF119" s="120">
        <f>IF($U$119="snížená",$N$119,0)</f>
        <v>0</v>
      </c>
      <c r="BG119" s="120">
        <f>IF($U$119="zákl. přenesená",$N$119,0)</f>
        <v>0</v>
      </c>
      <c r="BH119" s="120">
        <f>IF($U$119="sníž. přenesená",$N$119,0)</f>
        <v>0</v>
      </c>
      <c r="BI119" s="120">
        <f>IF($U$119="nulová",$N$119,0)</f>
        <v>0</v>
      </c>
      <c r="BJ119" s="6" t="s">
        <v>19</v>
      </c>
      <c r="BK119" s="120">
        <f>ROUND($L$119*$K$119,2)</f>
        <v>5850</v>
      </c>
      <c r="BL119" s="6" t="s">
        <v>152</v>
      </c>
      <c r="BM119" s="6" t="s">
        <v>355</v>
      </c>
    </row>
    <row r="120" spans="2:65" s="6" customFormat="1" ht="27" customHeight="1">
      <c r="B120" s="19"/>
      <c r="C120" s="113" t="s">
        <v>356</v>
      </c>
      <c r="D120" s="113" t="s">
        <v>148</v>
      </c>
      <c r="E120" s="114" t="s">
        <v>357</v>
      </c>
      <c r="F120" s="185" t="s">
        <v>358</v>
      </c>
      <c r="G120" s="186"/>
      <c r="H120" s="186"/>
      <c r="I120" s="186"/>
      <c r="J120" s="115" t="s">
        <v>159</v>
      </c>
      <c r="K120" s="116">
        <v>125</v>
      </c>
      <c r="L120" s="187">
        <v>51.6</v>
      </c>
      <c r="M120" s="186"/>
      <c r="N120" s="187">
        <f>ROUND($L$120*$K$120,2)</f>
        <v>6450</v>
      </c>
      <c r="O120" s="186"/>
      <c r="P120" s="186"/>
      <c r="Q120" s="186"/>
      <c r="R120" s="20"/>
      <c r="T120" s="117"/>
      <c r="U120" s="26" t="s">
        <v>41</v>
      </c>
      <c r="V120" s="118">
        <v>0.09</v>
      </c>
      <c r="W120" s="118">
        <f>$V$120*$K$120</f>
        <v>11.25</v>
      </c>
      <c r="X120" s="118">
        <v>0.0079</v>
      </c>
      <c r="Y120" s="118">
        <f>$X$120*$K$120</f>
        <v>0.9875</v>
      </c>
      <c r="Z120" s="118">
        <v>0</v>
      </c>
      <c r="AA120" s="119">
        <f>$Z$120*$K$120</f>
        <v>0</v>
      </c>
      <c r="AR120" s="6" t="s">
        <v>152</v>
      </c>
      <c r="AT120" s="6" t="s">
        <v>148</v>
      </c>
      <c r="AU120" s="6" t="s">
        <v>109</v>
      </c>
      <c r="AY120" s="6" t="s">
        <v>146</v>
      </c>
      <c r="BE120" s="120">
        <f>IF($U$120="základní",$N$120,0)</f>
        <v>6450</v>
      </c>
      <c r="BF120" s="120">
        <f>IF($U$120="snížená",$N$120,0)</f>
        <v>0</v>
      </c>
      <c r="BG120" s="120">
        <f>IF($U$120="zákl. přenesená",$N$120,0)</f>
        <v>0</v>
      </c>
      <c r="BH120" s="120">
        <f>IF($U$120="sníž. přenesená",$N$120,0)</f>
        <v>0</v>
      </c>
      <c r="BI120" s="120">
        <f>IF($U$120="nulová",$N$120,0)</f>
        <v>0</v>
      </c>
      <c r="BJ120" s="6" t="s">
        <v>19</v>
      </c>
      <c r="BK120" s="120">
        <f>ROUND($L$120*$K$120,2)</f>
        <v>6450</v>
      </c>
      <c r="BL120" s="6" t="s">
        <v>152</v>
      </c>
      <c r="BM120" s="6" t="s">
        <v>359</v>
      </c>
    </row>
    <row r="121" spans="2:47" s="6" customFormat="1" ht="30.75" customHeight="1">
      <c r="B121" s="19"/>
      <c r="F121" s="188" t="s">
        <v>360</v>
      </c>
      <c r="G121" s="157"/>
      <c r="H121" s="157"/>
      <c r="I121" s="157"/>
      <c r="R121" s="20"/>
      <c r="T121" s="54"/>
      <c r="AA121" s="55"/>
      <c r="AT121" s="6" t="s">
        <v>155</v>
      </c>
      <c r="AU121" s="6" t="s">
        <v>109</v>
      </c>
    </row>
    <row r="122" spans="2:65" s="6" customFormat="1" ht="27" customHeight="1">
      <c r="B122" s="19"/>
      <c r="C122" s="113" t="s">
        <v>361</v>
      </c>
      <c r="D122" s="113" t="s">
        <v>148</v>
      </c>
      <c r="E122" s="114" t="s">
        <v>362</v>
      </c>
      <c r="F122" s="185" t="s">
        <v>363</v>
      </c>
      <c r="G122" s="186"/>
      <c r="H122" s="186"/>
      <c r="I122" s="186"/>
      <c r="J122" s="115" t="s">
        <v>159</v>
      </c>
      <c r="K122" s="116">
        <v>25</v>
      </c>
      <c r="L122" s="187">
        <v>45.3</v>
      </c>
      <c r="M122" s="186"/>
      <c r="N122" s="187">
        <f>ROUND($L$122*$K$122,2)</f>
        <v>1132.5</v>
      </c>
      <c r="O122" s="186"/>
      <c r="P122" s="186"/>
      <c r="Q122" s="186"/>
      <c r="R122" s="20"/>
      <c r="T122" s="117"/>
      <c r="U122" s="26" t="s">
        <v>41</v>
      </c>
      <c r="V122" s="118">
        <v>0.07</v>
      </c>
      <c r="W122" s="118">
        <f>$V$122*$K$122</f>
        <v>1.7500000000000002</v>
      </c>
      <c r="X122" s="118">
        <v>0.0068</v>
      </c>
      <c r="Y122" s="118">
        <f>$X$122*$K$122</f>
        <v>0.16999999999999998</v>
      </c>
      <c r="Z122" s="118">
        <v>0</v>
      </c>
      <c r="AA122" s="119">
        <f>$Z$122*$K$122</f>
        <v>0</v>
      </c>
      <c r="AR122" s="6" t="s">
        <v>152</v>
      </c>
      <c r="AT122" s="6" t="s">
        <v>148</v>
      </c>
      <c r="AU122" s="6" t="s">
        <v>109</v>
      </c>
      <c r="AY122" s="6" t="s">
        <v>146</v>
      </c>
      <c r="BE122" s="120">
        <f>IF($U$122="základní",$N$122,0)</f>
        <v>1132.5</v>
      </c>
      <c r="BF122" s="120">
        <f>IF($U$122="snížená",$N$122,0)</f>
        <v>0</v>
      </c>
      <c r="BG122" s="120">
        <f>IF($U$122="zákl. přenesená",$N$122,0)</f>
        <v>0</v>
      </c>
      <c r="BH122" s="120">
        <f>IF($U$122="sníž. přenesená",$N$122,0)</f>
        <v>0</v>
      </c>
      <c r="BI122" s="120">
        <f>IF($U$122="nulová",$N$122,0)</f>
        <v>0</v>
      </c>
      <c r="BJ122" s="6" t="s">
        <v>19</v>
      </c>
      <c r="BK122" s="120">
        <f>ROUND($L$122*$K$122,2)</f>
        <v>1132.5</v>
      </c>
      <c r="BL122" s="6" t="s">
        <v>152</v>
      </c>
      <c r="BM122" s="6" t="s">
        <v>364</v>
      </c>
    </row>
    <row r="123" spans="2:47" s="6" customFormat="1" ht="30.75" customHeight="1">
      <c r="B123" s="19"/>
      <c r="F123" s="188" t="s">
        <v>365</v>
      </c>
      <c r="G123" s="157"/>
      <c r="H123" s="157"/>
      <c r="I123" s="157"/>
      <c r="R123" s="20"/>
      <c r="T123" s="54"/>
      <c r="AA123" s="55"/>
      <c r="AT123" s="6" t="s">
        <v>155</v>
      </c>
      <c r="AU123" s="6" t="s">
        <v>109</v>
      </c>
    </row>
    <row r="124" spans="2:65" s="6" customFormat="1" ht="27" customHeight="1">
      <c r="B124" s="19"/>
      <c r="C124" s="113" t="s">
        <v>366</v>
      </c>
      <c r="D124" s="113" t="s">
        <v>148</v>
      </c>
      <c r="E124" s="114" t="s">
        <v>367</v>
      </c>
      <c r="F124" s="185" t="s">
        <v>368</v>
      </c>
      <c r="G124" s="186"/>
      <c r="H124" s="186"/>
      <c r="I124" s="186"/>
      <c r="J124" s="115" t="s">
        <v>159</v>
      </c>
      <c r="K124" s="116">
        <v>25</v>
      </c>
      <c r="L124" s="187">
        <v>64</v>
      </c>
      <c r="M124" s="186"/>
      <c r="N124" s="187">
        <f>ROUND($L$124*$K$124,2)</f>
        <v>1600</v>
      </c>
      <c r="O124" s="186"/>
      <c r="P124" s="186"/>
      <c r="Q124" s="186"/>
      <c r="R124" s="20"/>
      <c r="T124" s="117"/>
      <c r="U124" s="26" t="s">
        <v>41</v>
      </c>
      <c r="V124" s="118">
        <v>0.084</v>
      </c>
      <c r="W124" s="118">
        <f>$V$124*$K$124</f>
        <v>2.1</v>
      </c>
      <c r="X124" s="118">
        <v>0.00042</v>
      </c>
      <c r="Y124" s="118">
        <f>$X$124*$K$124</f>
        <v>0.0105</v>
      </c>
      <c r="Z124" s="118">
        <v>0</v>
      </c>
      <c r="AA124" s="119">
        <f>$Z$124*$K$124</f>
        <v>0</v>
      </c>
      <c r="AR124" s="6" t="s">
        <v>152</v>
      </c>
      <c r="AT124" s="6" t="s">
        <v>148</v>
      </c>
      <c r="AU124" s="6" t="s">
        <v>109</v>
      </c>
      <c r="AY124" s="6" t="s">
        <v>146</v>
      </c>
      <c r="BE124" s="120">
        <f>IF($U$124="základní",$N$124,0)</f>
        <v>1600</v>
      </c>
      <c r="BF124" s="120">
        <f>IF($U$124="snížená",$N$124,0)</f>
        <v>0</v>
      </c>
      <c r="BG124" s="120">
        <f>IF($U$124="zákl. přenesená",$N$124,0)</f>
        <v>0</v>
      </c>
      <c r="BH124" s="120">
        <f>IF($U$124="sníž. přenesená",$N$124,0)</f>
        <v>0</v>
      </c>
      <c r="BI124" s="120">
        <f>IF($U$124="nulová",$N$124,0)</f>
        <v>0</v>
      </c>
      <c r="BJ124" s="6" t="s">
        <v>19</v>
      </c>
      <c r="BK124" s="120">
        <f>ROUND($L$124*$K$124,2)</f>
        <v>1600</v>
      </c>
      <c r="BL124" s="6" t="s">
        <v>152</v>
      </c>
      <c r="BM124" s="6" t="s">
        <v>369</v>
      </c>
    </row>
    <row r="125" spans="2:63" s="103" customFormat="1" ht="30.75" customHeight="1">
      <c r="B125" s="104"/>
      <c r="D125" s="112" t="s">
        <v>123</v>
      </c>
      <c r="E125" s="112"/>
      <c r="F125" s="112"/>
      <c r="G125" s="112"/>
      <c r="H125" s="112"/>
      <c r="I125" s="112"/>
      <c r="J125" s="112"/>
      <c r="K125" s="112"/>
      <c r="L125" s="112"/>
      <c r="M125" s="112"/>
      <c r="N125" s="194">
        <f>$BK$125</f>
        <v>7490</v>
      </c>
      <c r="O125" s="193"/>
      <c r="P125" s="193"/>
      <c r="Q125" s="193"/>
      <c r="R125" s="107"/>
      <c r="T125" s="108"/>
      <c r="W125" s="109">
        <f>SUM($W$126:$W$130)</f>
        <v>22.349999999999998</v>
      </c>
      <c r="Y125" s="109">
        <f>SUM($Y$126:$Y$130)</f>
        <v>0</v>
      </c>
      <c r="AA125" s="110">
        <f>SUM($AA$126:$AA$130)</f>
        <v>1.575</v>
      </c>
      <c r="AR125" s="106" t="s">
        <v>19</v>
      </c>
      <c r="AT125" s="106" t="s">
        <v>75</v>
      </c>
      <c r="AU125" s="106" t="s">
        <v>19</v>
      </c>
      <c r="AY125" s="106" t="s">
        <v>146</v>
      </c>
      <c r="BK125" s="111">
        <f>SUM($BK$126:$BK$130)</f>
        <v>7490</v>
      </c>
    </row>
    <row r="126" spans="2:65" s="6" customFormat="1" ht="39" customHeight="1">
      <c r="B126" s="19"/>
      <c r="C126" s="113" t="s">
        <v>370</v>
      </c>
      <c r="D126" s="113" t="s">
        <v>148</v>
      </c>
      <c r="E126" s="114" t="s">
        <v>371</v>
      </c>
      <c r="F126" s="185" t="s">
        <v>372</v>
      </c>
      <c r="G126" s="186"/>
      <c r="H126" s="186"/>
      <c r="I126" s="186"/>
      <c r="J126" s="115" t="s">
        <v>159</v>
      </c>
      <c r="K126" s="116">
        <v>25</v>
      </c>
      <c r="L126" s="187">
        <v>39</v>
      </c>
      <c r="M126" s="186"/>
      <c r="N126" s="187">
        <f>ROUND($L$126*$K$126,2)</f>
        <v>975</v>
      </c>
      <c r="O126" s="186"/>
      <c r="P126" s="186"/>
      <c r="Q126" s="186"/>
      <c r="R126" s="20"/>
      <c r="T126" s="117"/>
      <c r="U126" s="26" t="s">
        <v>41</v>
      </c>
      <c r="V126" s="118">
        <v>0.126</v>
      </c>
      <c r="W126" s="118">
        <f>$V$126*$K$126</f>
        <v>3.15</v>
      </c>
      <c r="X126" s="118">
        <v>0</v>
      </c>
      <c r="Y126" s="118">
        <f>$X$126*$K$126</f>
        <v>0</v>
      </c>
      <c r="Z126" s="118">
        <v>0</v>
      </c>
      <c r="AA126" s="119">
        <f>$Z$126*$K$126</f>
        <v>0</v>
      </c>
      <c r="AR126" s="6" t="s">
        <v>152</v>
      </c>
      <c r="AT126" s="6" t="s">
        <v>148</v>
      </c>
      <c r="AU126" s="6" t="s">
        <v>109</v>
      </c>
      <c r="AY126" s="6" t="s">
        <v>146</v>
      </c>
      <c r="BE126" s="120">
        <f>IF($U$126="základní",$N$126,0)</f>
        <v>975</v>
      </c>
      <c r="BF126" s="120">
        <f>IF($U$126="snížená",$N$126,0)</f>
        <v>0</v>
      </c>
      <c r="BG126" s="120">
        <f>IF($U$126="zákl. přenesená",$N$126,0)</f>
        <v>0</v>
      </c>
      <c r="BH126" s="120">
        <f>IF($U$126="sníž. přenesená",$N$126,0)</f>
        <v>0</v>
      </c>
      <c r="BI126" s="120">
        <f>IF($U$126="nulová",$N$126,0)</f>
        <v>0</v>
      </c>
      <c r="BJ126" s="6" t="s">
        <v>19</v>
      </c>
      <c r="BK126" s="120">
        <f>ROUND($L$126*$K$126,2)</f>
        <v>975</v>
      </c>
      <c r="BL126" s="6" t="s">
        <v>152</v>
      </c>
      <c r="BM126" s="6" t="s">
        <v>373</v>
      </c>
    </row>
    <row r="127" spans="2:65" s="6" customFormat="1" ht="39" customHeight="1">
      <c r="B127" s="19"/>
      <c r="C127" s="113" t="s">
        <v>374</v>
      </c>
      <c r="D127" s="113" t="s">
        <v>148</v>
      </c>
      <c r="E127" s="114" t="s">
        <v>375</v>
      </c>
      <c r="F127" s="185" t="s">
        <v>376</v>
      </c>
      <c r="G127" s="186"/>
      <c r="H127" s="186"/>
      <c r="I127" s="186"/>
      <c r="J127" s="115" t="s">
        <v>159</v>
      </c>
      <c r="K127" s="116">
        <v>250</v>
      </c>
      <c r="L127" s="187">
        <v>0.6</v>
      </c>
      <c r="M127" s="186"/>
      <c r="N127" s="187">
        <f>ROUND($L$127*$K$127,2)</f>
        <v>150</v>
      </c>
      <c r="O127" s="186"/>
      <c r="P127" s="186"/>
      <c r="Q127" s="186"/>
      <c r="R127" s="20"/>
      <c r="T127" s="117"/>
      <c r="U127" s="26" t="s">
        <v>41</v>
      </c>
      <c r="V127" s="118">
        <v>0</v>
      </c>
      <c r="W127" s="118">
        <f>$V$127*$K$127</f>
        <v>0</v>
      </c>
      <c r="X127" s="118">
        <v>0</v>
      </c>
      <c r="Y127" s="118">
        <f>$X$127*$K$127</f>
        <v>0</v>
      </c>
      <c r="Z127" s="118">
        <v>0</v>
      </c>
      <c r="AA127" s="119">
        <f>$Z$127*$K$127</f>
        <v>0</v>
      </c>
      <c r="AR127" s="6" t="s">
        <v>152</v>
      </c>
      <c r="AT127" s="6" t="s">
        <v>148</v>
      </c>
      <c r="AU127" s="6" t="s">
        <v>109</v>
      </c>
      <c r="AY127" s="6" t="s">
        <v>146</v>
      </c>
      <c r="BE127" s="120">
        <f>IF($U$127="základní",$N$127,0)</f>
        <v>150</v>
      </c>
      <c r="BF127" s="120">
        <f>IF($U$127="snížená",$N$127,0)</f>
        <v>0</v>
      </c>
      <c r="BG127" s="120">
        <f>IF($U$127="zákl. přenesená",$N$127,0)</f>
        <v>0</v>
      </c>
      <c r="BH127" s="120">
        <f>IF($U$127="sníž. přenesená",$N$127,0)</f>
        <v>0</v>
      </c>
      <c r="BI127" s="120">
        <f>IF($U$127="nulová",$N$127,0)</f>
        <v>0</v>
      </c>
      <c r="BJ127" s="6" t="s">
        <v>19</v>
      </c>
      <c r="BK127" s="120">
        <f>ROUND($L$127*$K$127,2)</f>
        <v>150</v>
      </c>
      <c r="BL127" s="6" t="s">
        <v>152</v>
      </c>
      <c r="BM127" s="6" t="s">
        <v>377</v>
      </c>
    </row>
    <row r="128" spans="2:47" s="6" customFormat="1" ht="18.75" customHeight="1">
      <c r="B128" s="19"/>
      <c r="F128" s="188" t="s">
        <v>378</v>
      </c>
      <c r="G128" s="157"/>
      <c r="H128" s="157"/>
      <c r="I128" s="157"/>
      <c r="R128" s="20"/>
      <c r="T128" s="54"/>
      <c r="AA128" s="55"/>
      <c r="AT128" s="6" t="s">
        <v>155</v>
      </c>
      <c r="AU128" s="6" t="s">
        <v>109</v>
      </c>
    </row>
    <row r="129" spans="2:65" s="6" customFormat="1" ht="39" customHeight="1">
      <c r="B129" s="19"/>
      <c r="C129" s="113" t="s">
        <v>379</v>
      </c>
      <c r="D129" s="113" t="s">
        <v>148</v>
      </c>
      <c r="E129" s="114" t="s">
        <v>380</v>
      </c>
      <c r="F129" s="185" t="s">
        <v>381</v>
      </c>
      <c r="G129" s="186"/>
      <c r="H129" s="186"/>
      <c r="I129" s="186"/>
      <c r="J129" s="115" t="s">
        <v>159</v>
      </c>
      <c r="K129" s="116">
        <v>25</v>
      </c>
      <c r="L129" s="187">
        <v>23.6</v>
      </c>
      <c r="M129" s="186"/>
      <c r="N129" s="187">
        <f>ROUND($L$129*$K$129,2)</f>
        <v>590</v>
      </c>
      <c r="O129" s="186"/>
      <c r="P129" s="186"/>
      <c r="Q129" s="186"/>
      <c r="R129" s="20"/>
      <c r="T129" s="117"/>
      <c r="U129" s="26" t="s">
        <v>41</v>
      </c>
      <c r="V129" s="118">
        <v>0.079</v>
      </c>
      <c r="W129" s="118">
        <f>$V$129*$K$129</f>
        <v>1.975</v>
      </c>
      <c r="X129" s="118">
        <v>0</v>
      </c>
      <c r="Y129" s="118">
        <f>$X$129*$K$129</f>
        <v>0</v>
      </c>
      <c r="Z129" s="118">
        <v>0</v>
      </c>
      <c r="AA129" s="119">
        <f>$Z$129*$K$129</f>
        <v>0</v>
      </c>
      <c r="AR129" s="6" t="s">
        <v>152</v>
      </c>
      <c r="AT129" s="6" t="s">
        <v>148</v>
      </c>
      <c r="AU129" s="6" t="s">
        <v>109</v>
      </c>
      <c r="AY129" s="6" t="s">
        <v>146</v>
      </c>
      <c r="BE129" s="120">
        <f>IF($U$129="základní",$N$129,0)</f>
        <v>590</v>
      </c>
      <c r="BF129" s="120">
        <f>IF($U$129="snížená",$N$129,0)</f>
        <v>0</v>
      </c>
      <c r="BG129" s="120">
        <f>IF($U$129="zákl. přenesená",$N$129,0)</f>
        <v>0</v>
      </c>
      <c r="BH129" s="120">
        <f>IF($U$129="sníž. přenesená",$N$129,0)</f>
        <v>0</v>
      </c>
      <c r="BI129" s="120">
        <f>IF($U$129="nulová",$N$129,0)</f>
        <v>0</v>
      </c>
      <c r="BJ129" s="6" t="s">
        <v>19</v>
      </c>
      <c r="BK129" s="120">
        <f>ROUND($L$129*$K$129,2)</f>
        <v>590</v>
      </c>
      <c r="BL129" s="6" t="s">
        <v>152</v>
      </c>
      <c r="BM129" s="6" t="s">
        <v>382</v>
      </c>
    </row>
    <row r="130" spans="2:65" s="6" customFormat="1" ht="15.75" customHeight="1">
      <c r="B130" s="19"/>
      <c r="C130" s="113" t="s">
        <v>383</v>
      </c>
      <c r="D130" s="113" t="s">
        <v>148</v>
      </c>
      <c r="E130" s="114" t="s">
        <v>384</v>
      </c>
      <c r="F130" s="185" t="s">
        <v>385</v>
      </c>
      <c r="G130" s="186"/>
      <c r="H130" s="186"/>
      <c r="I130" s="186"/>
      <c r="J130" s="115" t="s">
        <v>159</v>
      </c>
      <c r="K130" s="116">
        <v>25</v>
      </c>
      <c r="L130" s="187">
        <v>231</v>
      </c>
      <c r="M130" s="186"/>
      <c r="N130" s="187">
        <f>ROUND($L$130*$K$130,2)</f>
        <v>5775</v>
      </c>
      <c r="O130" s="186"/>
      <c r="P130" s="186"/>
      <c r="Q130" s="186"/>
      <c r="R130" s="20"/>
      <c r="T130" s="117"/>
      <c r="U130" s="26" t="s">
        <v>41</v>
      </c>
      <c r="V130" s="118">
        <v>0.689</v>
      </c>
      <c r="W130" s="118">
        <f>$V$130*$K$130</f>
        <v>17.224999999999998</v>
      </c>
      <c r="X130" s="118">
        <v>0</v>
      </c>
      <c r="Y130" s="118">
        <f>$X$130*$K$130</f>
        <v>0</v>
      </c>
      <c r="Z130" s="118">
        <v>0.063</v>
      </c>
      <c r="AA130" s="119">
        <f>$Z$130*$K$130</f>
        <v>1.575</v>
      </c>
      <c r="AR130" s="6" t="s">
        <v>152</v>
      </c>
      <c r="AT130" s="6" t="s">
        <v>148</v>
      </c>
      <c r="AU130" s="6" t="s">
        <v>109</v>
      </c>
      <c r="AY130" s="6" t="s">
        <v>146</v>
      </c>
      <c r="BE130" s="120">
        <f>IF($U$130="základní",$N$130,0)</f>
        <v>5775</v>
      </c>
      <c r="BF130" s="120">
        <f>IF($U$130="snížená",$N$130,0)</f>
        <v>0</v>
      </c>
      <c r="BG130" s="120">
        <f>IF($U$130="zákl. přenesená",$N$130,0)</f>
        <v>0</v>
      </c>
      <c r="BH130" s="120">
        <f>IF($U$130="sníž. přenesená",$N$130,0)</f>
        <v>0</v>
      </c>
      <c r="BI130" s="120">
        <f>IF($U$130="nulová",$N$130,0)</f>
        <v>0</v>
      </c>
      <c r="BJ130" s="6" t="s">
        <v>19</v>
      </c>
      <c r="BK130" s="120">
        <f>ROUND($L$130*$K$130,2)</f>
        <v>5775</v>
      </c>
      <c r="BL130" s="6" t="s">
        <v>152</v>
      </c>
      <c r="BM130" s="6" t="s">
        <v>386</v>
      </c>
    </row>
    <row r="131" spans="2:63" s="103" customFormat="1" ht="30.75" customHeight="1">
      <c r="B131" s="104"/>
      <c r="D131" s="112" t="s">
        <v>124</v>
      </c>
      <c r="E131" s="112"/>
      <c r="F131" s="112"/>
      <c r="G131" s="112"/>
      <c r="H131" s="112"/>
      <c r="I131" s="112"/>
      <c r="J131" s="112"/>
      <c r="K131" s="112"/>
      <c r="L131" s="112"/>
      <c r="M131" s="112"/>
      <c r="N131" s="194">
        <f>$BK$131</f>
        <v>482.34</v>
      </c>
      <c r="O131" s="193"/>
      <c r="P131" s="193"/>
      <c r="Q131" s="193"/>
      <c r="R131" s="107"/>
      <c r="T131" s="108"/>
      <c r="W131" s="109">
        <f>$W$132</f>
        <v>0.6015520000000001</v>
      </c>
      <c r="Y131" s="109">
        <f>$Y$132</f>
        <v>0</v>
      </c>
      <c r="AA131" s="110">
        <f>$AA$132</f>
        <v>0</v>
      </c>
      <c r="AR131" s="106" t="s">
        <v>19</v>
      </c>
      <c r="AT131" s="106" t="s">
        <v>75</v>
      </c>
      <c r="AU131" s="106" t="s">
        <v>19</v>
      </c>
      <c r="AY131" s="106" t="s">
        <v>146</v>
      </c>
      <c r="BK131" s="111">
        <f>$BK$132</f>
        <v>482.34</v>
      </c>
    </row>
    <row r="132" spans="2:65" s="6" customFormat="1" ht="15.75" customHeight="1">
      <c r="B132" s="19"/>
      <c r="C132" s="113" t="s">
        <v>19</v>
      </c>
      <c r="D132" s="113" t="s">
        <v>148</v>
      </c>
      <c r="E132" s="114" t="s">
        <v>200</v>
      </c>
      <c r="F132" s="185" t="s">
        <v>201</v>
      </c>
      <c r="G132" s="186"/>
      <c r="H132" s="186"/>
      <c r="I132" s="186"/>
      <c r="J132" s="115" t="s">
        <v>202</v>
      </c>
      <c r="K132" s="116">
        <v>1.834</v>
      </c>
      <c r="L132" s="187">
        <v>263</v>
      </c>
      <c r="M132" s="186"/>
      <c r="N132" s="187">
        <f>ROUND($L$132*$K$132,2)</f>
        <v>482.34</v>
      </c>
      <c r="O132" s="186"/>
      <c r="P132" s="186"/>
      <c r="Q132" s="186"/>
      <c r="R132" s="20"/>
      <c r="T132" s="117"/>
      <c r="U132" s="26" t="s">
        <v>41</v>
      </c>
      <c r="V132" s="118">
        <v>0.328</v>
      </c>
      <c r="W132" s="118">
        <f>$V$132*$K$132</f>
        <v>0.6015520000000001</v>
      </c>
      <c r="X132" s="118">
        <v>0</v>
      </c>
      <c r="Y132" s="118">
        <f>$X$132*$K$132</f>
        <v>0</v>
      </c>
      <c r="Z132" s="118">
        <v>0</v>
      </c>
      <c r="AA132" s="119">
        <f>$Z$132*$K$132</f>
        <v>0</v>
      </c>
      <c r="AR132" s="6" t="s">
        <v>152</v>
      </c>
      <c r="AT132" s="6" t="s">
        <v>148</v>
      </c>
      <c r="AU132" s="6" t="s">
        <v>109</v>
      </c>
      <c r="AY132" s="6" t="s">
        <v>146</v>
      </c>
      <c r="BE132" s="120">
        <f>IF($U$132="základní",$N$132,0)</f>
        <v>482.34</v>
      </c>
      <c r="BF132" s="120">
        <f>IF($U$132="snížená",$N$132,0)</f>
        <v>0</v>
      </c>
      <c r="BG132" s="120">
        <f>IF($U$132="zákl. přenesená",$N$132,0)</f>
        <v>0</v>
      </c>
      <c r="BH132" s="120">
        <f>IF($U$132="sníž. přenesená",$N$132,0)</f>
        <v>0</v>
      </c>
      <c r="BI132" s="120">
        <f>IF($U$132="nulová",$N$132,0)</f>
        <v>0</v>
      </c>
      <c r="BJ132" s="6" t="s">
        <v>19</v>
      </c>
      <c r="BK132" s="120">
        <f>ROUND($L$132*$K$132,2)</f>
        <v>482.34</v>
      </c>
      <c r="BL132" s="6" t="s">
        <v>152</v>
      </c>
      <c r="BM132" s="6" t="s">
        <v>387</v>
      </c>
    </row>
    <row r="133" spans="2:63" s="103" customFormat="1" ht="37.5" customHeight="1">
      <c r="B133" s="104"/>
      <c r="D133" s="105" t="s">
        <v>125</v>
      </c>
      <c r="E133" s="105"/>
      <c r="F133" s="105"/>
      <c r="G133" s="105"/>
      <c r="H133" s="105"/>
      <c r="I133" s="105"/>
      <c r="J133" s="105"/>
      <c r="K133" s="105"/>
      <c r="L133" s="105"/>
      <c r="M133" s="105"/>
      <c r="N133" s="192">
        <f>$BK$133</f>
        <v>222.25</v>
      </c>
      <c r="O133" s="193"/>
      <c r="P133" s="193"/>
      <c r="Q133" s="193"/>
      <c r="R133" s="107"/>
      <c r="T133" s="108"/>
      <c r="W133" s="109">
        <f>$W$134</f>
        <v>0.5499999999999999</v>
      </c>
      <c r="Y133" s="109">
        <f>$Y$134</f>
        <v>0.005</v>
      </c>
      <c r="AA133" s="110">
        <f>$AA$134</f>
        <v>0</v>
      </c>
      <c r="AR133" s="106" t="s">
        <v>109</v>
      </c>
      <c r="AT133" s="106" t="s">
        <v>75</v>
      </c>
      <c r="AU133" s="106" t="s">
        <v>76</v>
      </c>
      <c r="AY133" s="106" t="s">
        <v>146</v>
      </c>
      <c r="BK133" s="111">
        <f>$BK$134</f>
        <v>222.25</v>
      </c>
    </row>
    <row r="134" spans="2:63" s="103" customFormat="1" ht="21" customHeight="1">
      <c r="B134" s="104"/>
      <c r="D134" s="112" t="s">
        <v>129</v>
      </c>
      <c r="E134" s="112"/>
      <c r="F134" s="112"/>
      <c r="G134" s="112"/>
      <c r="H134" s="112"/>
      <c r="I134" s="112"/>
      <c r="J134" s="112"/>
      <c r="K134" s="112"/>
      <c r="L134" s="112"/>
      <c r="M134" s="112"/>
      <c r="N134" s="194">
        <f>$BK$134</f>
        <v>222.25</v>
      </c>
      <c r="O134" s="193"/>
      <c r="P134" s="193"/>
      <c r="Q134" s="193"/>
      <c r="R134" s="107"/>
      <c r="T134" s="108"/>
      <c r="W134" s="109">
        <f>$W$135</f>
        <v>0.5499999999999999</v>
      </c>
      <c r="Y134" s="109">
        <f>$Y$135</f>
        <v>0.005</v>
      </c>
      <c r="AA134" s="110">
        <f>$AA$135</f>
        <v>0</v>
      </c>
      <c r="AR134" s="106" t="s">
        <v>109</v>
      </c>
      <c r="AT134" s="106" t="s">
        <v>75</v>
      </c>
      <c r="AU134" s="106" t="s">
        <v>19</v>
      </c>
      <c r="AY134" s="106" t="s">
        <v>146</v>
      </c>
      <c r="BK134" s="111">
        <f>$BK$135</f>
        <v>222.25</v>
      </c>
    </row>
    <row r="135" spans="2:65" s="6" customFormat="1" ht="15.75" customHeight="1">
      <c r="B135" s="19"/>
      <c r="C135" s="113" t="s">
        <v>388</v>
      </c>
      <c r="D135" s="113" t="s">
        <v>148</v>
      </c>
      <c r="E135" s="114" t="s">
        <v>389</v>
      </c>
      <c r="F135" s="185" t="s">
        <v>390</v>
      </c>
      <c r="G135" s="186"/>
      <c r="H135" s="186"/>
      <c r="I135" s="186"/>
      <c r="J135" s="115" t="s">
        <v>159</v>
      </c>
      <c r="K135" s="116">
        <v>25</v>
      </c>
      <c r="L135" s="187">
        <v>8.89</v>
      </c>
      <c r="M135" s="186"/>
      <c r="N135" s="187">
        <f>ROUND($L$135*$K$135,2)</f>
        <v>222.25</v>
      </c>
      <c r="O135" s="186"/>
      <c r="P135" s="186"/>
      <c r="Q135" s="186"/>
      <c r="R135" s="20"/>
      <c r="T135" s="117"/>
      <c r="U135" s="126" t="s">
        <v>41</v>
      </c>
      <c r="V135" s="127">
        <v>0.022</v>
      </c>
      <c r="W135" s="127">
        <f>$V$135*$K$135</f>
        <v>0.5499999999999999</v>
      </c>
      <c r="X135" s="127">
        <v>0.0002</v>
      </c>
      <c r="Y135" s="127">
        <f>$X$135*$K$135</f>
        <v>0.005</v>
      </c>
      <c r="Z135" s="127">
        <v>0</v>
      </c>
      <c r="AA135" s="128">
        <f>$Z$135*$K$135</f>
        <v>0</v>
      </c>
      <c r="AR135" s="6" t="s">
        <v>206</v>
      </c>
      <c r="AT135" s="6" t="s">
        <v>148</v>
      </c>
      <c r="AU135" s="6" t="s">
        <v>109</v>
      </c>
      <c r="AY135" s="6" t="s">
        <v>146</v>
      </c>
      <c r="BE135" s="120">
        <f>IF($U$135="základní",$N$135,0)</f>
        <v>222.25</v>
      </c>
      <c r="BF135" s="120">
        <f>IF($U$135="snížená",$N$135,0)</f>
        <v>0</v>
      </c>
      <c r="BG135" s="120">
        <f>IF($U$135="zákl. přenesená",$N$135,0)</f>
        <v>0</v>
      </c>
      <c r="BH135" s="120">
        <f>IF($U$135="sníž. přenesená",$N$135,0)</f>
        <v>0</v>
      </c>
      <c r="BI135" s="120">
        <f>IF($U$135="nulová",$N$135,0)</f>
        <v>0</v>
      </c>
      <c r="BJ135" s="6" t="s">
        <v>19</v>
      </c>
      <c r="BK135" s="120">
        <f>ROUND($L$135*$K$135,2)</f>
        <v>222.25</v>
      </c>
      <c r="BL135" s="6" t="s">
        <v>206</v>
      </c>
      <c r="BM135" s="6" t="s">
        <v>391</v>
      </c>
    </row>
    <row r="136" spans="2:18" s="6" customFormat="1" ht="7.5" customHeight="1">
      <c r="B136" s="41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3"/>
    </row>
    <row r="169" s="2" customFormat="1" ht="14.25" customHeight="1"/>
  </sheetData>
  <sheetProtection/>
  <mergeCells count="99">
    <mergeCell ref="S2:AC2"/>
    <mergeCell ref="N117:Q117"/>
    <mergeCell ref="N125:Q125"/>
    <mergeCell ref="N131:Q131"/>
    <mergeCell ref="N133:Q133"/>
    <mergeCell ref="N134:Q134"/>
    <mergeCell ref="N129:Q129"/>
    <mergeCell ref="M111:Q111"/>
    <mergeCell ref="M112:Q112"/>
    <mergeCell ref="N96:Q96"/>
    <mergeCell ref="H1:K1"/>
    <mergeCell ref="F132:I132"/>
    <mergeCell ref="L132:M132"/>
    <mergeCell ref="N132:Q132"/>
    <mergeCell ref="F135:I135"/>
    <mergeCell ref="L135:M135"/>
    <mergeCell ref="N135:Q135"/>
    <mergeCell ref="F128:I128"/>
    <mergeCell ref="F129:I129"/>
    <mergeCell ref="L129:M129"/>
    <mergeCell ref="F130:I130"/>
    <mergeCell ref="L130:M130"/>
    <mergeCell ref="N130:Q130"/>
    <mergeCell ref="F126:I126"/>
    <mergeCell ref="L126:M126"/>
    <mergeCell ref="N126:Q126"/>
    <mergeCell ref="F127:I127"/>
    <mergeCell ref="L127:M127"/>
    <mergeCell ref="N127:Q127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14:I114"/>
    <mergeCell ref="L114:M114"/>
    <mergeCell ref="N114:Q114"/>
    <mergeCell ref="F118:I118"/>
    <mergeCell ref="L118:M118"/>
    <mergeCell ref="N118:Q118"/>
    <mergeCell ref="N115:Q115"/>
    <mergeCell ref="N116:Q116"/>
    <mergeCell ref="L98:Q98"/>
    <mergeCell ref="C104:Q104"/>
    <mergeCell ref="F106:P106"/>
    <mergeCell ref="F107:P107"/>
    <mergeCell ref="M109:P109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5"/>
  <sheetViews>
    <sheetView showGridLines="0" zoomScalePageLayoutView="0" workbookViewId="0" topLeftCell="A1">
      <pane ySplit="1" topLeftCell="A39" activePane="bottomLeft" state="frozen"/>
      <selection pane="topLeft" activeCell="A1" sqref="A1"/>
      <selection pane="bottomLeft" activeCell="A40" sqref="A40:IV7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0"/>
      <c r="B1" s="137"/>
      <c r="C1" s="137"/>
      <c r="D1" s="138" t="s">
        <v>1</v>
      </c>
      <c r="E1" s="137"/>
      <c r="F1" s="139" t="s">
        <v>538</v>
      </c>
      <c r="G1" s="139"/>
      <c r="H1" s="196" t="s">
        <v>539</v>
      </c>
      <c r="I1" s="196"/>
      <c r="J1" s="196"/>
      <c r="K1" s="196"/>
      <c r="L1" s="139" t="s">
        <v>540</v>
      </c>
      <c r="M1" s="137"/>
      <c r="N1" s="137"/>
      <c r="O1" s="138" t="s">
        <v>108</v>
      </c>
      <c r="P1" s="137"/>
      <c r="Q1" s="137"/>
      <c r="R1" s="137"/>
      <c r="S1" s="139" t="s">
        <v>541</v>
      </c>
      <c r="T1" s="139"/>
      <c r="U1" s="140"/>
      <c r="V1" s="1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68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95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109</v>
      </c>
    </row>
    <row r="4" spans="2:46" s="2" customFormat="1" ht="37.5" customHeight="1">
      <c r="B4" s="10"/>
      <c r="C4" s="143" t="s">
        <v>110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3" t="str">
        <f>'Rekapitulace stavby'!$K$6</f>
        <v>UK-stavební práce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111</v>
      </c>
      <c r="F7" s="145" t="s">
        <v>392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74" t="str">
        <f>'Rekapitulace stavby'!$AN$8</f>
        <v>23.10.2016</v>
      </c>
      <c r="P9" s="157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4" t="s">
        <v>28</v>
      </c>
      <c r="P11" s="157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144" t="s">
        <v>31</v>
      </c>
      <c r="P12" s="157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144">
        <f>IF('Rekapitulace stavby'!$AN$13="","",'Rekapitulace stavby'!$AN$13)</f>
      </c>
      <c r="P14" s="157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30</v>
      </c>
      <c r="O15" s="144">
        <f>IF('Rekapitulace stavby'!$AN$14="","",'Rekapitulace stavby'!$AN$14)</f>
      </c>
      <c r="P15" s="157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33</v>
      </c>
      <c r="M17" s="16" t="s">
        <v>27</v>
      </c>
      <c r="O17" s="144">
        <f>IF('Rekapitulace stavby'!$AN$16="","",'Rekapitulace stavby'!$AN$16)</f>
      </c>
      <c r="P17" s="157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30</v>
      </c>
      <c r="O18" s="144">
        <f>IF('Rekapitulace stavby'!$AN$17="","",'Rekapitulace stavby'!$AN$17)</f>
      </c>
      <c r="P18" s="157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35</v>
      </c>
      <c r="M20" s="16" t="s">
        <v>27</v>
      </c>
      <c r="O20" s="144">
        <f>IF('Rekapitulace stavby'!$AN$19="","",'Rekapitulace stavby'!$AN$19)</f>
      </c>
      <c r="P20" s="157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30</v>
      </c>
      <c r="O21" s="144">
        <f>IF('Rekapitulace stavby'!$AN$20="","",'Rekapitulace stavby'!$AN$20)</f>
      </c>
      <c r="P21" s="157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36</v>
      </c>
      <c r="R23" s="20"/>
    </row>
    <row r="24" spans="2:18" s="80" customFormat="1" ht="15.75" customHeight="1">
      <c r="B24" s="81"/>
      <c r="E24" s="146"/>
      <c r="F24" s="175"/>
      <c r="G24" s="175"/>
      <c r="H24" s="175"/>
      <c r="I24" s="175"/>
      <c r="J24" s="175"/>
      <c r="K24" s="175"/>
      <c r="L24" s="175"/>
      <c r="R24" s="82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3" t="s">
        <v>113</v>
      </c>
      <c r="M27" s="147">
        <f>$N$88</f>
        <v>154029.9</v>
      </c>
      <c r="N27" s="157"/>
      <c r="O27" s="157"/>
      <c r="P27" s="157"/>
      <c r="R27" s="20"/>
    </row>
    <row r="28" spans="2:18" s="6" customFormat="1" ht="15" customHeight="1">
      <c r="B28" s="19"/>
      <c r="D28" s="18" t="s">
        <v>114</v>
      </c>
      <c r="M28" s="147">
        <f>$N$96</f>
        <v>0</v>
      </c>
      <c r="N28" s="157"/>
      <c r="O28" s="157"/>
      <c r="P28" s="157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4" t="s">
        <v>39</v>
      </c>
      <c r="M30" s="176">
        <f>ROUND($M$27+$M$28,2)</f>
        <v>154029.9</v>
      </c>
      <c r="N30" s="157"/>
      <c r="O30" s="157"/>
      <c r="P30" s="157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40</v>
      </c>
      <c r="E32" s="24" t="s">
        <v>41</v>
      </c>
      <c r="F32" s="25">
        <v>0.21</v>
      </c>
      <c r="G32" s="85" t="s">
        <v>42</v>
      </c>
      <c r="H32" s="177">
        <f>ROUND((SUM($BE$96:$BE$97)+SUM($BE$115:$BE$134)),2)</f>
        <v>154029.9</v>
      </c>
      <c r="I32" s="157"/>
      <c r="J32" s="157"/>
      <c r="M32" s="177">
        <f>ROUND(ROUND((SUM($BE$96:$BE$97)+SUM($BE$115:$BE$134)),2)*$F$32,2)</f>
        <v>32346.28</v>
      </c>
      <c r="N32" s="157"/>
      <c r="O32" s="157"/>
      <c r="P32" s="157"/>
      <c r="R32" s="20"/>
    </row>
    <row r="33" spans="2:18" s="6" customFormat="1" ht="15" customHeight="1">
      <c r="B33" s="19"/>
      <c r="E33" s="24" t="s">
        <v>43</v>
      </c>
      <c r="F33" s="25">
        <v>0.15</v>
      </c>
      <c r="G33" s="85" t="s">
        <v>42</v>
      </c>
      <c r="H33" s="177">
        <f>ROUND((SUM($BF$96:$BF$97)+SUM($BF$115:$BF$134)),2)</f>
        <v>0</v>
      </c>
      <c r="I33" s="157"/>
      <c r="J33" s="157"/>
      <c r="M33" s="177">
        <f>ROUND(ROUND((SUM($BF$96:$BF$97)+SUM($BF$115:$BF$134)),2)*$F$33,2)</f>
        <v>0</v>
      </c>
      <c r="N33" s="157"/>
      <c r="O33" s="157"/>
      <c r="P33" s="157"/>
      <c r="R33" s="20"/>
    </row>
    <row r="34" spans="2:18" s="6" customFormat="1" ht="15" customHeight="1" hidden="1">
      <c r="B34" s="19"/>
      <c r="E34" s="24" t="s">
        <v>44</v>
      </c>
      <c r="F34" s="25">
        <v>0.21</v>
      </c>
      <c r="G34" s="85" t="s">
        <v>42</v>
      </c>
      <c r="H34" s="177">
        <f>ROUND((SUM($BG$96:$BG$97)+SUM($BG$115:$BG$134)),2)</f>
        <v>0</v>
      </c>
      <c r="I34" s="157"/>
      <c r="J34" s="157"/>
      <c r="M34" s="177">
        <v>0</v>
      </c>
      <c r="N34" s="157"/>
      <c r="O34" s="157"/>
      <c r="P34" s="157"/>
      <c r="R34" s="20"/>
    </row>
    <row r="35" spans="2:18" s="6" customFormat="1" ht="15" customHeight="1" hidden="1">
      <c r="B35" s="19"/>
      <c r="E35" s="24" t="s">
        <v>45</v>
      </c>
      <c r="F35" s="25">
        <v>0.15</v>
      </c>
      <c r="G35" s="85" t="s">
        <v>42</v>
      </c>
      <c r="H35" s="177">
        <f>ROUND((SUM($BH$96:$BH$97)+SUM($BH$115:$BH$134)),2)</f>
        <v>0</v>
      </c>
      <c r="I35" s="157"/>
      <c r="J35" s="157"/>
      <c r="M35" s="177">
        <v>0</v>
      </c>
      <c r="N35" s="157"/>
      <c r="O35" s="157"/>
      <c r="P35" s="157"/>
      <c r="R35" s="20"/>
    </row>
    <row r="36" spans="2:18" s="6" customFormat="1" ht="15" customHeight="1" hidden="1">
      <c r="B36" s="19"/>
      <c r="E36" s="24" t="s">
        <v>46</v>
      </c>
      <c r="F36" s="25">
        <v>0</v>
      </c>
      <c r="G36" s="85" t="s">
        <v>42</v>
      </c>
      <c r="H36" s="177">
        <f>ROUND((SUM($BI$96:$BI$97)+SUM($BI$115:$BI$134)),2)</f>
        <v>0</v>
      </c>
      <c r="I36" s="157"/>
      <c r="J36" s="157"/>
      <c r="M36" s="177">
        <v>0</v>
      </c>
      <c r="N36" s="157"/>
      <c r="O36" s="157"/>
      <c r="P36" s="157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47</v>
      </c>
      <c r="E38" s="30"/>
      <c r="F38" s="30"/>
      <c r="G38" s="86" t="s">
        <v>48</v>
      </c>
      <c r="H38" s="31" t="s">
        <v>49</v>
      </c>
      <c r="I38" s="30"/>
      <c r="J38" s="30"/>
      <c r="K38" s="30"/>
      <c r="L38" s="155">
        <f>SUM($M$30:$M$36)</f>
        <v>186376.18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 hidden="1">
      <c r="B40" s="19"/>
      <c r="R40" s="20"/>
    </row>
    <row r="41" spans="2:18" s="2" customFormat="1" ht="14.25" customHeight="1" hidden="1">
      <c r="B41" s="10"/>
      <c r="R41" s="11"/>
    </row>
    <row r="42" spans="2:18" s="2" customFormat="1" ht="14.25" customHeight="1" hidden="1">
      <c r="B42" s="10"/>
      <c r="R42" s="11"/>
    </row>
    <row r="43" spans="2:18" s="2" customFormat="1" ht="14.25" customHeight="1" hidden="1">
      <c r="B43" s="10"/>
      <c r="R43" s="11"/>
    </row>
    <row r="44" spans="2:18" s="2" customFormat="1" ht="14.25" customHeight="1" hidden="1">
      <c r="B44" s="10"/>
      <c r="R44" s="11"/>
    </row>
    <row r="45" spans="2:18" s="2" customFormat="1" ht="14.25" customHeight="1" hidden="1">
      <c r="B45" s="10"/>
      <c r="R45" s="11"/>
    </row>
    <row r="46" spans="2:18" s="2" customFormat="1" ht="14.25" customHeight="1" hidden="1">
      <c r="B46" s="10"/>
      <c r="R46" s="11"/>
    </row>
    <row r="47" spans="2:18" s="2" customFormat="1" ht="14.25" customHeight="1" hidden="1">
      <c r="B47" s="10"/>
      <c r="R47" s="11"/>
    </row>
    <row r="48" spans="2:18" s="2" customFormat="1" ht="14.25" customHeight="1" hidden="1">
      <c r="B48" s="10"/>
      <c r="R48" s="11"/>
    </row>
    <row r="49" spans="2:18" s="2" customFormat="1" ht="14.25" customHeight="1" hidden="1">
      <c r="B49" s="10"/>
      <c r="R49" s="11"/>
    </row>
    <row r="50" spans="2:18" s="6" customFormat="1" ht="15.75" customHeight="1" hidden="1">
      <c r="B50" s="19"/>
      <c r="D50" s="32" t="s">
        <v>50</v>
      </c>
      <c r="E50" s="33"/>
      <c r="F50" s="33"/>
      <c r="G50" s="33"/>
      <c r="H50" s="34"/>
      <c r="J50" s="32" t="s">
        <v>51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 hidden="1">
      <c r="B51" s="10"/>
      <c r="D51" s="35"/>
      <c r="H51" s="36"/>
      <c r="J51" s="35"/>
      <c r="P51" s="36"/>
      <c r="R51" s="11"/>
    </row>
    <row r="52" spans="2:18" s="2" customFormat="1" ht="14.25" customHeight="1" hidden="1">
      <c r="B52" s="10"/>
      <c r="D52" s="35"/>
      <c r="H52" s="36"/>
      <c r="J52" s="35"/>
      <c r="P52" s="36"/>
      <c r="R52" s="11"/>
    </row>
    <row r="53" spans="2:18" s="2" customFormat="1" ht="14.25" customHeight="1" hidden="1">
      <c r="B53" s="10"/>
      <c r="D53" s="35"/>
      <c r="H53" s="36"/>
      <c r="J53" s="35"/>
      <c r="P53" s="36"/>
      <c r="R53" s="11"/>
    </row>
    <row r="54" spans="2:18" s="2" customFormat="1" ht="14.25" customHeight="1" hidden="1">
      <c r="B54" s="10"/>
      <c r="D54" s="35"/>
      <c r="H54" s="36"/>
      <c r="J54" s="35"/>
      <c r="P54" s="36"/>
      <c r="R54" s="11"/>
    </row>
    <row r="55" spans="2:18" s="2" customFormat="1" ht="14.25" customHeight="1" hidden="1">
      <c r="B55" s="10"/>
      <c r="D55" s="35"/>
      <c r="H55" s="36"/>
      <c r="J55" s="35"/>
      <c r="P55" s="36"/>
      <c r="R55" s="11"/>
    </row>
    <row r="56" spans="2:18" s="2" customFormat="1" ht="14.25" customHeight="1" hidden="1">
      <c r="B56" s="10"/>
      <c r="D56" s="35"/>
      <c r="H56" s="36"/>
      <c r="J56" s="35"/>
      <c r="P56" s="36"/>
      <c r="R56" s="11"/>
    </row>
    <row r="57" spans="2:18" s="2" customFormat="1" ht="14.25" customHeight="1" hidden="1">
      <c r="B57" s="10"/>
      <c r="D57" s="35"/>
      <c r="H57" s="36"/>
      <c r="J57" s="35"/>
      <c r="P57" s="36"/>
      <c r="R57" s="11"/>
    </row>
    <row r="58" spans="2:18" s="2" customFormat="1" ht="14.25" customHeight="1" hidden="1">
      <c r="B58" s="10"/>
      <c r="D58" s="35"/>
      <c r="H58" s="36"/>
      <c r="J58" s="35"/>
      <c r="P58" s="36"/>
      <c r="R58" s="11"/>
    </row>
    <row r="59" spans="2:18" s="6" customFormat="1" ht="15.75" customHeight="1" hidden="1">
      <c r="B59" s="19"/>
      <c r="D59" s="37" t="s">
        <v>52</v>
      </c>
      <c r="E59" s="38"/>
      <c r="F59" s="38"/>
      <c r="G59" s="39" t="s">
        <v>53</v>
      </c>
      <c r="H59" s="40"/>
      <c r="J59" s="37" t="s">
        <v>52</v>
      </c>
      <c r="K59" s="38"/>
      <c r="L59" s="38"/>
      <c r="M59" s="38"/>
      <c r="N59" s="39" t="s">
        <v>53</v>
      </c>
      <c r="O59" s="38"/>
      <c r="P59" s="40"/>
      <c r="R59" s="20"/>
    </row>
    <row r="60" spans="2:18" s="2" customFormat="1" ht="14.25" customHeight="1" hidden="1">
      <c r="B60" s="10"/>
      <c r="R60" s="11"/>
    </row>
    <row r="61" spans="2:18" s="6" customFormat="1" ht="15.75" customHeight="1" hidden="1">
      <c r="B61" s="19"/>
      <c r="D61" s="32" t="s">
        <v>54</v>
      </c>
      <c r="E61" s="33"/>
      <c r="F61" s="33"/>
      <c r="G61" s="33"/>
      <c r="H61" s="34"/>
      <c r="J61" s="32" t="s">
        <v>55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 hidden="1">
      <c r="B62" s="10"/>
      <c r="D62" s="35"/>
      <c r="H62" s="36"/>
      <c r="J62" s="35"/>
      <c r="P62" s="36"/>
      <c r="R62" s="11"/>
    </row>
    <row r="63" spans="2:18" s="2" customFormat="1" ht="14.25" customHeight="1" hidden="1">
      <c r="B63" s="10"/>
      <c r="D63" s="35"/>
      <c r="H63" s="36"/>
      <c r="J63" s="35"/>
      <c r="P63" s="36"/>
      <c r="R63" s="11"/>
    </row>
    <row r="64" spans="2:18" s="2" customFormat="1" ht="14.25" customHeight="1" hidden="1">
      <c r="B64" s="10"/>
      <c r="D64" s="35"/>
      <c r="H64" s="36"/>
      <c r="J64" s="35"/>
      <c r="P64" s="36"/>
      <c r="R64" s="11"/>
    </row>
    <row r="65" spans="2:18" s="2" customFormat="1" ht="14.25" customHeight="1" hidden="1">
      <c r="B65" s="10"/>
      <c r="D65" s="35"/>
      <c r="H65" s="36"/>
      <c r="J65" s="35"/>
      <c r="P65" s="36"/>
      <c r="R65" s="11"/>
    </row>
    <row r="66" spans="2:18" s="2" customFormat="1" ht="14.25" customHeight="1" hidden="1">
      <c r="B66" s="10"/>
      <c r="D66" s="35"/>
      <c r="H66" s="36"/>
      <c r="J66" s="35"/>
      <c r="P66" s="36"/>
      <c r="R66" s="11"/>
    </row>
    <row r="67" spans="2:18" s="2" customFormat="1" ht="14.25" customHeight="1" hidden="1">
      <c r="B67" s="10"/>
      <c r="D67" s="35"/>
      <c r="H67" s="36"/>
      <c r="J67" s="35"/>
      <c r="P67" s="36"/>
      <c r="R67" s="11"/>
    </row>
    <row r="68" spans="2:18" s="2" customFormat="1" ht="14.25" customHeight="1" hidden="1">
      <c r="B68" s="10"/>
      <c r="D68" s="35"/>
      <c r="H68" s="36"/>
      <c r="J68" s="35"/>
      <c r="P68" s="36"/>
      <c r="R68" s="11"/>
    </row>
    <row r="69" spans="2:18" s="2" customFormat="1" ht="14.25" customHeight="1" hidden="1">
      <c r="B69" s="10"/>
      <c r="D69" s="35"/>
      <c r="H69" s="36"/>
      <c r="J69" s="35"/>
      <c r="P69" s="36"/>
      <c r="R69" s="11"/>
    </row>
    <row r="70" spans="2:18" s="6" customFormat="1" ht="15.75" customHeight="1" hidden="1">
      <c r="B70" s="19"/>
      <c r="D70" s="37" t="s">
        <v>52</v>
      </c>
      <c r="E70" s="38"/>
      <c r="F70" s="38"/>
      <c r="G70" s="39" t="s">
        <v>53</v>
      </c>
      <c r="H70" s="40"/>
      <c r="J70" s="37" t="s">
        <v>52</v>
      </c>
      <c r="K70" s="38"/>
      <c r="L70" s="38"/>
      <c r="M70" s="38"/>
      <c r="N70" s="39" t="s">
        <v>53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3" t="s">
        <v>115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3" t="str">
        <f>$F$6</f>
        <v>UK-stavební práce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R78" s="20"/>
    </row>
    <row r="79" spans="2:18" s="6" customFormat="1" ht="37.5" customHeight="1">
      <c r="B79" s="19"/>
      <c r="C79" s="49" t="s">
        <v>111</v>
      </c>
      <c r="F79" s="158" t="str">
        <f>$F$7</f>
        <v>A5 - Stavební práce - Komunikace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74" t="str">
        <f>IF($O$9="","",$O$9)</f>
        <v>23.10.2016</v>
      </c>
      <c r="N81" s="157"/>
      <c r="O81" s="157"/>
      <c r="P81" s="157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Univerzita Karlova - Správa budov a zařízení</v>
      </c>
      <c r="K83" s="16" t="s">
        <v>33</v>
      </c>
      <c r="M83" s="144" t="str">
        <f>$E$18</f>
        <v> </v>
      </c>
      <c r="N83" s="157"/>
      <c r="O83" s="157"/>
      <c r="P83" s="157"/>
      <c r="Q83" s="157"/>
      <c r="R83" s="20"/>
    </row>
    <row r="84" spans="2:18" s="6" customFormat="1" ht="15" customHeight="1">
      <c r="B84" s="19"/>
      <c r="C84" s="16" t="s">
        <v>32</v>
      </c>
      <c r="F84" s="14" t="str">
        <f>IF($E$15="","",$E$15)</f>
        <v> </v>
      </c>
      <c r="K84" s="16" t="s">
        <v>35</v>
      </c>
      <c r="M84" s="144" t="str">
        <f>$E$21</f>
        <v> </v>
      </c>
      <c r="N84" s="157"/>
      <c r="O84" s="157"/>
      <c r="P84" s="157"/>
      <c r="Q84" s="157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78" t="s">
        <v>116</v>
      </c>
      <c r="D86" s="172"/>
      <c r="E86" s="172"/>
      <c r="F86" s="172"/>
      <c r="G86" s="172"/>
      <c r="H86" s="28"/>
      <c r="I86" s="28"/>
      <c r="J86" s="28"/>
      <c r="K86" s="28"/>
      <c r="L86" s="28"/>
      <c r="M86" s="28"/>
      <c r="N86" s="178" t="s">
        <v>117</v>
      </c>
      <c r="O86" s="157"/>
      <c r="P86" s="157"/>
      <c r="Q86" s="157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1" t="s">
        <v>118</v>
      </c>
      <c r="N88" s="169">
        <f>$N$115</f>
        <v>154029.9</v>
      </c>
      <c r="O88" s="157"/>
      <c r="P88" s="157"/>
      <c r="Q88" s="157"/>
      <c r="R88" s="20"/>
      <c r="AU88" s="6" t="s">
        <v>119</v>
      </c>
    </row>
    <row r="89" spans="2:18" s="66" customFormat="1" ht="25.5" customHeight="1">
      <c r="B89" s="87"/>
      <c r="D89" s="88" t="s">
        <v>120</v>
      </c>
      <c r="N89" s="179">
        <f>$N$116</f>
        <v>151189.9</v>
      </c>
      <c r="O89" s="180"/>
      <c r="P89" s="180"/>
      <c r="Q89" s="180"/>
      <c r="R89" s="89"/>
    </row>
    <row r="90" spans="2:18" s="83" customFormat="1" ht="21" customHeight="1">
      <c r="B90" s="90"/>
      <c r="D90" s="91" t="s">
        <v>393</v>
      </c>
      <c r="N90" s="181">
        <f>$N$117</f>
        <v>5976</v>
      </c>
      <c r="O90" s="180"/>
      <c r="P90" s="180"/>
      <c r="Q90" s="180"/>
      <c r="R90" s="92"/>
    </row>
    <row r="91" spans="2:18" s="83" customFormat="1" ht="21" customHeight="1">
      <c r="B91" s="90"/>
      <c r="D91" s="91" t="s">
        <v>394</v>
      </c>
      <c r="N91" s="181">
        <f>$N$122</f>
        <v>17640</v>
      </c>
      <c r="O91" s="180"/>
      <c r="P91" s="180"/>
      <c r="Q91" s="180"/>
      <c r="R91" s="92"/>
    </row>
    <row r="92" spans="2:18" s="83" customFormat="1" ht="21" customHeight="1">
      <c r="B92" s="90"/>
      <c r="D92" s="91" t="s">
        <v>395</v>
      </c>
      <c r="N92" s="181">
        <f>$N$125</f>
        <v>127573.9</v>
      </c>
      <c r="O92" s="180"/>
      <c r="P92" s="180"/>
      <c r="Q92" s="180"/>
      <c r="R92" s="92"/>
    </row>
    <row r="93" spans="2:18" s="66" customFormat="1" ht="25.5" customHeight="1">
      <c r="B93" s="87"/>
      <c r="D93" s="88" t="s">
        <v>396</v>
      </c>
      <c r="N93" s="179">
        <f>$N$132</f>
        <v>2840</v>
      </c>
      <c r="O93" s="180"/>
      <c r="P93" s="180"/>
      <c r="Q93" s="180"/>
      <c r="R93" s="89"/>
    </row>
    <row r="94" spans="2:18" s="83" customFormat="1" ht="21" customHeight="1">
      <c r="B94" s="90"/>
      <c r="D94" s="91" t="s">
        <v>397</v>
      </c>
      <c r="N94" s="181">
        <f>$N$133</f>
        <v>2840</v>
      </c>
      <c r="O94" s="180"/>
      <c r="P94" s="180"/>
      <c r="Q94" s="180"/>
      <c r="R94" s="92"/>
    </row>
    <row r="95" spans="2:18" s="6" customFormat="1" ht="22.5" customHeight="1">
      <c r="B95" s="19"/>
      <c r="R95" s="20"/>
    </row>
    <row r="96" spans="2:21" s="6" customFormat="1" ht="30" customHeight="1">
      <c r="B96" s="19"/>
      <c r="C96" s="61" t="s">
        <v>130</v>
      </c>
      <c r="N96" s="169">
        <v>0</v>
      </c>
      <c r="O96" s="157"/>
      <c r="P96" s="157"/>
      <c r="Q96" s="157"/>
      <c r="R96" s="20"/>
      <c r="T96" s="93"/>
      <c r="U96" s="94" t="s">
        <v>40</v>
      </c>
    </row>
    <row r="97" spans="2:18" s="6" customFormat="1" ht="18.75" customHeight="1">
      <c r="B97" s="19"/>
      <c r="R97" s="20"/>
    </row>
    <row r="98" spans="2:18" s="6" customFormat="1" ht="30" customHeight="1">
      <c r="B98" s="19"/>
      <c r="C98" s="79" t="s">
        <v>107</v>
      </c>
      <c r="D98" s="28"/>
      <c r="E98" s="28"/>
      <c r="F98" s="28"/>
      <c r="G98" s="28"/>
      <c r="H98" s="28"/>
      <c r="I98" s="28"/>
      <c r="J98" s="28"/>
      <c r="K98" s="28"/>
      <c r="L98" s="171">
        <f>ROUND(SUM($N$88+$N$96),2)</f>
        <v>154029.9</v>
      </c>
      <c r="M98" s="172"/>
      <c r="N98" s="172"/>
      <c r="O98" s="172"/>
      <c r="P98" s="172"/>
      <c r="Q98" s="172"/>
      <c r="R98" s="20"/>
    </row>
    <row r="99" spans="2:18" s="6" customFormat="1" ht="7.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3"/>
    </row>
    <row r="103" spans="2:18" s="6" customFormat="1" ht="7.5" customHeight="1"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6"/>
    </row>
    <row r="104" spans="2:18" s="6" customFormat="1" ht="37.5" customHeight="1">
      <c r="B104" s="19"/>
      <c r="C104" s="143" t="s">
        <v>131</v>
      </c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20"/>
    </row>
    <row r="105" spans="2:18" s="6" customFormat="1" ht="7.5" customHeight="1">
      <c r="B105" s="19"/>
      <c r="R105" s="20"/>
    </row>
    <row r="106" spans="2:18" s="6" customFormat="1" ht="30.75" customHeight="1">
      <c r="B106" s="19"/>
      <c r="C106" s="16" t="s">
        <v>14</v>
      </c>
      <c r="F106" s="173" t="str">
        <f>$F$6</f>
        <v>UK-stavební práce</v>
      </c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R106" s="20"/>
    </row>
    <row r="107" spans="2:18" s="6" customFormat="1" ht="37.5" customHeight="1">
      <c r="B107" s="19"/>
      <c r="C107" s="49" t="s">
        <v>111</v>
      </c>
      <c r="F107" s="158" t="str">
        <f>$F$7</f>
        <v>A5 - Stavební práce - Komunikace</v>
      </c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R107" s="20"/>
    </row>
    <row r="108" spans="2:18" s="6" customFormat="1" ht="7.5" customHeight="1">
      <c r="B108" s="19"/>
      <c r="R108" s="20"/>
    </row>
    <row r="109" spans="2:18" s="6" customFormat="1" ht="18.75" customHeight="1">
      <c r="B109" s="19"/>
      <c r="C109" s="16" t="s">
        <v>20</v>
      </c>
      <c r="F109" s="14" t="str">
        <f>$F$9</f>
        <v> </v>
      </c>
      <c r="K109" s="16" t="s">
        <v>22</v>
      </c>
      <c r="M109" s="174" t="str">
        <f>IF($O$9="","",$O$9)</f>
        <v>23.10.2016</v>
      </c>
      <c r="N109" s="157"/>
      <c r="O109" s="157"/>
      <c r="P109" s="157"/>
      <c r="R109" s="20"/>
    </row>
    <row r="110" spans="2:18" s="6" customFormat="1" ht="7.5" customHeight="1">
      <c r="B110" s="19"/>
      <c r="R110" s="20"/>
    </row>
    <row r="111" spans="2:18" s="6" customFormat="1" ht="15.75" customHeight="1">
      <c r="B111" s="19"/>
      <c r="C111" s="16" t="s">
        <v>26</v>
      </c>
      <c r="F111" s="14" t="str">
        <f>$E$12</f>
        <v>Univerzita Karlova - Správa budov a zařízení</v>
      </c>
      <c r="K111" s="16" t="s">
        <v>33</v>
      </c>
      <c r="M111" s="144" t="str">
        <f>$E$18</f>
        <v> </v>
      </c>
      <c r="N111" s="157"/>
      <c r="O111" s="157"/>
      <c r="P111" s="157"/>
      <c r="Q111" s="157"/>
      <c r="R111" s="20"/>
    </row>
    <row r="112" spans="2:18" s="6" customFormat="1" ht="15" customHeight="1">
      <c r="B112" s="19"/>
      <c r="C112" s="16" t="s">
        <v>32</v>
      </c>
      <c r="F112" s="14" t="str">
        <f>IF($E$15="","",$E$15)</f>
        <v> </v>
      </c>
      <c r="K112" s="16" t="s">
        <v>35</v>
      </c>
      <c r="M112" s="144" t="str">
        <f>$E$21</f>
        <v> </v>
      </c>
      <c r="N112" s="157"/>
      <c r="O112" s="157"/>
      <c r="P112" s="157"/>
      <c r="Q112" s="157"/>
      <c r="R112" s="20"/>
    </row>
    <row r="113" spans="2:18" s="6" customFormat="1" ht="11.25" customHeight="1">
      <c r="B113" s="19"/>
      <c r="R113" s="20"/>
    </row>
    <row r="114" spans="2:27" s="95" customFormat="1" ht="30" customHeight="1">
      <c r="B114" s="96"/>
      <c r="C114" s="97" t="s">
        <v>132</v>
      </c>
      <c r="D114" s="98" t="s">
        <v>133</v>
      </c>
      <c r="E114" s="98" t="s">
        <v>58</v>
      </c>
      <c r="F114" s="182" t="s">
        <v>134</v>
      </c>
      <c r="G114" s="183"/>
      <c r="H114" s="183"/>
      <c r="I114" s="183"/>
      <c r="J114" s="98" t="s">
        <v>135</v>
      </c>
      <c r="K114" s="98" t="s">
        <v>136</v>
      </c>
      <c r="L114" s="182" t="s">
        <v>137</v>
      </c>
      <c r="M114" s="183"/>
      <c r="N114" s="182" t="s">
        <v>138</v>
      </c>
      <c r="O114" s="183"/>
      <c r="P114" s="183"/>
      <c r="Q114" s="184"/>
      <c r="R114" s="99"/>
      <c r="T114" s="56" t="s">
        <v>139</v>
      </c>
      <c r="U114" s="57" t="s">
        <v>40</v>
      </c>
      <c r="V114" s="57" t="s">
        <v>140</v>
      </c>
      <c r="W114" s="57" t="s">
        <v>141</v>
      </c>
      <c r="X114" s="57" t="s">
        <v>142</v>
      </c>
      <c r="Y114" s="57" t="s">
        <v>143</v>
      </c>
      <c r="Z114" s="57" t="s">
        <v>144</v>
      </c>
      <c r="AA114" s="58" t="s">
        <v>145</v>
      </c>
    </row>
    <row r="115" spans="2:63" s="6" customFormat="1" ht="30" customHeight="1">
      <c r="B115" s="19"/>
      <c r="C115" s="61" t="s">
        <v>113</v>
      </c>
      <c r="N115" s="195">
        <f>$BK$115</f>
        <v>154029.9</v>
      </c>
      <c r="O115" s="157"/>
      <c r="P115" s="157"/>
      <c r="Q115" s="157"/>
      <c r="R115" s="20"/>
      <c r="T115" s="60"/>
      <c r="U115" s="33"/>
      <c r="V115" s="33"/>
      <c r="W115" s="100">
        <f>$W$116+$W$132</f>
        <v>87.34100000000001</v>
      </c>
      <c r="X115" s="33"/>
      <c r="Y115" s="100">
        <f>$Y$116+$Y$132</f>
        <v>46.68</v>
      </c>
      <c r="Z115" s="33"/>
      <c r="AA115" s="101">
        <f>$AA$116+$AA$132</f>
        <v>13.840000000000002</v>
      </c>
      <c r="AT115" s="6" t="s">
        <v>75</v>
      </c>
      <c r="AU115" s="6" t="s">
        <v>119</v>
      </c>
      <c r="BK115" s="102">
        <f>$BK$116+$BK$132</f>
        <v>154029.9</v>
      </c>
    </row>
    <row r="116" spans="2:63" s="103" customFormat="1" ht="37.5" customHeight="1">
      <c r="B116" s="104"/>
      <c r="D116" s="105" t="s">
        <v>120</v>
      </c>
      <c r="E116" s="105"/>
      <c r="F116" s="105"/>
      <c r="G116" s="105"/>
      <c r="H116" s="105"/>
      <c r="I116" s="105"/>
      <c r="J116" s="105"/>
      <c r="K116" s="105"/>
      <c r="L116" s="105"/>
      <c r="M116" s="105"/>
      <c r="N116" s="192">
        <f>$BK$116</f>
        <v>151189.9</v>
      </c>
      <c r="O116" s="193"/>
      <c r="P116" s="193"/>
      <c r="Q116" s="193"/>
      <c r="R116" s="107"/>
      <c r="T116" s="108"/>
      <c r="W116" s="109">
        <f>$W$117+$W$122+$W$125</f>
        <v>74.941</v>
      </c>
      <c r="Y116" s="109">
        <f>$Y$117+$Y$122+$Y$125</f>
        <v>46.68</v>
      </c>
      <c r="AA116" s="110">
        <f>$AA$117+$AA$122+$AA$125</f>
        <v>13.840000000000002</v>
      </c>
      <c r="AR116" s="106" t="s">
        <v>19</v>
      </c>
      <c r="AT116" s="106" t="s">
        <v>75</v>
      </c>
      <c r="AU116" s="106" t="s">
        <v>76</v>
      </c>
      <c r="AY116" s="106" t="s">
        <v>146</v>
      </c>
      <c r="BK116" s="111">
        <f>$BK$117+$BK$122+$BK$125</f>
        <v>151189.9</v>
      </c>
    </row>
    <row r="117" spans="2:63" s="103" customFormat="1" ht="21" customHeight="1">
      <c r="B117" s="104"/>
      <c r="D117" s="112" t="s">
        <v>393</v>
      </c>
      <c r="E117" s="112"/>
      <c r="F117" s="112"/>
      <c r="G117" s="112"/>
      <c r="H117" s="112"/>
      <c r="I117" s="112"/>
      <c r="J117" s="112"/>
      <c r="K117" s="112"/>
      <c r="L117" s="112"/>
      <c r="M117" s="112"/>
      <c r="N117" s="194">
        <f>$BK$117</f>
        <v>5976</v>
      </c>
      <c r="O117" s="193"/>
      <c r="P117" s="193"/>
      <c r="Q117" s="193"/>
      <c r="R117" s="107"/>
      <c r="T117" s="108"/>
      <c r="W117" s="109">
        <f>SUM($W$118:$W$121)</f>
        <v>19.5</v>
      </c>
      <c r="Y117" s="109">
        <f>SUM($Y$118:$Y$121)</f>
        <v>0</v>
      </c>
      <c r="AA117" s="110">
        <f>SUM($AA$118:$AA$121)</f>
        <v>13.840000000000002</v>
      </c>
      <c r="AR117" s="106" t="s">
        <v>19</v>
      </c>
      <c r="AT117" s="106" t="s">
        <v>75</v>
      </c>
      <c r="AU117" s="106" t="s">
        <v>19</v>
      </c>
      <c r="AY117" s="106" t="s">
        <v>146</v>
      </c>
      <c r="BK117" s="111">
        <f>SUM($BK$118:$BK$121)</f>
        <v>5976</v>
      </c>
    </row>
    <row r="118" spans="2:65" s="6" customFormat="1" ht="15.75" customHeight="1">
      <c r="B118" s="19"/>
      <c r="C118" s="113" t="s">
        <v>379</v>
      </c>
      <c r="D118" s="113" t="s">
        <v>148</v>
      </c>
      <c r="E118" s="114" t="s">
        <v>398</v>
      </c>
      <c r="F118" s="185" t="s">
        <v>399</v>
      </c>
      <c r="G118" s="186"/>
      <c r="H118" s="186"/>
      <c r="I118" s="186"/>
      <c r="J118" s="115" t="s">
        <v>159</v>
      </c>
      <c r="K118" s="116">
        <v>40</v>
      </c>
      <c r="L118" s="187">
        <v>49.6</v>
      </c>
      <c r="M118" s="186"/>
      <c r="N118" s="187">
        <f>ROUND($L$118*$K$118,2)</f>
        <v>1984</v>
      </c>
      <c r="O118" s="186"/>
      <c r="P118" s="186"/>
      <c r="Q118" s="186"/>
      <c r="R118" s="20"/>
      <c r="T118" s="117"/>
      <c r="U118" s="26" t="s">
        <v>41</v>
      </c>
      <c r="V118" s="118">
        <v>0.23</v>
      </c>
      <c r="W118" s="118">
        <f>$V$118*$K$118</f>
        <v>9.200000000000001</v>
      </c>
      <c r="X118" s="118">
        <v>0</v>
      </c>
      <c r="Y118" s="118">
        <f>$X$118*$K$118</f>
        <v>0</v>
      </c>
      <c r="Z118" s="118">
        <v>0.281</v>
      </c>
      <c r="AA118" s="119">
        <f>$Z$118*$K$118</f>
        <v>11.240000000000002</v>
      </c>
      <c r="AR118" s="6" t="s">
        <v>152</v>
      </c>
      <c r="AT118" s="6" t="s">
        <v>148</v>
      </c>
      <c r="AU118" s="6" t="s">
        <v>109</v>
      </c>
      <c r="AY118" s="6" t="s">
        <v>146</v>
      </c>
      <c r="BE118" s="120">
        <f>IF($U$118="základní",$N$118,0)</f>
        <v>1984</v>
      </c>
      <c r="BF118" s="120">
        <f>IF($U$118="snížená",$N$118,0)</f>
        <v>0</v>
      </c>
      <c r="BG118" s="120">
        <f>IF($U$118="zákl. přenesená",$N$118,0)</f>
        <v>0</v>
      </c>
      <c r="BH118" s="120">
        <f>IF($U$118="sníž. přenesená",$N$118,0)</f>
        <v>0</v>
      </c>
      <c r="BI118" s="120">
        <f>IF($U$118="nulová",$N$118,0)</f>
        <v>0</v>
      </c>
      <c r="BJ118" s="6" t="s">
        <v>19</v>
      </c>
      <c r="BK118" s="120">
        <f>ROUND($L$118*$K$118,2)</f>
        <v>1984</v>
      </c>
      <c r="BL118" s="6" t="s">
        <v>152</v>
      </c>
      <c r="BM118" s="6" t="s">
        <v>400</v>
      </c>
    </row>
    <row r="119" spans="2:65" s="6" customFormat="1" ht="27" customHeight="1">
      <c r="B119" s="19"/>
      <c r="C119" s="113" t="s">
        <v>374</v>
      </c>
      <c r="D119" s="113" t="s">
        <v>148</v>
      </c>
      <c r="E119" s="114" t="s">
        <v>401</v>
      </c>
      <c r="F119" s="185" t="s">
        <v>402</v>
      </c>
      <c r="G119" s="186"/>
      <c r="H119" s="186"/>
      <c r="I119" s="186"/>
      <c r="J119" s="115" t="s">
        <v>159</v>
      </c>
      <c r="K119" s="116">
        <v>20</v>
      </c>
      <c r="L119" s="187">
        <v>168</v>
      </c>
      <c r="M119" s="186"/>
      <c r="N119" s="187">
        <f>ROUND($L$119*$K$119,2)</f>
        <v>3360</v>
      </c>
      <c r="O119" s="186"/>
      <c r="P119" s="186"/>
      <c r="Q119" s="186"/>
      <c r="R119" s="20"/>
      <c r="T119" s="117"/>
      <c r="U119" s="26" t="s">
        <v>41</v>
      </c>
      <c r="V119" s="118">
        <v>0.463</v>
      </c>
      <c r="W119" s="118">
        <f>$V$119*$K$119</f>
        <v>9.26</v>
      </c>
      <c r="X119" s="118">
        <v>0</v>
      </c>
      <c r="Y119" s="118">
        <f>$X$119*$K$119</f>
        <v>0</v>
      </c>
      <c r="Z119" s="118">
        <v>0.13</v>
      </c>
      <c r="AA119" s="119">
        <f>$Z$119*$K$119</f>
        <v>2.6</v>
      </c>
      <c r="AR119" s="6" t="s">
        <v>152</v>
      </c>
      <c r="AT119" s="6" t="s">
        <v>148</v>
      </c>
      <c r="AU119" s="6" t="s">
        <v>109</v>
      </c>
      <c r="AY119" s="6" t="s">
        <v>146</v>
      </c>
      <c r="BE119" s="120">
        <f>IF($U$119="základní",$N$119,0)</f>
        <v>3360</v>
      </c>
      <c r="BF119" s="120">
        <f>IF($U$119="snížená",$N$119,0)</f>
        <v>0</v>
      </c>
      <c r="BG119" s="120">
        <f>IF($U$119="zákl. přenesená",$N$119,0)</f>
        <v>0</v>
      </c>
      <c r="BH119" s="120">
        <f>IF($U$119="sníž. přenesená",$N$119,0)</f>
        <v>0</v>
      </c>
      <c r="BI119" s="120">
        <f>IF($U$119="nulová",$N$119,0)</f>
        <v>0</v>
      </c>
      <c r="BJ119" s="6" t="s">
        <v>19</v>
      </c>
      <c r="BK119" s="120">
        <f>ROUND($L$119*$K$119,2)</f>
        <v>3360</v>
      </c>
      <c r="BL119" s="6" t="s">
        <v>152</v>
      </c>
      <c r="BM119" s="6" t="s">
        <v>403</v>
      </c>
    </row>
    <row r="120" spans="2:47" s="6" customFormat="1" ht="18.75" customHeight="1">
      <c r="B120" s="19"/>
      <c r="F120" s="188" t="s">
        <v>404</v>
      </c>
      <c r="G120" s="157"/>
      <c r="H120" s="157"/>
      <c r="I120" s="157"/>
      <c r="R120" s="20"/>
      <c r="T120" s="54"/>
      <c r="AA120" s="55"/>
      <c r="AT120" s="6" t="s">
        <v>155</v>
      </c>
      <c r="AU120" s="6" t="s">
        <v>109</v>
      </c>
    </row>
    <row r="121" spans="2:65" s="6" customFormat="1" ht="15.75" customHeight="1">
      <c r="B121" s="19"/>
      <c r="C121" s="113" t="s">
        <v>405</v>
      </c>
      <c r="D121" s="113" t="s">
        <v>148</v>
      </c>
      <c r="E121" s="114" t="s">
        <v>406</v>
      </c>
      <c r="F121" s="185" t="s">
        <v>407</v>
      </c>
      <c r="G121" s="186"/>
      <c r="H121" s="186"/>
      <c r="I121" s="186"/>
      <c r="J121" s="115" t="s">
        <v>159</v>
      </c>
      <c r="K121" s="116">
        <v>40</v>
      </c>
      <c r="L121" s="187">
        <v>15.8</v>
      </c>
      <c r="M121" s="186"/>
      <c r="N121" s="187">
        <f>ROUND($L$121*$K$121,2)</f>
        <v>632</v>
      </c>
      <c r="O121" s="186"/>
      <c r="P121" s="186"/>
      <c r="Q121" s="186"/>
      <c r="R121" s="20"/>
      <c r="T121" s="117"/>
      <c r="U121" s="26" t="s">
        <v>41</v>
      </c>
      <c r="V121" s="118">
        <v>0.026</v>
      </c>
      <c r="W121" s="118">
        <f>$V$121*$K$121</f>
        <v>1.04</v>
      </c>
      <c r="X121" s="118">
        <v>0</v>
      </c>
      <c r="Y121" s="118">
        <f>$X$121*$K$121</f>
        <v>0</v>
      </c>
      <c r="Z121" s="118">
        <v>0</v>
      </c>
      <c r="AA121" s="119">
        <f>$Z$121*$K$121</f>
        <v>0</v>
      </c>
      <c r="AR121" s="6" t="s">
        <v>152</v>
      </c>
      <c r="AT121" s="6" t="s">
        <v>148</v>
      </c>
      <c r="AU121" s="6" t="s">
        <v>109</v>
      </c>
      <c r="AY121" s="6" t="s">
        <v>146</v>
      </c>
      <c r="BE121" s="120">
        <f>IF($U$121="základní",$N$121,0)</f>
        <v>632</v>
      </c>
      <c r="BF121" s="120">
        <f>IF($U$121="snížená",$N$121,0)</f>
        <v>0</v>
      </c>
      <c r="BG121" s="120">
        <f>IF($U$121="zákl. přenesená",$N$121,0)</f>
        <v>0</v>
      </c>
      <c r="BH121" s="120">
        <f>IF($U$121="sníž. přenesená",$N$121,0)</f>
        <v>0</v>
      </c>
      <c r="BI121" s="120">
        <f>IF($U$121="nulová",$N$121,0)</f>
        <v>0</v>
      </c>
      <c r="BJ121" s="6" t="s">
        <v>19</v>
      </c>
      <c r="BK121" s="120">
        <f>ROUND($L$121*$K$121,2)</f>
        <v>632</v>
      </c>
      <c r="BL121" s="6" t="s">
        <v>152</v>
      </c>
      <c r="BM121" s="6" t="s">
        <v>408</v>
      </c>
    </row>
    <row r="122" spans="2:63" s="103" customFormat="1" ht="30.75" customHeight="1">
      <c r="B122" s="104"/>
      <c r="D122" s="112" t="s">
        <v>394</v>
      </c>
      <c r="E122" s="112"/>
      <c r="F122" s="112"/>
      <c r="G122" s="112"/>
      <c r="H122" s="112"/>
      <c r="I122" s="112"/>
      <c r="J122" s="112"/>
      <c r="K122" s="112"/>
      <c r="L122" s="112"/>
      <c r="M122" s="112"/>
      <c r="N122" s="194">
        <f>$BK$122</f>
        <v>17640</v>
      </c>
      <c r="O122" s="193"/>
      <c r="P122" s="193"/>
      <c r="Q122" s="193"/>
      <c r="R122" s="107"/>
      <c r="T122" s="108"/>
      <c r="W122" s="109">
        <f>SUM($W$123:$W$124)</f>
        <v>54.96000000000001</v>
      </c>
      <c r="Y122" s="109">
        <f>SUM($Y$123:$Y$124)</f>
        <v>6.680000000000001</v>
      </c>
      <c r="AA122" s="110">
        <f>SUM($AA$123:$AA$124)</f>
        <v>0</v>
      </c>
      <c r="AR122" s="106" t="s">
        <v>19</v>
      </c>
      <c r="AT122" s="106" t="s">
        <v>75</v>
      </c>
      <c r="AU122" s="106" t="s">
        <v>19</v>
      </c>
      <c r="AY122" s="106" t="s">
        <v>146</v>
      </c>
      <c r="BK122" s="111">
        <f>SUM($BK$123:$BK$124)</f>
        <v>17640</v>
      </c>
    </row>
    <row r="123" spans="2:65" s="6" customFormat="1" ht="27" customHeight="1">
      <c r="B123" s="19"/>
      <c r="C123" s="113" t="s">
        <v>409</v>
      </c>
      <c r="D123" s="113" t="s">
        <v>148</v>
      </c>
      <c r="E123" s="114" t="s">
        <v>410</v>
      </c>
      <c r="F123" s="185" t="s">
        <v>411</v>
      </c>
      <c r="G123" s="186"/>
      <c r="H123" s="186"/>
      <c r="I123" s="186"/>
      <c r="J123" s="115" t="s">
        <v>159</v>
      </c>
      <c r="K123" s="116">
        <v>40</v>
      </c>
      <c r="L123" s="187">
        <v>441</v>
      </c>
      <c r="M123" s="186"/>
      <c r="N123" s="187">
        <f>ROUND($L$123*$K$123,2)</f>
        <v>17640</v>
      </c>
      <c r="O123" s="186"/>
      <c r="P123" s="186"/>
      <c r="Q123" s="186"/>
      <c r="R123" s="20"/>
      <c r="T123" s="117"/>
      <c r="U123" s="26" t="s">
        <v>41</v>
      </c>
      <c r="V123" s="118">
        <v>1.374</v>
      </c>
      <c r="W123" s="118">
        <f>$V$123*$K$123</f>
        <v>54.96000000000001</v>
      </c>
      <c r="X123" s="118">
        <v>0.167</v>
      </c>
      <c r="Y123" s="118">
        <f>$X$123*$K$123</f>
        <v>6.680000000000001</v>
      </c>
      <c r="Z123" s="118">
        <v>0</v>
      </c>
      <c r="AA123" s="119">
        <f>$Z$123*$K$123</f>
        <v>0</v>
      </c>
      <c r="AR123" s="6" t="s">
        <v>152</v>
      </c>
      <c r="AT123" s="6" t="s">
        <v>148</v>
      </c>
      <c r="AU123" s="6" t="s">
        <v>109</v>
      </c>
      <c r="AY123" s="6" t="s">
        <v>146</v>
      </c>
      <c r="BE123" s="120">
        <f>IF($U$123="základní",$N$123,0)</f>
        <v>17640</v>
      </c>
      <c r="BF123" s="120">
        <f>IF($U$123="snížená",$N$123,0)</f>
        <v>0</v>
      </c>
      <c r="BG123" s="120">
        <f>IF($U$123="zákl. přenesená",$N$123,0)</f>
        <v>0</v>
      </c>
      <c r="BH123" s="120">
        <f>IF($U$123="sníž. přenesená",$N$123,0)</f>
        <v>0</v>
      </c>
      <c r="BI123" s="120">
        <f>IF($U$123="nulová",$N$123,0)</f>
        <v>0</v>
      </c>
      <c r="BJ123" s="6" t="s">
        <v>19</v>
      </c>
      <c r="BK123" s="120">
        <f>ROUND($L$123*$K$123,2)</f>
        <v>17640</v>
      </c>
      <c r="BL123" s="6" t="s">
        <v>152</v>
      </c>
      <c r="BM123" s="6" t="s">
        <v>412</v>
      </c>
    </row>
    <row r="124" spans="2:47" s="6" customFormat="1" ht="18.75" customHeight="1">
      <c r="B124" s="19"/>
      <c r="F124" s="188" t="s">
        <v>413</v>
      </c>
      <c r="G124" s="157"/>
      <c r="H124" s="157"/>
      <c r="I124" s="157"/>
      <c r="R124" s="20"/>
      <c r="T124" s="54"/>
      <c r="AA124" s="55"/>
      <c r="AT124" s="6" t="s">
        <v>155</v>
      </c>
      <c r="AU124" s="6" t="s">
        <v>109</v>
      </c>
    </row>
    <row r="125" spans="2:63" s="103" customFormat="1" ht="30.75" customHeight="1">
      <c r="B125" s="104"/>
      <c r="D125" s="112" t="s">
        <v>395</v>
      </c>
      <c r="E125" s="112"/>
      <c r="F125" s="112"/>
      <c r="G125" s="112"/>
      <c r="H125" s="112"/>
      <c r="I125" s="112"/>
      <c r="J125" s="112"/>
      <c r="K125" s="112"/>
      <c r="L125" s="112"/>
      <c r="M125" s="112"/>
      <c r="N125" s="194">
        <f>$BK$125</f>
        <v>127573.9</v>
      </c>
      <c r="O125" s="193"/>
      <c r="P125" s="193"/>
      <c r="Q125" s="193"/>
      <c r="R125" s="107"/>
      <c r="T125" s="108"/>
      <c r="W125" s="109">
        <f>SUM($W$126:$W$131)</f>
        <v>0.481</v>
      </c>
      <c r="Y125" s="109">
        <f>SUM($Y$126:$Y$131)</f>
        <v>40</v>
      </c>
      <c r="AA125" s="110">
        <f>SUM($AA$126:$AA$131)</f>
        <v>0</v>
      </c>
      <c r="AR125" s="106" t="s">
        <v>19</v>
      </c>
      <c r="AT125" s="106" t="s">
        <v>75</v>
      </c>
      <c r="AU125" s="106" t="s">
        <v>19</v>
      </c>
      <c r="AY125" s="106" t="s">
        <v>146</v>
      </c>
      <c r="BK125" s="111">
        <f>SUM($BK$126:$BK$131)</f>
        <v>127573.9</v>
      </c>
    </row>
    <row r="126" spans="2:65" s="6" customFormat="1" ht="27" customHeight="1">
      <c r="B126" s="19"/>
      <c r="C126" s="113" t="s">
        <v>374</v>
      </c>
      <c r="D126" s="113" t="s">
        <v>148</v>
      </c>
      <c r="E126" s="114" t="s">
        <v>414</v>
      </c>
      <c r="F126" s="185" t="s">
        <v>415</v>
      </c>
      <c r="G126" s="186"/>
      <c r="H126" s="186"/>
      <c r="I126" s="186"/>
      <c r="J126" s="115" t="s">
        <v>202</v>
      </c>
      <c r="K126" s="116">
        <v>2.6</v>
      </c>
      <c r="L126" s="187">
        <v>224</v>
      </c>
      <c r="M126" s="186"/>
      <c r="N126" s="187">
        <f>ROUND($L$126*$K$126,2)</f>
        <v>582.4</v>
      </c>
      <c r="O126" s="186"/>
      <c r="P126" s="186"/>
      <c r="Q126" s="186"/>
      <c r="R126" s="20"/>
      <c r="T126" s="117"/>
      <c r="U126" s="26" t="s">
        <v>41</v>
      </c>
      <c r="V126" s="118">
        <v>0.125</v>
      </c>
      <c r="W126" s="118">
        <f>$V$126*$K$126</f>
        <v>0.325</v>
      </c>
      <c r="X126" s="118">
        <v>0</v>
      </c>
      <c r="Y126" s="118">
        <f>$X$126*$K$126</f>
        <v>0</v>
      </c>
      <c r="Z126" s="118">
        <v>0</v>
      </c>
      <c r="AA126" s="119">
        <f>$Z$126*$K$126</f>
        <v>0</v>
      </c>
      <c r="AR126" s="6" t="s">
        <v>152</v>
      </c>
      <c r="AT126" s="6" t="s">
        <v>148</v>
      </c>
      <c r="AU126" s="6" t="s">
        <v>109</v>
      </c>
      <c r="AY126" s="6" t="s">
        <v>146</v>
      </c>
      <c r="BE126" s="120">
        <f>IF($U$126="základní",$N$126,0)</f>
        <v>582.4</v>
      </c>
      <c r="BF126" s="120">
        <f>IF($U$126="snížená",$N$126,0)</f>
        <v>0</v>
      </c>
      <c r="BG126" s="120">
        <f>IF($U$126="zákl. přenesená",$N$126,0)</f>
        <v>0</v>
      </c>
      <c r="BH126" s="120">
        <f>IF($U$126="sníž. přenesená",$N$126,0)</f>
        <v>0</v>
      </c>
      <c r="BI126" s="120">
        <f>IF($U$126="nulová",$N$126,0)</f>
        <v>0</v>
      </c>
      <c r="BJ126" s="6" t="s">
        <v>19</v>
      </c>
      <c r="BK126" s="120">
        <f>ROUND($L$126*$K$126,2)</f>
        <v>582.4</v>
      </c>
      <c r="BL126" s="6" t="s">
        <v>152</v>
      </c>
      <c r="BM126" s="6" t="s">
        <v>416</v>
      </c>
    </row>
    <row r="127" spans="2:47" s="6" customFormat="1" ht="18.75" customHeight="1">
      <c r="B127" s="19"/>
      <c r="F127" s="188" t="s">
        <v>417</v>
      </c>
      <c r="G127" s="157"/>
      <c r="H127" s="157"/>
      <c r="I127" s="157"/>
      <c r="R127" s="20"/>
      <c r="T127" s="54"/>
      <c r="AA127" s="55"/>
      <c r="AT127" s="6" t="s">
        <v>155</v>
      </c>
      <c r="AU127" s="6" t="s">
        <v>109</v>
      </c>
    </row>
    <row r="128" spans="2:65" s="6" customFormat="1" ht="27" customHeight="1">
      <c r="B128" s="19"/>
      <c r="C128" s="113" t="s">
        <v>374</v>
      </c>
      <c r="D128" s="113" t="s">
        <v>148</v>
      </c>
      <c r="E128" s="114" t="s">
        <v>418</v>
      </c>
      <c r="F128" s="185" t="s">
        <v>419</v>
      </c>
      <c r="G128" s="186"/>
      <c r="H128" s="186"/>
      <c r="I128" s="186"/>
      <c r="J128" s="115" t="s">
        <v>202</v>
      </c>
      <c r="K128" s="116">
        <v>26</v>
      </c>
      <c r="L128" s="187">
        <v>9.75</v>
      </c>
      <c r="M128" s="186"/>
      <c r="N128" s="187">
        <f>ROUND($L$128*$K$128,2)</f>
        <v>253.5</v>
      </c>
      <c r="O128" s="186"/>
      <c r="P128" s="186"/>
      <c r="Q128" s="186"/>
      <c r="R128" s="20"/>
      <c r="T128" s="117"/>
      <c r="U128" s="26" t="s">
        <v>41</v>
      </c>
      <c r="V128" s="118">
        <v>0.006</v>
      </c>
      <c r="W128" s="118">
        <f>$V$128*$K$128</f>
        <v>0.156</v>
      </c>
      <c r="X128" s="118">
        <v>0</v>
      </c>
      <c r="Y128" s="118">
        <f>$X$128*$K$128</f>
        <v>0</v>
      </c>
      <c r="Z128" s="118">
        <v>0</v>
      </c>
      <c r="AA128" s="119">
        <f>$Z$128*$K$128</f>
        <v>0</v>
      </c>
      <c r="AR128" s="6" t="s">
        <v>152</v>
      </c>
      <c r="AT128" s="6" t="s">
        <v>148</v>
      </c>
      <c r="AU128" s="6" t="s">
        <v>109</v>
      </c>
      <c r="AY128" s="6" t="s">
        <v>146</v>
      </c>
      <c r="BE128" s="120">
        <f>IF($U$128="základní",$N$128,0)</f>
        <v>253.5</v>
      </c>
      <c r="BF128" s="120">
        <f>IF($U$128="snížená",$N$128,0)</f>
        <v>0</v>
      </c>
      <c r="BG128" s="120">
        <f>IF($U$128="zákl. přenesená",$N$128,0)</f>
        <v>0</v>
      </c>
      <c r="BH128" s="120">
        <f>IF($U$128="sníž. přenesená",$N$128,0)</f>
        <v>0</v>
      </c>
      <c r="BI128" s="120">
        <f>IF($U$128="nulová",$N$128,0)</f>
        <v>0</v>
      </c>
      <c r="BJ128" s="6" t="s">
        <v>19</v>
      </c>
      <c r="BK128" s="120">
        <f>ROUND($L$128*$K$128,2)</f>
        <v>253.5</v>
      </c>
      <c r="BL128" s="6" t="s">
        <v>152</v>
      </c>
      <c r="BM128" s="6" t="s">
        <v>420</v>
      </c>
    </row>
    <row r="129" spans="2:65" s="6" customFormat="1" ht="27" customHeight="1">
      <c r="B129" s="19"/>
      <c r="C129" s="113" t="s">
        <v>374</v>
      </c>
      <c r="D129" s="113" t="s">
        <v>148</v>
      </c>
      <c r="E129" s="114" t="s">
        <v>421</v>
      </c>
      <c r="F129" s="185" t="s">
        <v>422</v>
      </c>
      <c r="G129" s="186"/>
      <c r="H129" s="186"/>
      <c r="I129" s="186"/>
      <c r="J129" s="115" t="s">
        <v>202</v>
      </c>
      <c r="K129" s="116">
        <v>2.6</v>
      </c>
      <c r="L129" s="187">
        <v>130</v>
      </c>
      <c r="M129" s="186"/>
      <c r="N129" s="187">
        <f>ROUND($L$129*$K$129,2)</f>
        <v>338</v>
      </c>
      <c r="O129" s="186"/>
      <c r="P129" s="186"/>
      <c r="Q129" s="186"/>
      <c r="R129" s="20"/>
      <c r="T129" s="117"/>
      <c r="U129" s="26" t="s">
        <v>41</v>
      </c>
      <c r="V129" s="118">
        <v>0</v>
      </c>
      <c r="W129" s="118">
        <f>$V$129*$K$129</f>
        <v>0</v>
      </c>
      <c r="X129" s="118">
        <v>0</v>
      </c>
      <c r="Y129" s="118">
        <f>$X$129*$K$129</f>
        <v>0</v>
      </c>
      <c r="Z129" s="118">
        <v>0</v>
      </c>
      <c r="AA129" s="119">
        <f>$Z$129*$K$129</f>
        <v>0</v>
      </c>
      <c r="AR129" s="6" t="s">
        <v>152</v>
      </c>
      <c r="AT129" s="6" t="s">
        <v>148</v>
      </c>
      <c r="AU129" s="6" t="s">
        <v>109</v>
      </c>
      <c r="AY129" s="6" t="s">
        <v>146</v>
      </c>
      <c r="BE129" s="120">
        <f>IF($U$129="základní",$N$129,0)</f>
        <v>338</v>
      </c>
      <c r="BF129" s="120">
        <f>IF($U$129="snížená",$N$129,0)</f>
        <v>0</v>
      </c>
      <c r="BG129" s="120">
        <f>IF($U$129="zákl. přenesená",$N$129,0)</f>
        <v>0</v>
      </c>
      <c r="BH129" s="120">
        <f>IF($U$129="sníž. přenesená",$N$129,0)</f>
        <v>0</v>
      </c>
      <c r="BI129" s="120">
        <f>IF($U$129="nulová",$N$129,0)</f>
        <v>0</v>
      </c>
      <c r="BJ129" s="6" t="s">
        <v>19</v>
      </c>
      <c r="BK129" s="120">
        <f>ROUND($L$129*$K$129,2)</f>
        <v>338</v>
      </c>
      <c r="BL129" s="6" t="s">
        <v>152</v>
      </c>
      <c r="BM129" s="6" t="s">
        <v>423</v>
      </c>
    </row>
    <row r="130" spans="2:65" s="6" customFormat="1" ht="15.75" customHeight="1">
      <c r="B130" s="19"/>
      <c r="C130" s="121" t="s">
        <v>424</v>
      </c>
      <c r="D130" s="121" t="s">
        <v>188</v>
      </c>
      <c r="E130" s="122" t="s">
        <v>425</v>
      </c>
      <c r="F130" s="189" t="s">
        <v>426</v>
      </c>
      <c r="G130" s="190"/>
      <c r="H130" s="190"/>
      <c r="I130" s="190"/>
      <c r="J130" s="123" t="s">
        <v>202</v>
      </c>
      <c r="K130" s="124">
        <v>20</v>
      </c>
      <c r="L130" s="191">
        <v>3260</v>
      </c>
      <c r="M130" s="190"/>
      <c r="N130" s="191">
        <f>ROUND($L$130*$K$130,2)</f>
        <v>65200</v>
      </c>
      <c r="O130" s="186"/>
      <c r="P130" s="186"/>
      <c r="Q130" s="186"/>
      <c r="R130" s="20"/>
      <c r="T130" s="117"/>
      <c r="U130" s="26" t="s">
        <v>41</v>
      </c>
      <c r="V130" s="118">
        <v>0</v>
      </c>
      <c r="W130" s="118">
        <f>$V$130*$K$130</f>
        <v>0</v>
      </c>
      <c r="X130" s="118">
        <v>1</v>
      </c>
      <c r="Y130" s="118">
        <f>$X$130*$K$130</f>
        <v>20</v>
      </c>
      <c r="Z130" s="118">
        <v>0</v>
      </c>
      <c r="AA130" s="119">
        <f>$Z$130*$K$130</f>
        <v>0</v>
      </c>
      <c r="AR130" s="6" t="s">
        <v>427</v>
      </c>
      <c r="AT130" s="6" t="s">
        <v>188</v>
      </c>
      <c r="AU130" s="6" t="s">
        <v>109</v>
      </c>
      <c r="AY130" s="6" t="s">
        <v>146</v>
      </c>
      <c r="BE130" s="120">
        <f>IF($U$130="základní",$N$130,0)</f>
        <v>65200</v>
      </c>
      <c r="BF130" s="120">
        <f>IF($U$130="snížená",$N$130,0)</f>
        <v>0</v>
      </c>
      <c r="BG130" s="120">
        <f>IF($U$130="zákl. přenesená",$N$130,0)</f>
        <v>0</v>
      </c>
      <c r="BH130" s="120">
        <f>IF($U$130="sníž. přenesená",$N$130,0)</f>
        <v>0</v>
      </c>
      <c r="BI130" s="120">
        <f>IF($U$130="nulová",$N$130,0)</f>
        <v>0</v>
      </c>
      <c r="BJ130" s="6" t="s">
        <v>19</v>
      </c>
      <c r="BK130" s="120">
        <f>ROUND($L$130*$K$130,2)</f>
        <v>65200</v>
      </c>
      <c r="BL130" s="6" t="s">
        <v>427</v>
      </c>
      <c r="BM130" s="6" t="s">
        <v>428</v>
      </c>
    </row>
    <row r="131" spans="2:65" s="6" customFormat="1" ht="15.75" customHeight="1">
      <c r="B131" s="19"/>
      <c r="C131" s="121" t="s">
        <v>429</v>
      </c>
      <c r="D131" s="121" t="s">
        <v>188</v>
      </c>
      <c r="E131" s="122" t="s">
        <v>430</v>
      </c>
      <c r="F131" s="189" t="s">
        <v>431</v>
      </c>
      <c r="G131" s="190"/>
      <c r="H131" s="190"/>
      <c r="I131" s="190"/>
      <c r="J131" s="123" t="s">
        <v>202</v>
      </c>
      <c r="K131" s="124">
        <v>20</v>
      </c>
      <c r="L131" s="191">
        <v>3060</v>
      </c>
      <c r="M131" s="190"/>
      <c r="N131" s="191">
        <f>ROUND($L$131*$K$131,2)</f>
        <v>61200</v>
      </c>
      <c r="O131" s="186"/>
      <c r="P131" s="186"/>
      <c r="Q131" s="186"/>
      <c r="R131" s="20"/>
      <c r="T131" s="117"/>
      <c r="U131" s="26" t="s">
        <v>41</v>
      </c>
      <c r="V131" s="118">
        <v>0</v>
      </c>
      <c r="W131" s="118">
        <f>$V$131*$K$131</f>
        <v>0</v>
      </c>
      <c r="X131" s="118">
        <v>1</v>
      </c>
      <c r="Y131" s="118">
        <f>$X$131*$K$131</f>
        <v>20</v>
      </c>
      <c r="Z131" s="118">
        <v>0</v>
      </c>
      <c r="AA131" s="119">
        <f>$Z$131*$K$131</f>
        <v>0</v>
      </c>
      <c r="AR131" s="6" t="s">
        <v>427</v>
      </c>
      <c r="AT131" s="6" t="s">
        <v>188</v>
      </c>
      <c r="AU131" s="6" t="s">
        <v>109</v>
      </c>
      <c r="AY131" s="6" t="s">
        <v>146</v>
      </c>
      <c r="BE131" s="120">
        <f>IF($U$131="základní",$N$131,0)</f>
        <v>61200</v>
      </c>
      <c r="BF131" s="120">
        <f>IF($U$131="snížená",$N$131,0)</f>
        <v>0</v>
      </c>
      <c r="BG131" s="120">
        <f>IF($U$131="zákl. přenesená",$N$131,0)</f>
        <v>0</v>
      </c>
      <c r="BH131" s="120">
        <f>IF($U$131="sníž. přenesená",$N$131,0)</f>
        <v>0</v>
      </c>
      <c r="BI131" s="120">
        <f>IF($U$131="nulová",$N$131,0)</f>
        <v>0</v>
      </c>
      <c r="BJ131" s="6" t="s">
        <v>19</v>
      </c>
      <c r="BK131" s="120">
        <f>ROUND($L$131*$K$131,2)</f>
        <v>61200</v>
      </c>
      <c r="BL131" s="6" t="s">
        <v>427</v>
      </c>
      <c r="BM131" s="6" t="s">
        <v>432</v>
      </c>
    </row>
    <row r="132" spans="2:63" s="103" customFormat="1" ht="37.5" customHeight="1">
      <c r="B132" s="104"/>
      <c r="D132" s="105" t="s">
        <v>396</v>
      </c>
      <c r="E132" s="105"/>
      <c r="F132" s="105"/>
      <c r="G132" s="105"/>
      <c r="H132" s="105"/>
      <c r="I132" s="105"/>
      <c r="J132" s="105"/>
      <c r="K132" s="105"/>
      <c r="L132" s="105"/>
      <c r="M132" s="105"/>
      <c r="N132" s="192">
        <f>$BK$132</f>
        <v>2840</v>
      </c>
      <c r="O132" s="193"/>
      <c r="P132" s="193"/>
      <c r="Q132" s="193"/>
      <c r="R132" s="107"/>
      <c r="T132" s="108"/>
      <c r="W132" s="109">
        <f>$W$133</f>
        <v>12.4</v>
      </c>
      <c r="Y132" s="109">
        <f>$Y$133</f>
        <v>0</v>
      </c>
      <c r="AA132" s="110">
        <f>$AA$133</f>
        <v>0</v>
      </c>
      <c r="AR132" s="106" t="s">
        <v>178</v>
      </c>
      <c r="AT132" s="106" t="s">
        <v>75</v>
      </c>
      <c r="AU132" s="106" t="s">
        <v>76</v>
      </c>
      <c r="AY132" s="106" t="s">
        <v>146</v>
      </c>
      <c r="BK132" s="111">
        <f>$BK$133</f>
        <v>2840</v>
      </c>
    </row>
    <row r="133" spans="2:63" s="103" customFormat="1" ht="21" customHeight="1">
      <c r="B133" s="104"/>
      <c r="D133" s="112" t="s">
        <v>397</v>
      </c>
      <c r="E133" s="112"/>
      <c r="F133" s="112"/>
      <c r="G133" s="112"/>
      <c r="H133" s="112"/>
      <c r="I133" s="112"/>
      <c r="J133" s="112"/>
      <c r="K133" s="112"/>
      <c r="L133" s="112"/>
      <c r="M133" s="112"/>
      <c r="N133" s="194">
        <f>$BK$133</f>
        <v>2840</v>
      </c>
      <c r="O133" s="193"/>
      <c r="P133" s="193"/>
      <c r="Q133" s="193"/>
      <c r="R133" s="107"/>
      <c r="T133" s="108"/>
      <c r="W133" s="109">
        <f>$W$134</f>
        <v>12.4</v>
      </c>
      <c r="Y133" s="109">
        <f>$Y$134</f>
        <v>0</v>
      </c>
      <c r="AA133" s="110">
        <f>$AA$134</f>
        <v>0</v>
      </c>
      <c r="AR133" s="106" t="s">
        <v>178</v>
      </c>
      <c r="AT133" s="106" t="s">
        <v>75</v>
      </c>
      <c r="AU133" s="106" t="s">
        <v>19</v>
      </c>
      <c r="AY133" s="106" t="s">
        <v>146</v>
      </c>
      <c r="BK133" s="111">
        <f>$BK$134</f>
        <v>2840</v>
      </c>
    </row>
    <row r="134" spans="2:65" s="6" customFormat="1" ht="27" customHeight="1">
      <c r="B134" s="19"/>
      <c r="C134" s="113" t="s">
        <v>379</v>
      </c>
      <c r="D134" s="113" t="s">
        <v>148</v>
      </c>
      <c r="E134" s="114" t="s">
        <v>433</v>
      </c>
      <c r="F134" s="185" t="s">
        <v>434</v>
      </c>
      <c r="G134" s="186"/>
      <c r="H134" s="186"/>
      <c r="I134" s="186"/>
      <c r="J134" s="115" t="s">
        <v>159</v>
      </c>
      <c r="K134" s="116">
        <v>40</v>
      </c>
      <c r="L134" s="187">
        <v>71</v>
      </c>
      <c r="M134" s="186"/>
      <c r="N134" s="187">
        <f>ROUND($L$134*$K$134,2)</f>
        <v>2840</v>
      </c>
      <c r="O134" s="186"/>
      <c r="P134" s="186"/>
      <c r="Q134" s="186"/>
      <c r="R134" s="20"/>
      <c r="T134" s="117"/>
      <c r="U134" s="126" t="s">
        <v>41</v>
      </c>
      <c r="V134" s="127">
        <v>0.31</v>
      </c>
      <c r="W134" s="127">
        <f>$V$134*$K$134</f>
        <v>12.4</v>
      </c>
      <c r="X134" s="127">
        <v>0</v>
      </c>
      <c r="Y134" s="127">
        <f>$X$134*$K$134</f>
        <v>0</v>
      </c>
      <c r="Z134" s="127">
        <v>0</v>
      </c>
      <c r="AA134" s="128">
        <f>$Z$134*$K$134</f>
        <v>0</v>
      </c>
      <c r="AR134" s="6" t="s">
        <v>435</v>
      </c>
      <c r="AT134" s="6" t="s">
        <v>148</v>
      </c>
      <c r="AU134" s="6" t="s">
        <v>109</v>
      </c>
      <c r="AY134" s="6" t="s">
        <v>146</v>
      </c>
      <c r="BE134" s="120">
        <f>IF($U$134="základní",$N$134,0)</f>
        <v>2840</v>
      </c>
      <c r="BF134" s="120">
        <f>IF($U$134="snížená",$N$134,0)</f>
        <v>0</v>
      </c>
      <c r="BG134" s="120">
        <f>IF($U$134="zákl. přenesená",$N$134,0)</f>
        <v>0</v>
      </c>
      <c r="BH134" s="120">
        <f>IF($U$134="sníž. přenesená",$N$134,0)</f>
        <v>0</v>
      </c>
      <c r="BI134" s="120">
        <f>IF($U$134="nulová",$N$134,0)</f>
        <v>0</v>
      </c>
      <c r="BJ134" s="6" t="s">
        <v>19</v>
      </c>
      <c r="BK134" s="120">
        <f>ROUND($L$134*$K$134,2)</f>
        <v>2840</v>
      </c>
      <c r="BL134" s="6" t="s">
        <v>435</v>
      </c>
      <c r="BM134" s="6" t="s">
        <v>436</v>
      </c>
    </row>
    <row r="135" spans="2:18" s="6" customFormat="1" ht="7.5" customHeight="1">
      <c r="B135" s="41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3"/>
    </row>
    <row r="169" s="2" customFormat="1" ht="14.25" customHeight="1"/>
  </sheetData>
  <sheetProtection/>
  <mergeCells count="96">
    <mergeCell ref="H1:K1"/>
    <mergeCell ref="S2:AC2"/>
    <mergeCell ref="F134:I134"/>
    <mergeCell ref="L134:M134"/>
    <mergeCell ref="N134:Q134"/>
    <mergeCell ref="N115:Q115"/>
    <mergeCell ref="N116:Q116"/>
    <mergeCell ref="N117:Q117"/>
    <mergeCell ref="N122:Q122"/>
    <mergeCell ref="N125:Q125"/>
    <mergeCell ref="N132:Q132"/>
    <mergeCell ref="N133:Q133"/>
    <mergeCell ref="F130:I130"/>
    <mergeCell ref="L130:M130"/>
    <mergeCell ref="N130:Q130"/>
    <mergeCell ref="F131:I131"/>
    <mergeCell ref="L131:M131"/>
    <mergeCell ref="N131:Q131"/>
    <mergeCell ref="F127:I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4:I124"/>
    <mergeCell ref="F126:I126"/>
    <mergeCell ref="L126:M126"/>
    <mergeCell ref="N126:Q126"/>
    <mergeCell ref="F119:I119"/>
    <mergeCell ref="L119:M119"/>
    <mergeCell ref="N119:Q119"/>
    <mergeCell ref="F120:I120"/>
    <mergeCell ref="F121:I121"/>
    <mergeCell ref="L121:M121"/>
    <mergeCell ref="N121:Q121"/>
    <mergeCell ref="M111:Q111"/>
    <mergeCell ref="M112:Q112"/>
    <mergeCell ref="F114:I114"/>
    <mergeCell ref="L114:M114"/>
    <mergeCell ref="N114:Q114"/>
    <mergeCell ref="F118:I118"/>
    <mergeCell ref="L118:M118"/>
    <mergeCell ref="N118:Q118"/>
    <mergeCell ref="N96:Q96"/>
    <mergeCell ref="L98:Q98"/>
    <mergeCell ref="C104:Q104"/>
    <mergeCell ref="F106:P106"/>
    <mergeCell ref="F107:P107"/>
    <mergeCell ref="M109:P109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9"/>
  <sheetViews>
    <sheetView showGridLines="0" zoomScalePageLayoutView="0" workbookViewId="0" topLeftCell="A1">
      <pane ySplit="1" topLeftCell="A33" activePane="bottomLeft" state="frozen"/>
      <selection pane="topLeft" activeCell="A1" sqref="A1"/>
      <selection pane="bottomLeft" activeCell="A40" sqref="A40:IV7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0"/>
      <c r="B1" s="137"/>
      <c r="C1" s="137"/>
      <c r="D1" s="138" t="s">
        <v>1</v>
      </c>
      <c r="E1" s="137"/>
      <c r="F1" s="139" t="s">
        <v>538</v>
      </c>
      <c r="G1" s="139"/>
      <c r="H1" s="196" t="s">
        <v>539</v>
      </c>
      <c r="I1" s="196"/>
      <c r="J1" s="196"/>
      <c r="K1" s="196"/>
      <c r="L1" s="139" t="s">
        <v>540</v>
      </c>
      <c r="M1" s="137"/>
      <c r="N1" s="137"/>
      <c r="O1" s="138" t="s">
        <v>108</v>
      </c>
      <c r="P1" s="137"/>
      <c r="Q1" s="137"/>
      <c r="R1" s="137"/>
      <c r="S1" s="139" t="s">
        <v>541</v>
      </c>
      <c r="T1" s="139"/>
      <c r="U1" s="140"/>
      <c r="V1" s="1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68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98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109</v>
      </c>
    </row>
    <row r="4" spans="2:46" s="2" customFormat="1" ht="37.5" customHeight="1">
      <c r="B4" s="10"/>
      <c r="C4" s="143" t="s">
        <v>110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3" t="str">
        <f>'Rekapitulace stavby'!$K$6</f>
        <v>UK-stavební práce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111</v>
      </c>
      <c r="F7" s="145" t="s">
        <v>437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74" t="str">
        <f>'Rekapitulace stavby'!$AN$8</f>
        <v>23.10.2016</v>
      </c>
      <c r="P9" s="157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4" t="s">
        <v>28</v>
      </c>
      <c r="P11" s="157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144" t="s">
        <v>31</v>
      </c>
      <c r="P12" s="157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144">
        <f>IF('Rekapitulace stavby'!$AN$13="","",'Rekapitulace stavby'!$AN$13)</f>
      </c>
      <c r="P14" s="157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30</v>
      </c>
      <c r="O15" s="144">
        <f>IF('Rekapitulace stavby'!$AN$14="","",'Rekapitulace stavby'!$AN$14)</f>
      </c>
      <c r="P15" s="157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33</v>
      </c>
      <c r="M17" s="16" t="s">
        <v>27</v>
      </c>
      <c r="O17" s="144">
        <f>IF('Rekapitulace stavby'!$AN$16="","",'Rekapitulace stavby'!$AN$16)</f>
      </c>
      <c r="P17" s="157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30</v>
      </c>
      <c r="O18" s="144">
        <f>IF('Rekapitulace stavby'!$AN$17="","",'Rekapitulace stavby'!$AN$17)</f>
      </c>
      <c r="P18" s="157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35</v>
      </c>
      <c r="M20" s="16" t="s">
        <v>27</v>
      </c>
      <c r="O20" s="144">
        <f>IF('Rekapitulace stavby'!$AN$19="","",'Rekapitulace stavby'!$AN$19)</f>
      </c>
      <c r="P20" s="157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30</v>
      </c>
      <c r="O21" s="144">
        <f>IF('Rekapitulace stavby'!$AN$20="","",'Rekapitulace stavby'!$AN$20)</f>
      </c>
      <c r="P21" s="157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36</v>
      </c>
      <c r="R23" s="20"/>
    </row>
    <row r="24" spans="2:18" s="80" customFormat="1" ht="15.75" customHeight="1">
      <c r="B24" s="81"/>
      <c r="E24" s="146"/>
      <c r="F24" s="175"/>
      <c r="G24" s="175"/>
      <c r="H24" s="175"/>
      <c r="I24" s="175"/>
      <c r="J24" s="175"/>
      <c r="K24" s="175"/>
      <c r="L24" s="175"/>
      <c r="R24" s="82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3" t="s">
        <v>113</v>
      </c>
      <c r="M27" s="147">
        <f>$N$88</f>
        <v>9222.81</v>
      </c>
      <c r="N27" s="157"/>
      <c r="O27" s="157"/>
      <c r="P27" s="157"/>
      <c r="R27" s="20"/>
    </row>
    <row r="28" spans="2:18" s="6" customFormat="1" ht="15" customHeight="1">
      <c r="B28" s="19"/>
      <c r="D28" s="18" t="s">
        <v>114</v>
      </c>
      <c r="M28" s="147">
        <f>$N$99</f>
        <v>0</v>
      </c>
      <c r="N28" s="157"/>
      <c r="O28" s="157"/>
      <c r="P28" s="157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4" t="s">
        <v>39</v>
      </c>
      <c r="M30" s="176">
        <f>ROUND($M$27+$M$28,2)</f>
        <v>9222.81</v>
      </c>
      <c r="N30" s="157"/>
      <c r="O30" s="157"/>
      <c r="P30" s="157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40</v>
      </c>
      <c r="E32" s="24" t="s">
        <v>41</v>
      </c>
      <c r="F32" s="25">
        <v>0.21</v>
      </c>
      <c r="G32" s="85" t="s">
        <v>42</v>
      </c>
      <c r="H32" s="177">
        <f>ROUND((SUM($BE$99:$BE$100)+SUM($BE$118:$BE$148)),2)</f>
        <v>9222.81</v>
      </c>
      <c r="I32" s="157"/>
      <c r="J32" s="157"/>
      <c r="M32" s="177">
        <f>ROUND(ROUND((SUM($BE$99:$BE$100)+SUM($BE$118:$BE$148)),2)*$F$32,2)</f>
        <v>1936.79</v>
      </c>
      <c r="N32" s="157"/>
      <c r="O32" s="157"/>
      <c r="P32" s="157"/>
      <c r="R32" s="20"/>
    </row>
    <row r="33" spans="2:18" s="6" customFormat="1" ht="15" customHeight="1">
      <c r="B33" s="19"/>
      <c r="E33" s="24" t="s">
        <v>43</v>
      </c>
      <c r="F33" s="25">
        <v>0.15</v>
      </c>
      <c r="G33" s="85" t="s">
        <v>42</v>
      </c>
      <c r="H33" s="177">
        <f>ROUND((SUM($BF$99:$BF$100)+SUM($BF$118:$BF$148)),2)</f>
        <v>0</v>
      </c>
      <c r="I33" s="157"/>
      <c r="J33" s="157"/>
      <c r="M33" s="177">
        <f>ROUND(ROUND((SUM($BF$99:$BF$100)+SUM($BF$118:$BF$148)),2)*$F$33,2)</f>
        <v>0</v>
      </c>
      <c r="N33" s="157"/>
      <c r="O33" s="157"/>
      <c r="P33" s="157"/>
      <c r="R33" s="20"/>
    </row>
    <row r="34" spans="2:18" s="6" customFormat="1" ht="15" customHeight="1" hidden="1">
      <c r="B34" s="19"/>
      <c r="E34" s="24" t="s">
        <v>44</v>
      </c>
      <c r="F34" s="25">
        <v>0.21</v>
      </c>
      <c r="G34" s="85" t="s">
        <v>42</v>
      </c>
      <c r="H34" s="177">
        <f>ROUND((SUM($BG$99:$BG$100)+SUM($BG$118:$BG$148)),2)</f>
        <v>0</v>
      </c>
      <c r="I34" s="157"/>
      <c r="J34" s="157"/>
      <c r="M34" s="177">
        <v>0</v>
      </c>
      <c r="N34" s="157"/>
      <c r="O34" s="157"/>
      <c r="P34" s="157"/>
      <c r="R34" s="20"/>
    </row>
    <row r="35" spans="2:18" s="6" customFormat="1" ht="15" customHeight="1" hidden="1">
      <c r="B35" s="19"/>
      <c r="E35" s="24" t="s">
        <v>45</v>
      </c>
      <c r="F35" s="25">
        <v>0.15</v>
      </c>
      <c r="G35" s="85" t="s">
        <v>42</v>
      </c>
      <c r="H35" s="177">
        <f>ROUND((SUM($BH$99:$BH$100)+SUM($BH$118:$BH$148)),2)</f>
        <v>0</v>
      </c>
      <c r="I35" s="157"/>
      <c r="J35" s="157"/>
      <c r="M35" s="177">
        <v>0</v>
      </c>
      <c r="N35" s="157"/>
      <c r="O35" s="157"/>
      <c r="P35" s="157"/>
      <c r="R35" s="20"/>
    </row>
    <row r="36" spans="2:18" s="6" customFormat="1" ht="15" customHeight="1" hidden="1">
      <c r="B36" s="19"/>
      <c r="E36" s="24" t="s">
        <v>46</v>
      </c>
      <c r="F36" s="25">
        <v>0</v>
      </c>
      <c r="G36" s="85" t="s">
        <v>42</v>
      </c>
      <c r="H36" s="177">
        <f>ROUND((SUM($BI$99:$BI$100)+SUM($BI$118:$BI$148)),2)</f>
        <v>0</v>
      </c>
      <c r="I36" s="157"/>
      <c r="J36" s="157"/>
      <c r="M36" s="177">
        <v>0</v>
      </c>
      <c r="N36" s="157"/>
      <c r="O36" s="157"/>
      <c r="P36" s="157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47</v>
      </c>
      <c r="E38" s="30"/>
      <c r="F38" s="30"/>
      <c r="G38" s="86" t="s">
        <v>48</v>
      </c>
      <c r="H38" s="31" t="s">
        <v>49</v>
      </c>
      <c r="I38" s="30"/>
      <c r="J38" s="30"/>
      <c r="K38" s="30"/>
      <c r="L38" s="155">
        <f>SUM($M$30:$M$36)</f>
        <v>11159.599999999999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 hidden="1">
      <c r="B40" s="19"/>
      <c r="R40" s="20"/>
    </row>
    <row r="41" spans="2:18" s="2" customFormat="1" ht="14.25" customHeight="1" hidden="1">
      <c r="B41" s="10"/>
      <c r="R41" s="11"/>
    </row>
    <row r="42" spans="2:18" s="2" customFormat="1" ht="14.25" customHeight="1" hidden="1">
      <c r="B42" s="10"/>
      <c r="R42" s="11"/>
    </row>
    <row r="43" spans="2:18" s="2" customFormat="1" ht="14.25" customHeight="1" hidden="1">
      <c r="B43" s="10"/>
      <c r="R43" s="11"/>
    </row>
    <row r="44" spans="2:18" s="2" customFormat="1" ht="14.25" customHeight="1" hidden="1">
      <c r="B44" s="10"/>
      <c r="R44" s="11"/>
    </row>
    <row r="45" spans="2:18" s="2" customFormat="1" ht="14.25" customHeight="1" hidden="1">
      <c r="B45" s="10"/>
      <c r="R45" s="11"/>
    </row>
    <row r="46" spans="2:18" s="2" customFormat="1" ht="14.25" customHeight="1" hidden="1">
      <c r="B46" s="10"/>
      <c r="R46" s="11"/>
    </row>
    <row r="47" spans="2:18" s="2" customFormat="1" ht="14.25" customHeight="1" hidden="1">
      <c r="B47" s="10"/>
      <c r="R47" s="11"/>
    </row>
    <row r="48" spans="2:18" s="2" customFormat="1" ht="14.25" customHeight="1" hidden="1">
      <c r="B48" s="10"/>
      <c r="R48" s="11"/>
    </row>
    <row r="49" spans="2:18" s="2" customFormat="1" ht="14.25" customHeight="1" hidden="1">
      <c r="B49" s="10"/>
      <c r="R49" s="11"/>
    </row>
    <row r="50" spans="2:18" s="6" customFormat="1" ht="15.75" customHeight="1" hidden="1">
      <c r="B50" s="19"/>
      <c r="D50" s="32" t="s">
        <v>50</v>
      </c>
      <c r="E50" s="33"/>
      <c r="F50" s="33"/>
      <c r="G50" s="33"/>
      <c r="H50" s="34"/>
      <c r="J50" s="32" t="s">
        <v>51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 hidden="1">
      <c r="B51" s="10"/>
      <c r="D51" s="35"/>
      <c r="H51" s="36"/>
      <c r="J51" s="35"/>
      <c r="P51" s="36"/>
      <c r="R51" s="11"/>
    </row>
    <row r="52" spans="2:18" s="2" customFormat="1" ht="14.25" customHeight="1" hidden="1">
      <c r="B52" s="10"/>
      <c r="D52" s="35"/>
      <c r="H52" s="36"/>
      <c r="J52" s="35"/>
      <c r="P52" s="36"/>
      <c r="R52" s="11"/>
    </row>
    <row r="53" spans="2:18" s="2" customFormat="1" ht="14.25" customHeight="1" hidden="1">
      <c r="B53" s="10"/>
      <c r="D53" s="35"/>
      <c r="H53" s="36"/>
      <c r="J53" s="35"/>
      <c r="P53" s="36"/>
      <c r="R53" s="11"/>
    </row>
    <row r="54" spans="2:18" s="2" customFormat="1" ht="14.25" customHeight="1" hidden="1">
      <c r="B54" s="10"/>
      <c r="D54" s="35"/>
      <c r="H54" s="36"/>
      <c r="J54" s="35"/>
      <c r="P54" s="36"/>
      <c r="R54" s="11"/>
    </row>
    <row r="55" spans="2:18" s="2" customFormat="1" ht="14.25" customHeight="1" hidden="1">
      <c r="B55" s="10"/>
      <c r="D55" s="35"/>
      <c r="H55" s="36"/>
      <c r="J55" s="35"/>
      <c r="P55" s="36"/>
      <c r="R55" s="11"/>
    </row>
    <row r="56" spans="2:18" s="2" customFormat="1" ht="14.25" customHeight="1" hidden="1">
      <c r="B56" s="10"/>
      <c r="D56" s="35"/>
      <c r="H56" s="36"/>
      <c r="J56" s="35"/>
      <c r="P56" s="36"/>
      <c r="R56" s="11"/>
    </row>
    <row r="57" spans="2:18" s="2" customFormat="1" ht="14.25" customHeight="1" hidden="1">
      <c r="B57" s="10"/>
      <c r="D57" s="35"/>
      <c r="H57" s="36"/>
      <c r="J57" s="35"/>
      <c r="P57" s="36"/>
      <c r="R57" s="11"/>
    </row>
    <row r="58" spans="2:18" s="2" customFormat="1" ht="14.25" customHeight="1" hidden="1">
      <c r="B58" s="10"/>
      <c r="D58" s="35"/>
      <c r="H58" s="36"/>
      <c r="J58" s="35"/>
      <c r="P58" s="36"/>
      <c r="R58" s="11"/>
    </row>
    <row r="59" spans="2:18" s="6" customFormat="1" ht="15.75" customHeight="1" hidden="1">
      <c r="B59" s="19"/>
      <c r="D59" s="37" t="s">
        <v>52</v>
      </c>
      <c r="E59" s="38"/>
      <c r="F59" s="38"/>
      <c r="G59" s="39" t="s">
        <v>53</v>
      </c>
      <c r="H59" s="40"/>
      <c r="J59" s="37" t="s">
        <v>52</v>
      </c>
      <c r="K59" s="38"/>
      <c r="L59" s="38"/>
      <c r="M59" s="38"/>
      <c r="N59" s="39" t="s">
        <v>53</v>
      </c>
      <c r="O59" s="38"/>
      <c r="P59" s="40"/>
      <c r="R59" s="20"/>
    </row>
    <row r="60" spans="2:18" s="2" customFormat="1" ht="14.25" customHeight="1" hidden="1">
      <c r="B60" s="10"/>
      <c r="R60" s="11"/>
    </row>
    <row r="61" spans="2:18" s="6" customFormat="1" ht="15.75" customHeight="1" hidden="1">
      <c r="B61" s="19"/>
      <c r="D61" s="32" t="s">
        <v>54</v>
      </c>
      <c r="E61" s="33"/>
      <c r="F61" s="33"/>
      <c r="G61" s="33"/>
      <c r="H61" s="34"/>
      <c r="J61" s="32" t="s">
        <v>55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 hidden="1">
      <c r="B62" s="10"/>
      <c r="D62" s="35"/>
      <c r="H62" s="36"/>
      <c r="J62" s="35"/>
      <c r="P62" s="36"/>
      <c r="R62" s="11"/>
    </row>
    <row r="63" spans="2:18" s="2" customFormat="1" ht="14.25" customHeight="1" hidden="1">
      <c r="B63" s="10"/>
      <c r="D63" s="35"/>
      <c r="H63" s="36"/>
      <c r="J63" s="35"/>
      <c r="P63" s="36"/>
      <c r="R63" s="11"/>
    </row>
    <row r="64" spans="2:18" s="2" customFormat="1" ht="14.25" customHeight="1" hidden="1">
      <c r="B64" s="10"/>
      <c r="D64" s="35"/>
      <c r="H64" s="36"/>
      <c r="J64" s="35"/>
      <c r="P64" s="36"/>
      <c r="R64" s="11"/>
    </row>
    <row r="65" spans="2:18" s="2" customFormat="1" ht="14.25" customHeight="1" hidden="1">
      <c r="B65" s="10"/>
      <c r="D65" s="35"/>
      <c r="H65" s="36"/>
      <c r="J65" s="35"/>
      <c r="P65" s="36"/>
      <c r="R65" s="11"/>
    </row>
    <row r="66" spans="2:18" s="2" customFormat="1" ht="14.25" customHeight="1" hidden="1">
      <c r="B66" s="10"/>
      <c r="D66" s="35"/>
      <c r="H66" s="36"/>
      <c r="J66" s="35"/>
      <c r="P66" s="36"/>
      <c r="R66" s="11"/>
    </row>
    <row r="67" spans="2:18" s="2" customFormat="1" ht="14.25" customHeight="1" hidden="1">
      <c r="B67" s="10"/>
      <c r="D67" s="35"/>
      <c r="H67" s="36"/>
      <c r="J67" s="35"/>
      <c r="P67" s="36"/>
      <c r="R67" s="11"/>
    </row>
    <row r="68" spans="2:18" s="2" customFormat="1" ht="14.25" customHeight="1" hidden="1">
      <c r="B68" s="10"/>
      <c r="D68" s="35"/>
      <c r="H68" s="36"/>
      <c r="J68" s="35"/>
      <c r="P68" s="36"/>
      <c r="R68" s="11"/>
    </row>
    <row r="69" spans="2:18" s="2" customFormat="1" ht="14.25" customHeight="1" hidden="1">
      <c r="B69" s="10"/>
      <c r="D69" s="35"/>
      <c r="H69" s="36"/>
      <c r="J69" s="35"/>
      <c r="P69" s="36"/>
      <c r="R69" s="11"/>
    </row>
    <row r="70" spans="2:18" s="6" customFormat="1" ht="15.75" customHeight="1" hidden="1">
      <c r="B70" s="19"/>
      <c r="D70" s="37" t="s">
        <v>52</v>
      </c>
      <c r="E70" s="38"/>
      <c r="F70" s="38"/>
      <c r="G70" s="39" t="s">
        <v>53</v>
      </c>
      <c r="H70" s="40"/>
      <c r="J70" s="37" t="s">
        <v>52</v>
      </c>
      <c r="K70" s="38"/>
      <c r="L70" s="38"/>
      <c r="M70" s="38"/>
      <c r="N70" s="39" t="s">
        <v>53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3" t="s">
        <v>115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3" t="str">
        <f>$F$6</f>
        <v>UK-stavební práce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R78" s="20"/>
    </row>
    <row r="79" spans="2:18" s="6" customFormat="1" ht="37.5" customHeight="1">
      <c r="B79" s="19"/>
      <c r="C79" s="49" t="s">
        <v>111</v>
      </c>
      <c r="F79" s="158" t="str">
        <f>$F$7</f>
        <v>B - Zdravotechnika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74" t="str">
        <f>IF($O$9="","",$O$9)</f>
        <v>23.10.2016</v>
      </c>
      <c r="N81" s="157"/>
      <c r="O81" s="157"/>
      <c r="P81" s="157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Univerzita Karlova - Správa budov a zařízení</v>
      </c>
      <c r="K83" s="16" t="s">
        <v>33</v>
      </c>
      <c r="M83" s="144" t="str">
        <f>$E$18</f>
        <v> </v>
      </c>
      <c r="N83" s="157"/>
      <c r="O83" s="157"/>
      <c r="P83" s="157"/>
      <c r="Q83" s="157"/>
      <c r="R83" s="20"/>
    </row>
    <row r="84" spans="2:18" s="6" customFormat="1" ht="15" customHeight="1">
      <c r="B84" s="19"/>
      <c r="C84" s="16" t="s">
        <v>32</v>
      </c>
      <c r="F84" s="14" t="str">
        <f>IF($E$15="","",$E$15)</f>
        <v> </v>
      </c>
      <c r="K84" s="16" t="s">
        <v>35</v>
      </c>
      <c r="M84" s="144" t="str">
        <f>$E$21</f>
        <v> </v>
      </c>
      <c r="N84" s="157"/>
      <c r="O84" s="157"/>
      <c r="P84" s="157"/>
      <c r="Q84" s="157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78" t="s">
        <v>116</v>
      </c>
      <c r="D86" s="172"/>
      <c r="E86" s="172"/>
      <c r="F86" s="172"/>
      <c r="G86" s="172"/>
      <c r="H86" s="28"/>
      <c r="I86" s="28"/>
      <c r="J86" s="28"/>
      <c r="K86" s="28"/>
      <c r="L86" s="28"/>
      <c r="M86" s="28"/>
      <c r="N86" s="178" t="s">
        <v>117</v>
      </c>
      <c r="O86" s="157"/>
      <c r="P86" s="157"/>
      <c r="Q86" s="157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1" t="s">
        <v>118</v>
      </c>
      <c r="N88" s="169">
        <f>$N$118</f>
        <v>9222.81</v>
      </c>
      <c r="O88" s="157"/>
      <c r="P88" s="157"/>
      <c r="Q88" s="157"/>
      <c r="R88" s="20"/>
      <c r="AU88" s="6" t="s">
        <v>119</v>
      </c>
    </row>
    <row r="89" spans="2:18" s="66" customFormat="1" ht="25.5" customHeight="1">
      <c r="B89" s="87"/>
      <c r="D89" s="88" t="s">
        <v>120</v>
      </c>
      <c r="N89" s="179">
        <f>$N$119</f>
        <v>4850.05</v>
      </c>
      <c r="O89" s="180"/>
      <c r="P89" s="180"/>
      <c r="Q89" s="180"/>
      <c r="R89" s="89"/>
    </row>
    <row r="90" spans="2:18" s="83" customFormat="1" ht="21" customHeight="1">
      <c r="B90" s="90"/>
      <c r="D90" s="91" t="s">
        <v>121</v>
      </c>
      <c r="N90" s="181">
        <f>$N$120</f>
        <v>1456.7</v>
      </c>
      <c r="O90" s="180"/>
      <c r="P90" s="180"/>
      <c r="Q90" s="180"/>
      <c r="R90" s="92"/>
    </row>
    <row r="91" spans="2:18" s="83" customFormat="1" ht="21" customHeight="1">
      <c r="B91" s="90"/>
      <c r="D91" s="91" t="s">
        <v>123</v>
      </c>
      <c r="N91" s="181">
        <f>$N$124</f>
        <v>3189</v>
      </c>
      <c r="O91" s="180"/>
      <c r="P91" s="180"/>
      <c r="Q91" s="180"/>
      <c r="R91" s="92"/>
    </row>
    <row r="92" spans="2:18" s="83" customFormat="1" ht="21" customHeight="1">
      <c r="B92" s="90"/>
      <c r="D92" s="91" t="s">
        <v>124</v>
      </c>
      <c r="N92" s="181">
        <f>$N$128</f>
        <v>204.35</v>
      </c>
      <c r="O92" s="180"/>
      <c r="P92" s="180"/>
      <c r="Q92" s="180"/>
      <c r="R92" s="92"/>
    </row>
    <row r="93" spans="2:18" s="66" customFormat="1" ht="25.5" customHeight="1">
      <c r="B93" s="87"/>
      <c r="D93" s="88" t="s">
        <v>125</v>
      </c>
      <c r="N93" s="179">
        <f>$N$130</f>
        <v>4372.759999999999</v>
      </c>
      <c r="O93" s="180"/>
      <c r="P93" s="180"/>
      <c r="Q93" s="180"/>
      <c r="R93" s="89"/>
    </row>
    <row r="94" spans="2:18" s="83" customFormat="1" ht="21" customHeight="1">
      <c r="B94" s="90"/>
      <c r="D94" s="91" t="s">
        <v>438</v>
      </c>
      <c r="N94" s="181">
        <f>$N$131</f>
        <v>2006.6</v>
      </c>
      <c r="O94" s="180"/>
      <c r="P94" s="180"/>
      <c r="Q94" s="180"/>
      <c r="R94" s="92"/>
    </row>
    <row r="95" spans="2:18" s="83" customFormat="1" ht="21" customHeight="1">
      <c r="B95" s="90"/>
      <c r="D95" s="91" t="s">
        <v>439</v>
      </c>
      <c r="N95" s="181">
        <f>$N$137</f>
        <v>1309.76</v>
      </c>
      <c r="O95" s="180"/>
      <c r="P95" s="180"/>
      <c r="Q95" s="180"/>
      <c r="R95" s="92"/>
    </row>
    <row r="96" spans="2:18" s="83" customFormat="1" ht="21" customHeight="1">
      <c r="B96" s="90"/>
      <c r="D96" s="91" t="s">
        <v>440</v>
      </c>
      <c r="N96" s="181">
        <f>$N$141</f>
        <v>207.2</v>
      </c>
      <c r="O96" s="180"/>
      <c r="P96" s="180"/>
      <c r="Q96" s="180"/>
      <c r="R96" s="92"/>
    </row>
    <row r="97" spans="2:18" s="83" customFormat="1" ht="21" customHeight="1">
      <c r="B97" s="90"/>
      <c r="D97" s="91" t="s">
        <v>126</v>
      </c>
      <c r="N97" s="181">
        <f>$N$146</f>
        <v>849.2</v>
      </c>
      <c r="O97" s="180"/>
      <c r="P97" s="180"/>
      <c r="Q97" s="180"/>
      <c r="R97" s="92"/>
    </row>
    <row r="98" spans="2:18" s="6" customFormat="1" ht="22.5" customHeight="1">
      <c r="B98" s="19"/>
      <c r="R98" s="20"/>
    </row>
    <row r="99" spans="2:21" s="6" customFormat="1" ht="30" customHeight="1">
      <c r="B99" s="19"/>
      <c r="C99" s="61" t="s">
        <v>130</v>
      </c>
      <c r="N99" s="169">
        <v>0</v>
      </c>
      <c r="O99" s="157"/>
      <c r="P99" s="157"/>
      <c r="Q99" s="157"/>
      <c r="R99" s="20"/>
      <c r="T99" s="93"/>
      <c r="U99" s="94" t="s">
        <v>40</v>
      </c>
    </row>
    <row r="100" spans="2:18" s="6" customFormat="1" ht="18.75" customHeight="1">
      <c r="B100" s="19"/>
      <c r="R100" s="20"/>
    </row>
    <row r="101" spans="2:18" s="6" customFormat="1" ht="30" customHeight="1">
      <c r="B101" s="19"/>
      <c r="C101" s="79" t="s">
        <v>107</v>
      </c>
      <c r="D101" s="28"/>
      <c r="E101" s="28"/>
      <c r="F101" s="28"/>
      <c r="G101" s="28"/>
      <c r="H101" s="28"/>
      <c r="I101" s="28"/>
      <c r="J101" s="28"/>
      <c r="K101" s="28"/>
      <c r="L101" s="171">
        <f>ROUND(SUM($N$88+$N$99),2)</f>
        <v>9222.81</v>
      </c>
      <c r="M101" s="172"/>
      <c r="N101" s="172"/>
      <c r="O101" s="172"/>
      <c r="P101" s="172"/>
      <c r="Q101" s="172"/>
      <c r="R101" s="20"/>
    </row>
    <row r="102" spans="2:18" s="6" customFormat="1" ht="7.5" customHeight="1"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07" spans="2:18" s="6" customFormat="1" ht="37.5" customHeight="1">
      <c r="B107" s="19"/>
      <c r="C107" s="143" t="s">
        <v>131</v>
      </c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20"/>
    </row>
    <row r="108" spans="2:18" s="6" customFormat="1" ht="7.5" customHeight="1">
      <c r="B108" s="19"/>
      <c r="R108" s="20"/>
    </row>
    <row r="109" spans="2:18" s="6" customFormat="1" ht="30.75" customHeight="1">
      <c r="B109" s="19"/>
      <c r="C109" s="16" t="s">
        <v>14</v>
      </c>
      <c r="F109" s="173" t="str">
        <f>$F$6</f>
        <v>UK-stavební práce</v>
      </c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R109" s="20"/>
    </row>
    <row r="110" spans="2:18" s="6" customFormat="1" ht="37.5" customHeight="1">
      <c r="B110" s="19"/>
      <c r="C110" s="49" t="s">
        <v>111</v>
      </c>
      <c r="F110" s="158" t="str">
        <f>$F$7</f>
        <v>B - Zdravotechnika</v>
      </c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R110" s="20"/>
    </row>
    <row r="111" spans="2:18" s="6" customFormat="1" ht="7.5" customHeight="1">
      <c r="B111" s="19"/>
      <c r="R111" s="20"/>
    </row>
    <row r="112" spans="2:18" s="6" customFormat="1" ht="18.75" customHeight="1">
      <c r="B112" s="19"/>
      <c r="C112" s="16" t="s">
        <v>20</v>
      </c>
      <c r="F112" s="14" t="str">
        <f>$F$9</f>
        <v> </v>
      </c>
      <c r="K112" s="16" t="s">
        <v>22</v>
      </c>
      <c r="M112" s="174" t="str">
        <f>IF($O$9="","",$O$9)</f>
        <v>23.10.2016</v>
      </c>
      <c r="N112" s="157"/>
      <c r="O112" s="157"/>
      <c r="P112" s="157"/>
      <c r="R112" s="20"/>
    </row>
    <row r="113" spans="2:18" s="6" customFormat="1" ht="7.5" customHeight="1">
      <c r="B113" s="19"/>
      <c r="R113" s="20"/>
    </row>
    <row r="114" spans="2:18" s="6" customFormat="1" ht="15.75" customHeight="1">
      <c r="B114" s="19"/>
      <c r="C114" s="16" t="s">
        <v>26</v>
      </c>
      <c r="F114" s="14" t="str">
        <f>$E$12</f>
        <v>Univerzita Karlova - Správa budov a zařízení</v>
      </c>
      <c r="K114" s="16" t="s">
        <v>33</v>
      </c>
      <c r="M114" s="144" t="str">
        <f>$E$18</f>
        <v> </v>
      </c>
      <c r="N114" s="157"/>
      <c r="O114" s="157"/>
      <c r="P114" s="157"/>
      <c r="Q114" s="157"/>
      <c r="R114" s="20"/>
    </row>
    <row r="115" spans="2:18" s="6" customFormat="1" ht="15" customHeight="1">
      <c r="B115" s="19"/>
      <c r="C115" s="16" t="s">
        <v>32</v>
      </c>
      <c r="F115" s="14" t="str">
        <f>IF($E$15="","",$E$15)</f>
        <v> </v>
      </c>
      <c r="K115" s="16" t="s">
        <v>35</v>
      </c>
      <c r="M115" s="144" t="str">
        <f>$E$21</f>
        <v> </v>
      </c>
      <c r="N115" s="157"/>
      <c r="O115" s="157"/>
      <c r="P115" s="157"/>
      <c r="Q115" s="157"/>
      <c r="R115" s="20"/>
    </row>
    <row r="116" spans="2:18" s="6" customFormat="1" ht="11.25" customHeight="1">
      <c r="B116" s="19"/>
      <c r="R116" s="20"/>
    </row>
    <row r="117" spans="2:27" s="95" customFormat="1" ht="30" customHeight="1">
      <c r="B117" s="96"/>
      <c r="C117" s="97" t="s">
        <v>132</v>
      </c>
      <c r="D117" s="98" t="s">
        <v>133</v>
      </c>
      <c r="E117" s="98" t="s">
        <v>58</v>
      </c>
      <c r="F117" s="182" t="s">
        <v>134</v>
      </c>
      <c r="G117" s="183"/>
      <c r="H117" s="183"/>
      <c r="I117" s="183"/>
      <c r="J117" s="98" t="s">
        <v>135</v>
      </c>
      <c r="K117" s="98" t="s">
        <v>136</v>
      </c>
      <c r="L117" s="182" t="s">
        <v>137</v>
      </c>
      <c r="M117" s="183"/>
      <c r="N117" s="182" t="s">
        <v>138</v>
      </c>
      <c r="O117" s="183"/>
      <c r="P117" s="183"/>
      <c r="Q117" s="184"/>
      <c r="R117" s="99"/>
      <c r="T117" s="56" t="s">
        <v>139</v>
      </c>
      <c r="U117" s="57" t="s">
        <v>40</v>
      </c>
      <c r="V117" s="57" t="s">
        <v>140</v>
      </c>
      <c r="W117" s="57" t="s">
        <v>141</v>
      </c>
      <c r="X117" s="57" t="s">
        <v>142</v>
      </c>
      <c r="Y117" s="57" t="s">
        <v>143</v>
      </c>
      <c r="Z117" s="57" t="s">
        <v>144</v>
      </c>
      <c r="AA117" s="58" t="s">
        <v>145</v>
      </c>
    </row>
    <row r="118" spans="2:63" s="6" customFormat="1" ht="30" customHeight="1">
      <c r="B118" s="19"/>
      <c r="C118" s="61" t="s">
        <v>113</v>
      </c>
      <c r="N118" s="195">
        <f>$BK$118</f>
        <v>9222.81</v>
      </c>
      <c r="O118" s="157"/>
      <c r="P118" s="157"/>
      <c r="Q118" s="157"/>
      <c r="R118" s="20"/>
      <c r="T118" s="60"/>
      <c r="U118" s="33"/>
      <c r="V118" s="33"/>
      <c r="W118" s="100">
        <f>$W$119+$W$130</f>
        <v>16.805555999999996</v>
      </c>
      <c r="X118" s="33"/>
      <c r="Y118" s="100">
        <f>$Y$119+$Y$130</f>
        <v>0.8043669999999999</v>
      </c>
      <c r="Z118" s="33"/>
      <c r="AA118" s="101">
        <f>$AA$119+$AA$130</f>
        <v>0.14084</v>
      </c>
      <c r="AT118" s="6" t="s">
        <v>75</v>
      </c>
      <c r="AU118" s="6" t="s">
        <v>119</v>
      </c>
      <c r="BK118" s="102">
        <f>$BK$119+$BK$130</f>
        <v>9222.81</v>
      </c>
    </row>
    <row r="119" spans="2:63" s="103" customFormat="1" ht="37.5" customHeight="1">
      <c r="B119" s="104"/>
      <c r="D119" s="105" t="s">
        <v>120</v>
      </c>
      <c r="E119" s="105"/>
      <c r="F119" s="105"/>
      <c r="G119" s="105"/>
      <c r="H119" s="105"/>
      <c r="I119" s="105"/>
      <c r="J119" s="105"/>
      <c r="K119" s="105"/>
      <c r="L119" s="105"/>
      <c r="M119" s="105"/>
      <c r="N119" s="192">
        <f>$BK$119</f>
        <v>4850.05</v>
      </c>
      <c r="O119" s="193"/>
      <c r="P119" s="193"/>
      <c r="Q119" s="193"/>
      <c r="R119" s="107"/>
      <c r="T119" s="108"/>
      <c r="W119" s="109">
        <f>$W$120+$W$124+$W$128</f>
        <v>6.568155999999999</v>
      </c>
      <c r="Y119" s="109">
        <f>$Y$120+$Y$124+$Y$128</f>
        <v>0.7771049999999999</v>
      </c>
      <c r="AA119" s="110">
        <f>$AA$120+$AA$124+$AA$128</f>
        <v>0.0168</v>
      </c>
      <c r="AR119" s="106" t="s">
        <v>19</v>
      </c>
      <c r="AT119" s="106" t="s">
        <v>75</v>
      </c>
      <c r="AU119" s="106" t="s">
        <v>76</v>
      </c>
      <c r="AY119" s="106" t="s">
        <v>146</v>
      </c>
      <c r="BK119" s="111">
        <f>$BK$120+$BK$124+$BK$128</f>
        <v>4850.05</v>
      </c>
    </row>
    <row r="120" spans="2:63" s="103" customFormat="1" ht="21" customHeight="1">
      <c r="B120" s="104"/>
      <c r="D120" s="112" t="s">
        <v>121</v>
      </c>
      <c r="E120" s="112"/>
      <c r="F120" s="112"/>
      <c r="G120" s="112"/>
      <c r="H120" s="112"/>
      <c r="I120" s="112"/>
      <c r="J120" s="112"/>
      <c r="K120" s="112"/>
      <c r="L120" s="112"/>
      <c r="M120" s="112"/>
      <c r="N120" s="194">
        <f>$BK$120</f>
        <v>1456.7</v>
      </c>
      <c r="O120" s="193"/>
      <c r="P120" s="193"/>
      <c r="Q120" s="193"/>
      <c r="R120" s="107"/>
      <c r="T120" s="108"/>
      <c r="W120" s="109">
        <f>SUM($W$121:$W$123)</f>
        <v>5.487299999999999</v>
      </c>
      <c r="Y120" s="109">
        <f>SUM($Y$121:$Y$123)</f>
        <v>0.7771049999999999</v>
      </c>
      <c r="AA120" s="110">
        <f>SUM($AA$121:$AA$123)</f>
        <v>0</v>
      </c>
      <c r="AR120" s="106" t="s">
        <v>19</v>
      </c>
      <c r="AT120" s="106" t="s">
        <v>75</v>
      </c>
      <c r="AU120" s="106" t="s">
        <v>19</v>
      </c>
      <c r="AY120" s="106" t="s">
        <v>146</v>
      </c>
      <c r="BK120" s="111">
        <f>SUM($BK$121:$BK$123)</f>
        <v>1456.7</v>
      </c>
    </row>
    <row r="121" spans="2:65" s="6" customFormat="1" ht="39" customHeight="1">
      <c r="B121" s="19"/>
      <c r="C121" s="113" t="s">
        <v>441</v>
      </c>
      <c r="D121" s="113" t="s">
        <v>148</v>
      </c>
      <c r="E121" s="114" t="s">
        <v>442</v>
      </c>
      <c r="F121" s="185" t="s">
        <v>443</v>
      </c>
      <c r="G121" s="186"/>
      <c r="H121" s="186"/>
      <c r="I121" s="186"/>
      <c r="J121" s="115" t="s">
        <v>259</v>
      </c>
      <c r="K121" s="116">
        <v>2.8</v>
      </c>
      <c r="L121" s="187">
        <v>414</v>
      </c>
      <c r="M121" s="186"/>
      <c r="N121" s="187">
        <f>ROUND($L$121*$K$121,2)</f>
        <v>1159.2</v>
      </c>
      <c r="O121" s="186"/>
      <c r="P121" s="186"/>
      <c r="Q121" s="186"/>
      <c r="R121" s="20"/>
      <c r="T121" s="117"/>
      <c r="U121" s="26" t="s">
        <v>41</v>
      </c>
      <c r="V121" s="118">
        <v>0.871</v>
      </c>
      <c r="W121" s="118">
        <f>$V$121*$K$121</f>
        <v>2.4387999999999996</v>
      </c>
      <c r="X121" s="118">
        <v>0.12335</v>
      </c>
      <c r="Y121" s="118">
        <f>$X$121*$K$121</f>
        <v>0.34537999999999996</v>
      </c>
      <c r="Z121" s="118">
        <v>0</v>
      </c>
      <c r="AA121" s="119">
        <f>$Z$121*$K$121</f>
        <v>0</v>
      </c>
      <c r="AR121" s="6" t="s">
        <v>152</v>
      </c>
      <c r="AT121" s="6" t="s">
        <v>148</v>
      </c>
      <c r="AU121" s="6" t="s">
        <v>109</v>
      </c>
      <c r="AY121" s="6" t="s">
        <v>146</v>
      </c>
      <c r="BE121" s="120">
        <f>IF($U$121="základní",$N$121,0)</f>
        <v>1159.2</v>
      </c>
      <c r="BF121" s="120">
        <f>IF($U$121="snížená",$N$121,0)</f>
        <v>0</v>
      </c>
      <c r="BG121" s="120">
        <f>IF($U$121="zákl. přenesená",$N$121,0)</f>
        <v>0</v>
      </c>
      <c r="BH121" s="120">
        <f>IF($U$121="sníž. přenesená",$N$121,0)</f>
        <v>0</v>
      </c>
      <c r="BI121" s="120">
        <f>IF($U$121="nulová",$N$121,0)</f>
        <v>0</v>
      </c>
      <c r="BJ121" s="6" t="s">
        <v>19</v>
      </c>
      <c r="BK121" s="120">
        <f>ROUND($L$121*$K$121,2)</f>
        <v>1159.2</v>
      </c>
      <c r="BL121" s="6" t="s">
        <v>152</v>
      </c>
      <c r="BM121" s="6" t="s">
        <v>444</v>
      </c>
    </row>
    <row r="122" spans="2:47" s="6" customFormat="1" ht="18.75" customHeight="1">
      <c r="B122" s="19"/>
      <c r="F122" s="188" t="s">
        <v>445</v>
      </c>
      <c r="G122" s="157"/>
      <c r="H122" s="157"/>
      <c r="I122" s="157"/>
      <c r="R122" s="20"/>
      <c r="T122" s="54"/>
      <c r="AA122" s="55"/>
      <c r="AT122" s="6" t="s">
        <v>155</v>
      </c>
      <c r="AU122" s="6" t="s">
        <v>109</v>
      </c>
    </row>
    <row r="123" spans="2:65" s="6" customFormat="1" ht="39" customHeight="1">
      <c r="B123" s="19"/>
      <c r="C123" s="113" t="s">
        <v>446</v>
      </c>
      <c r="D123" s="113" t="s">
        <v>148</v>
      </c>
      <c r="E123" s="114" t="s">
        <v>447</v>
      </c>
      <c r="F123" s="185" t="s">
        <v>448</v>
      </c>
      <c r="G123" s="186"/>
      <c r="H123" s="186"/>
      <c r="I123" s="186"/>
      <c r="J123" s="115" t="s">
        <v>259</v>
      </c>
      <c r="K123" s="116">
        <v>3.5</v>
      </c>
      <c r="L123" s="187">
        <v>85</v>
      </c>
      <c r="M123" s="186"/>
      <c r="N123" s="187">
        <f>ROUND($L$123*$K$123,2)</f>
        <v>297.5</v>
      </c>
      <c r="O123" s="186"/>
      <c r="P123" s="186"/>
      <c r="Q123" s="186"/>
      <c r="R123" s="20"/>
      <c r="T123" s="117"/>
      <c r="U123" s="26" t="s">
        <v>41</v>
      </c>
      <c r="V123" s="118">
        <v>0.871</v>
      </c>
      <c r="W123" s="118">
        <f>$V$123*$K$123</f>
        <v>3.0484999999999998</v>
      </c>
      <c r="X123" s="118">
        <v>0.12335</v>
      </c>
      <c r="Y123" s="118">
        <f>$X$123*$K$123</f>
        <v>0.431725</v>
      </c>
      <c r="Z123" s="118">
        <v>0</v>
      </c>
      <c r="AA123" s="119">
        <f>$Z$123*$K$123</f>
        <v>0</v>
      </c>
      <c r="AR123" s="6" t="s">
        <v>152</v>
      </c>
      <c r="AT123" s="6" t="s">
        <v>148</v>
      </c>
      <c r="AU123" s="6" t="s">
        <v>109</v>
      </c>
      <c r="AY123" s="6" t="s">
        <v>146</v>
      </c>
      <c r="BE123" s="120">
        <f>IF($U$123="základní",$N$123,0)</f>
        <v>297.5</v>
      </c>
      <c r="BF123" s="120">
        <f>IF($U$123="snížená",$N$123,0)</f>
        <v>0</v>
      </c>
      <c r="BG123" s="120">
        <f>IF($U$123="zákl. přenesená",$N$123,0)</f>
        <v>0</v>
      </c>
      <c r="BH123" s="120">
        <f>IF($U$123="sníž. přenesená",$N$123,0)</f>
        <v>0</v>
      </c>
      <c r="BI123" s="120">
        <f>IF($U$123="nulová",$N$123,0)</f>
        <v>0</v>
      </c>
      <c r="BJ123" s="6" t="s">
        <v>19</v>
      </c>
      <c r="BK123" s="120">
        <f>ROUND($L$123*$K$123,2)</f>
        <v>297.5</v>
      </c>
      <c r="BL123" s="6" t="s">
        <v>152</v>
      </c>
      <c r="BM123" s="6" t="s">
        <v>449</v>
      </c>
    </row>
    <row r="124" spans="2:63" s="103" customFormat="1" ht="30.75" customHeight="1">
      <c r="B124" s="104"/>
      <c r="D124" s="112" t="s">
        <v>123</v>
      </c>
      <c r="E124" s="112"/>
      <c r="F124" s="112"/>
      <c r="G124" s="112"/>
      <c r="H124" s="112"/>
      <c r="I124" s="112"/>
      <c r="J124" s="112"/>
      <c r="K124" s="112"/>
      <c r="L124" s="112"/>
      <c r="M124" s="112"/>
      <c r="N124" s="194">
        <f>$BK$124</f>
        <v>3189</v>
      </c>
      <c r="O124" s="193"/>
      <c r="P124" s="193"/>
      <c r="Q124" s="193"/>
      <c r="R124" s="107"/>
      <c r="T124" s="108"/>
      <c r="W124" s="109">
        <f>SUM($W$125:$W$127)</f>
        <v>0.826</v>
      </c>
      <c r="Y124" s="109">
        <f>SUM($Y$125:$Y$127)</f>
        <v>0</v>
      </c>
      <c r="AA124" s="110">
        <f>SUM($AA$125:$AA$127)</f>
        <v>0.0168</v>
      </c>
      <c r="AR124" s="106" t="s">
        <v>19</v>
      </c>
      <c r="AT124" s="106" t="s">
        <v>75</v>
      </c>
      <c r="AU124" s="106" t="s">
        <v>19</v>
      </c>
      <c r="AY124" s="106" t="s">
        <v>146</v>
      </c>
      <c r="BK124" s="111">
        <f>SUM($BK$125:$BK$127)</f>
        <v>3189</v>
      </c>
    </row>
    <row r="125" spans="2:65" s="6" customFormat="1" ht="27" customHeight="1">
      <c r="B125" s="19"/>
      <c r="C125" s="113" t="s">
        <v>429</v>
      </c>
      <c r="D125" s="113" t="s">
        <v>148</v>
      </c>
      <c r="E125" s="114" t="s">
        <v>450</v>
      </c>
      <c r="F125" s="185" t="s">
        <v>451</v>
      </c>
      <c r="G125" s="186"/>
      <c r="H125" s="186"/>
      <c r="I125" s="186"/>
      <c r="J125" s="115" t="s">
        <v>259</v>
      </c>
      <c r="K125" s="116">
        <v>2.8</v>
      </c>
      <c r="L125" s="187">
        <v>67.5</v>
      </c>
      <c r="M125" s="186"/>
      <c r="N125" s="187">
        <f>ROUND($L$125*$K$125,2)</f>
        <v>189</v>
      </c>
      <c r="O125" s="186"/>
      <c r="P125" s="186"/>
      <c r="Q125" s="186"/>
      <c r="R125" s="20"/>
      <c r="T125" s="117"/>
      <c r="U125" s="26" t="s">
        <v>41</v>
      </c>
      <c r="V125" s="118">
        <v>0.295</v>
      </c>
      <c r="W125" s="118">
        <f>$V$125*$K$125</f>
        <v>0.826</v>
      </c>
      <c r="X125" s="118">
        <v>0</v>
      </c>
      <c r="Y125" s="118">
        <f>$X$125*$K$125</f>
        <v>0</v>
      </c>
      <c r="Z125" s="118">
        <v>0.006</v>
      </c>
      <c r="AA125" s="119">
        <f>$Z$125*$K$125</f>
        <v>0.0168</v>
      </c>
      <c r="AR125" s="6" t="s">
        <v>152</v>
      </c>
      <c r="AT125" s="6" t="s">
        <v>148</v>
      </c>
      <c r="AU125" s="6" t="s">
        <v>109</v>
      </c>
      <c r="AY125" s="6" t="s">
        <v>146</v>
      </c>
      <c r="BE125" s="120">
        <f>IF($U$125="základní",$N$125,0)</f>
        <v>189</v>
      </c>
      <c r="BF125" s="120">
        <f>IF($U$125="snížená",$N$125,0)</f>
        <v>0</v>
      </c>
      <c r="BG125" s="120">
        <f>IF($U$125="zákl. přenesená",$N$125,0)</f>
        <v>0</v>
      </c>
      <c r="BH125" s="120">
        <f>IF($U$125="sníž. přenesená",$N$125,0)</f>
        <v>0</v>
      </c>
      <c r="BI125" s="120">
        <f>IF($U$125="nulová",$N$125,0)</f>
        <v>0</v>
      </c>
      <c r="BJ125" s="6" t="s">
        <v>19</v>
      </c>
      <c r="BK125" s="120">
        <f>ROUND($L$125*$K$125,2)</f>
        <v>189</v>
      </c>
      <c r="BL125" s="6" t="s">
        <v>152</v>
      </c>
      <c r="BM125" s="6" t="s">
        <v>452</v>
      </c>
    </row>
    <row r="126" spans="2:47" s="6" customFormat="1" ht="18.75" customHeight="1">
      <c r="B126" s="19"/>
      <c r="F126" s="188" t="s">
        <v>453</v>
      </c>
      <c r="G126" s="157"/>
      <c r="H126" s="157"/>
      <c r="I126" s="157"/>
      <c r="R126" s="20"/>
      <c r="T126" s="54"/>
      <c r="AA126" s="55"/>
      <c r="AT126" s="6" t="s">
        <v>155</v>
      </c>
      <c r="AU126" s="6" t="s">
        <v>109</v>
      </c>
    </row>
    <row r="127" spans="2:65" s="6" customFormat="1" ht="27" customHeight="1">
      <c r="B127" s="19"/>
      <c r="C127" s="113" t="s">
        <v>454</v>
      </c>
      <c r="D127" s="113" t="s">
        <v>148</v>
      </c>
      <c r="E127" s="114" t="s">
        <v>455</v>
      </c>
      <c r="F127" s="185" t="s">
        <v>456</v>
      </c>
      <c r="G127" s="186"/>
      <c r="H127" s="186"/>
      <c r="I127" s="186"/>
      <c r="J127" s="115" t="s">
        <v>259</v>
      </c>
      <c r="K127" s="116">
        <v>40</v>
      </c>
      <c r="L127" s="187">
        <v>75</v>
      </c>
      <c r="M127" s="186"/>
      <c r="N127" s="187">
        <f>ROUND($L$127*$K$127,2)</f>
        <v>3000</v>
      </c>
      <c r="O127" s="186"/>
      <c r="P127" s="186"/>
      <c r="Q127" s="186"/>
      <c r="R127" s="20"/>
      <c r="T127" s="117"/>
      <c r="U127" s="26" t="s">
        <v>41</v>
      </c>
      <c r="V127" s="118">
        <v>0</v>
      </c>
      <c r="W127" s="118">
        <f>$V$127*$K$127</f>
        <v>0</v>
      </c>
      <c r="X127" s="118">
        <v>0</v>
      </c>
      <c r="Y127" s="118">
        <f>$X$127*$K$127</f>
        <v>0</v>
      </c>
      <c r="Z127" s="118">
        <v>0</v>
      </c>
      <c r="AA127" s="119">
        <f>$Z$127*$K$127</f>
        <v>0</v>
      </c>
      <c r="AR127" s="6" t="s">
        <v>152</v>
      </c>
      <c r="AT127" s="6" t="s">
        <v>148</v>
      </c>
      <c r="AU127" s="6" t="s">
        <v>109</v>
      </c>
      <c r="AY127" s="6" t="s">
        <v>146</v>
      </c>
      <c r="BE127" s="120">
        <f>IF($U$127="základní",$N$127,0)</f>
        <v>3000</v>
      </c>
      <c r="BF127" s="120">
        <f>IF($U$127="snížená",$N$127,0)</f>
        <v>0</v>
      </c>
      <c r="BG127" s="120">
        <f>IF($U$127="zákl. přenesená",$N$127,0)</f>
        <v>0</v>
      </c>
      <c r="BH127" s="120">
        <f>IF($U$127="sníž. přenesená",$N$127,0)</f>
        <v>0</v>
      </c>
      <c r="BI127" s="120">
        <f>IF($U$127="nulová",$N$127,0)</f>
        <v>0</v>
      </c>
      <c r="BJ127" s="6" t="s">
        <v>19</v>
      </c>
      <c r="BK127" s="120">
        <f>ROUND($L$127*$K$127,2)</f>
        <v>3000</v>
      </c>
      <c r="BL127" s="6" t="s">
        <v>152</v>
      </c>
      <c r="BM127" s="6" t="s">
        <v>457</v>
      </c>
    </row>
    <row r="128" spans="2:63" s="103" customFormat="1" ht="30.75" customHeight="1">
      <c r="B128" s="104"/>
      <c r="D128" s="112" t="s">
        <v>124</v>
      </c>
      <c r="E128" s="112"/>
      <c r="F128" s="112"/>
      <c r="G128" s="112"/>
      <c r="H128" s="112"/>
      <c r="I128" s="112"/>
      <c r="J128" s="112"/>
      <c r="K128" s="112"/>
      <c r="L128" s="112"/>
      <c r="M128" s="112"/>
      <c r="N128" s="194">
        <f>$BK$128</f>
        <v>204.35</v>
      </c>
      <c r="O128" s="193"/>
      <c r="P128" s="193"/>
      <c r="Q128" s="193"/>
      <c r="R128" s="107"/>
      <c r="T128" s="108"/>
      <c r="W128" s="109">
        <f>$W$129</f>
        <v>0.254856</v>
      </c>
      <c r="Y128" s="109">
        <f>$Y$129</f>
        <v>0</v>
      </c>
      <c r="AA128" s="110">
        <f>$AA$129</f>
        <v>0</v>
      </c>
      <c r="AR128" s="106" t="s">
        <v>19</v>
      </c>
      <c r="AT128" s="106" t="s">
        <v>75</v>
      </c>
      <c r="AU128" s="106" t="s">
        <v>19</v>
      </c>
      <c r="AY128" s="106" t="s">
        <v>146</v>
      </c>
      <c r="BK128" s="111">
        <f>$BK$129</f>
        <v>204.35</v>
      </c>
    </row>
    <row r="129" spans="2:65" s="6" customFormat="1" ht="15.75" customHeight="1">
      <c r="B129" s="19"/>
      <c r="C129" s="113" t="s">
        <v>19</v>
      </c>
      <c r="D129" s="113" t="s">
        <v>148</v>
      </c>
      <c r="E129" s="114" t="s">
        <v>200</v>
      </c>
      <c r="F129" s="185" t="s">
        <v>201</v>
      </c>
      <c r="G129" s="186"/>
      <c r="H129" s="186"/>
      <c r="I129" s="186"/>
      <c r="J129" s="115" t="s">
        <v>202</v>
      </c>
      <c r="K129" s="116">
        <v>0.777</v>
      </c>
      <c r="L129" s="187">
        <v>263</v>
      </c>
      <c r="M129" s="186"/>
      <c r="N129" s="187">
        <f>ROUND($L$129*$K$129,2)</f>
        <v>204.35</v>
      </c>
      <c r="O129" s="186"/>
      <c r="P129" s="186"/>
      <c r="Q129" s="186"/>
      <c r="R129" s="20"/>
      <c r="T129" s="117"/>
      <c r="U129" s="26" t="s">
        <v>41</v>
      </c>
      <c r="V129" s="118">
        <v>0.328</v>
      </c>
      <c r="W129" s="118">
        <f>$V$129*$K$129</f>
        <v>0.254856</v>
      </c>
      <c r="X129" s="118">
        <v>0</v>
      </c>
      <c r="Y129" s="118">
        <f>$X$129*$K$129</f>
        <v>0</v>
      </c>
      <c r="Z129" s="118">
        <v>0</v>
      </c>
      <c r="AA129" s="119">
        <f>$Z$129*$K$129</f>
        <v>0</v>
      </c>
      <c r="AR129" s="6" t="s">
        <v>152</v>
      </c>
      <c r="AT129" s="6" t="s">
        <v>148</v>
      </c>
      <c r="AU129" s="6" t="s">
        <v>109</v>
      </c>
      <c r="AY129" s="6" t="s">
        <v>146</v>
      </c>
      <c r="BE129" s="120">
        <f>IF($U$129="základní",$N$129,0)</f>
        <v>204.35</v>
      </c>
      <c r="BF129" s="120">
        <f>IF($U$129="snížená",$N$129,0)</f>
        <v>0</v>
      </c>
      <c r="BG129" s="120">
        <f>IF($U$129="zákl. přenesená",$N$129,0)</f>
        <v>0</v>
      </c>
      <c r="BH129" s="120">
        <f>IF($U$129="sníž. přenesená",$N$129,0)</f>
        <v>0</v>
      </c>
      <c r="BI129" s="120">
        <f>IF($U$129="nulová",$N$129,0)</f>
        <v>0</v>
      </c>
      <c r="BJ129" s="6" t="s">
        <v>19</v>
      </c>
      <c r="BK129" s="120">
        <f>ROUND($L$129*$K$129,2)</f>
        <v>204.35</v>
      </c>
      <c r="BL129" s="6" t="s">
        <v>152</v>
      </c>
      <c r="BM129" s="6" t="s">
        <v>458</v>
      </c>
    </row>
    <row r="130" spans="2:63" s="103" customFormat="1" ht="37.5" customHeight="1">
      <c r="B130" s="104"/>
      <c r="D130" s="105" t="s">
        <v>125</v>
      </c>
      <c r="E130" s="105"/>
      <c r="F130" s="105"/>
      <c r="G130" s="105"/>
      <c r="H130" s="105"/>
      <c r="I130" s="105"/>
      <c r="J130" s="105"/>
      <c r="K130" s="105"/>
      <c r="L130" s="105"/>
      <c r="M130" s="105"/>
      <c r="N130" s="192">
        <f>$BK$130</f>
        <v>4372.759999999999</v>
      </c>
      <c r="O130" s="193"/>
      <c r="P130" s="193"/>
      <c r="Q130" s="193"/>
      <c r="R130" s="107"/>
      <c r="T130" s="108"/>
      <c r="W130" s="109">
        <f>$W$131+$W$137+$W$141+$W$146</f>
        <v>10.237399999999997</v>
      </c>
      <c r="Y130" s="109">
        <f>$Y$131+$Y$137+$Y$141+$Y$146</f>
        <v>0.027261999999999998</v>
      </c>
      <c r="AA130" s="110">
        <f>$AA$131+$AA$137+$AA$141+$AA$146</f>
        <v>0.12404</v>
      </c>
      <c r="AR130" s="106" t="s">
        <v>109</v>
      </c>
      <c r="AT130" s="106" t="s">
        <v>75</v>
      </c>
      <c r="AU130" s="106" t="s">
        <v>76</v>
      </c>
      <c r="AY130" s="106" t="s">
        <v>146</v>
      </c>
      <c r="BK130" s="111">
        <f>$BK$131+$BK$137+$BK$141+$BK$146</f>
        <v>4372.759999999999</v>
      </c>
    </row>
    <row r="131" spans="2:63" s="103" customFormat="1" ht="21" customHeight="1">
      <c r="B131" s="104"/>
      <c r="D131" s="112" t="s">
        <v>438</v>
      </c>
      <c r="E131" s="112"/>
      <c r="F131" s="112"/>
      <c r="G131" s="112"/>
      <c r="H131" s="112"/>
      <c r="I131" s="112"/>
      <c r="J131" s="112"/>
      <c r="K131" s="112"/>
      <c r="L131" s="112"/>
      <c r="M131" s="112"/>
      <c r="N131" s="194">
        <f>$BK$131</f>
        <v>2006.6</v>
      </c>
      <c r="O131" s="193"/>
      <c r="P131" s="193"/>
      <c r="Q131" s="193"/>
      <c r="R131" s="107"/>
      <c r="T131" s="108"/>
      <c r="W131" s="109">
        <f>SUM($W$132:$W$136)</f>
        <v>5.0558</v>
      </c>
      <c r="Y131" s="109">
        <f>SUM($Y$132:$Y$136)</f>
        <v>0.0020599999999999998</v>
      </c>
      <c r="AA131" s="110">
        <f>SUM($AA$132:$AA$136)</f>
        <v>0.08582</v>
      </c>
      <c r="AR131" s="106" t="s">
        <v>109</v>
      </c>
      <c r="AT131" s="106" t="s">
        <v>75</v>
      </c>
      <c r="AU131" s="106" t="s">
        <v>19</v>
      </c>
      <c r="AY131" s="106" t="s">
        <v>146</v>
      </c>
      <c r="BK131" s="111">
        <f>SUM($BK$132:$BK$136)</f>
        <v>2006.6</v>
      </c>
    </row>
    <row r="132" spans="2:65" s="6" customFormat="1" ht="27" customHeight="1">
      <c r="B132" s="19"/>
      <c r="C132" s="113" t="s">
        <v>459</v>
      </c>
      <c r="D132" s="113" t="s">
        <v>148</v>
      </c>
      <c r="E132" s="114" t="s">
        <v>460</v>
      </c>
      <c r="F132" s="185" t="s">
        <v>461</v>
      </c>
      <c r="G132" s="186"/>
      <c r="H132" s="186"/>
      <c r="I132" s="186"/>
      <c r="J132" s="115" t="s">
        <v>259</v>
      </c>
      <c r="K132" s="116">
        <v>2.8</v>
      </c>
      <c r="L132" s="187">
        <v>155</v>
      </c>
      <c r="M132" s="186"/>
      <c r="N132" s="187">
        <f>ROUND($L$132*$K$132,2)</f>
        <v>434</v>
      </c>
      <c r="O132" s="186"/>
      <c r="P132" s="186"/>
      <c r="Q132" s="186"/>
      <c r="R132" s="20"/>
      <c r="T132" s="117"/>
      <c r="U132" s="26" t="s">
        <v>41</v>
      </c>
      <c r="V132" s="118">
        <v>0.576</v>
      </c>
      <c r="W132" s="118">
        <f>$V$132*$K$132</f>
        <v>1.6127999999999998</v>
      </c>
      <c r="X132" s="118">
        <v>0</v>
      </c>
      <c r="Y132" s="118">
        <f>$X$132*$K$132</f>
        <v>0</v>
      </c>
      <c r="Z132" s="118">
        <v>0.03065</v>
      </c>
      <c r="AA132" s="119">
        <f>$Z$132*$K$132</f>
        <v>0.08582</v>
      </c>
      <c r="AR132" s="6" t="s">
        <v>206</v>
      </c>
      <c r="AT132" s="6" t="s">
        <v>148</v>
      </c>
      <c r="AU132" s="6" t="s">
        <v>109</v>
      </c>
      <c r="AY132" s="6" t="s">
        <v>146</v>
      </c>
      <c r="BE132" s="120">
        <f>IF($U$132="základní",$N$132,0)</f>
        <v>434</v>
      </c>
      <c r="BF132" s="120">
        <f>IF($U$132="snížená",$N$132,0)</f>
        <v>0</v>
      </c>
      <c r="BG132" s="120">
        <f>IF($U$132="zákl. přenesená",$N$132,0)</f>
        <v>0</v>
      </c>
      <c r="BH132" s="120">
        <f>IF($U$132="sníž. přenesená",$N$132,0)</f>
        <v>0</v>
      </c>
      <c r="BI132" s="120">
        <f>IF($U$132="nulová",$N$132,0)</f>
        <v>0</v>
      </c>
      <c r="BJ132" s="6" t="s">
        <v>19</v>
      </c>
      <c r="BK132" s="120">
        <f>ROUND($L$132*$K$132,2)</f>
        <v>434</v>
      </c>
      <c r="BL132" s="6" t="s">
        <v>206</v>
      </c>
      <c r="BM132" s="6" t="s">
        <v>462</v>
      </c>
    </row>
    <row r="133" spans="2:65" s="6" customFormat="1" ht="27" customHeight="1">
      <c r="B133" s="19"/>
      <c r="C133" s="113" t="s">
        <v>463</v>
      </c>
      <c r="D133" s="113" t="s">
        <v>148</v>
      </c>
      <c r="E133" s="114" t="s">
        <v>464</v>
      </c>
      <c r="F133" s="185" t="s">
        <v>465</v>
      </c>
      <c r="G133" s="186"/>
      <c r="H133" s="186"/>
      <c r="I133" s="186"/>
      <c r="J133" s="115" t="s">
        <v>259</v>
      </c>
      <c r="K133" s="116">
        <v>1.6</v>
      </c>
      <c r="L133" s="187">
        <v>283</v>
      </c>
      <c r="M133" s="186"/>
      <c r="N133" s="187">
        <f>ROUND($L$133*$K$133,2)</f>
        <v>452.8</v>
      </c>
      <c r="O133" s="186"/>
      <c r="P133" s="186"/>
      <c r="Q133" s="186"/>
      <c r="R133" s="20"/>
      <c r="T133" s="117"/>
      <c r="U133" s="26" t="s">
        <v>41</v>
      </c>
      <c r="V133" s="118">
        <v>0.659</v>
      </c>
      <c r="W133" s="118">
        <f>$V$133*$K$133</f>
        <v>1.0544</v>
      </c>
      <c r="X133" s="118">
        <v>0.00029</v>
      </c>
      <c r="Y133" s="118">
        <f>$X$133*$K$133</f>
        <v>0.000464</v>
      </c>
      <c r="Z133" s="118">
        <v>0</v>
      </c>
      <c r="AA133" s="119">
        <f>$Z$133*$K$133</f>
        <v>0</v>
      </c>
      <c r="AR133" s="6" t="s">
        <v>206</v>
      </c>
      <c r="AT133" s="6" t="s">
        <v>148</v>
      </c>
      <c r="AU133" s="6" t="s">
        <v>109</v>
      </c>
      <c r="AY133" s="6" t="s">
        <v>146</v>
      </c>
      <c r="BE133" s="120">
        <f>IF($U$133="základní",$N$133,0)</f>
        <v>452.8</v>
      </c>
      <c r="BF133" s="120">
        <f>IF($U$133="snížená",$N$133,0)</f>
        <v>0</v>
      </c>
      <c r="BG133" s="120">
        <f>IF($U$133="zákl. přenesená",$N$133,0)</f>
        <v>0</v>
      </c>
      <c r="BH133" s="120">
        <f>IF($U$133="sníž. přenesená",$N$133,0)</f>
        <v>0</v>
      </c>
      <c r="BI133" s="120">
        <f>IF($U$133="nulová",$N$133,0)</f>
        <v>0</v>
      </c>
      <c r="BJ133" s="6" t="s">
        <v>19</v>
      </c>
      <c r="BK133" s="120">
        <f>ROUND($L$133*$K$133,2)</f>
        <v>452.8</v>
      </c>
      <c r="BL133" s="6" t="s">
        <v>206</v>
      </c>
      <c r="BM133" s="6" t="s">
        <v>466</v>
      </c>
    </row>
    <row r="134" spans="2:65" s="6" customFormat="1" ht="27" customHeight="1">
      <c r="B134" s="19"/>
      <c r="C134" s="113" t="s">
        <v>467</v>
      </c>
      <c r="D134" s="113" t="s">
        <v>148</v>
      </c>
      <c r="E134" s="114" t="s">
        <v>468</v>
      </c>
      <c r="F134" s="185" t="s">
        <v>469</v>
      </c>
      <c r="G134" s="186"/>
      <c r="H134" s="186"/>
      <c r="I134" s="186"/>
      <c r="J134" s="115" t="s">
        <v>259</v>
      </c>
      <c r="K134" s="116">
        <v>2.8</v>
      </c>
      <c r="L134" s="187">
        <v>381</v>
      </c>
      <c r="M134" s="186"/>
      <c r="N134" s="187">
        <f>ROUND($L$134*$K$134,2)</f>
        <v>1066.8</v>
      </c>
      <c r="O134" s="186"/>
      <c r="P134" s="186"/>
      <c r="Q134" s="186"/>
      <c r="R134" s="20"/>
      <c r="T134" s="117"/>
      <c r="U134" s="26" t="s">
        <v>41</v>
      </c>
      <c r="V134" s="118">
        <v>0.797</v>
      </c>
      <c r="W134" s="118">
        <f>$V$134*$K$134</f>
        <v>2.2316</v>
      </c>
      <c r="X134" s="118">
        <v>0.00057</v>
      </c>
      <c r="Y134" s="118">
        <f>$X$134*$K$134</f>
        <v>0.0015959999999999998</v>
      </c>
      <c r="Z134" s="118">
        <v>0</v>
      </c>
      <c r="AA134" s="119">
        <f>$Z$134*$K$134</f>
        <v>0</v>
      </c>
      <c r="AR134" s="6" t="s">
        <v>206</v>
      </c>
      <c r="AT134" s="6" t="s">
        <v>148</v>
      </c>
      <c r="AU134" s="6" t="s">
        <v>109</v>
      </c>
      <c r="AY134" s="6" t="s">
        <v>146</v>
      </c>
      <c r="BE134" s="120">
        <f>IF($U$134="základní",$N$134,0)</f>
        <v>1066.8</v>
      </c>
      <c r="BF134" s="120">
        <f>IF($U$134="snížená",$N$134,0)</f>
        <v>0</v>
      </c>
      <c r="BG134" s="120">
        <f>IF($U$134="zákl. přenesená",$N$134,0)</f>
        <v>0</v>
      </c>
      <c r="BH134" s="120">
        <f>IF($U$134="sníž. přenesená",$N$134,0)</f>
        <v>0</v>
      </c>
      <c r="BI134" s="120">
        <f>IF($U$134="nulová",$N$134,0)</f>
        <v>0</v>
      </c>
      <c r="BJ134" s="6" t="s">
        <v>19</v>
      </c>
      <c r="BK134" s="120">
        <f>ROUND($L$134*$K$134,2)</f>
        <v>1066.8</v>
      </c>
      <c r="BL134" s="6" t="s">
        <v>206</v>
      </c>
      <c r="BM134" s="6" t="s">
        <v>470</v>
      </c>
    </row>
    <row r="135" spans="2:65" s="6" customFormat="1" ht="15.75" customHeight="1">
      <c r="B135" s="19"/>
      <c r="C135" s="113" t="s">
        <v>471</v>
      </c>
      <c r="D135" s="113" t="s">
        <v>148</v>
      </c>
      <c r="E135" s="114" t="s">
        <v>472</v>
      </c>
      <c r="F135" s="185" t="s">
        <v>473</v>
      </c>
      <c r="G135" s="186"/>
      <c r="H135" s="186"/>
      <c r="I135" s="186"/>
      <c r="J135" s="115" t="s">
        <v>151</v>
      </c>
      <c r="K135" s="116">
        <v>1</v>
      </c>
      <c r="L135" s="187">
        <v>53</v>
      </c>
      <c r="M135" s="186"/>
      <c r="N135" s="187">
        <f>ROUND($L$135*$K$135,2)</f>
        <v>53</v>
      </c>
      <c r="O135" s="186"/>
      <c r="P135" s="186"/>
      <c r="Q135" s="186"/>
      <c r="R135" s="20"/>
      <c r="T135" s="117"/>
      <c r="U135" s="26" t="s">
        <v>41</v>
      </c>
      <c r="V135" s="118">
        <v>0.157</v>
      </c>
      <c r="W135" s="118">
        <f>$V$135*$K$135</f>
        <v>0.157</v>
      </c>
      <c r="X135" s="118">
        <v>0</v>
      </c>
      <c r="Y135" s="118">
        <f>$X$135*$K$135</f>
        <v>0</v>
      </c>
      <c r="Z135" s="118">
        <v>0</v>
      </c>
      <c r="AA135" s="119">
        <f>$Z$135*$K$135</f>
        <v>0</v>
      </c>
      <c r="AR135" s="6" t="s">
        <v>206</v>
      </c>
      <c r="AT135" s="6" t="s">
        <v>148</v>
      </c>
      <c r="AU135" s="6" t="s">
        <v>109</v>
      </c>
      <c r="AY135" s="6" t="s">
        <v>146</v>
      </c>
      <c r="BE135" s="120">
        <f>IF($U$135="základní",$N$135,0)</f>
        <v>53</v>
      </c>
      <c r="BF135" s="120">
        <f>IF($U$135="snížená",$N$135,0)</f>
        <v>0</v>
      </c>
      <c r="BG135" s="120">
        <f>IF($U$135="zákl. přenesená",$N$135,0)</f>
        <v>0</v>
      </c>
      <c r="BH135" s="120">
        <f>IF($U$135="sníž. přenesená",$N$135,0)</f>
        <v>0</v>
      </c>
      <c r="BI135" s="120">
        <f>IF($U$135="nulová",$N$135,0)</f>
        <v>0</v>
      </c>
      <c r="BJ135" s="6" t="s">
        <v>19</v>
      </c>
      <c r="BK135" s="120">
        <f>ROUND($L$135*$K$135,2)</f>
        <v>53</v>
      </c>
      <c r="BL135" s="6" t="s">
        <v>206</v>
      </c>
      <c r="BM135" s="6" t="s">
        <v>474</v>
      </c>
    </row>
    <row r="136" spans="2:47" s="6" customFormat="1" ht="18.75" customHeight="1">
      <c r="B136" s="19"/>
      <c r="F136" s="188" t="s">
        <v>475</v>
      </c>
      <c r="G136" s="157"/>
      <c r="H136" s="157"/>
      <c r="I136" s="157"/>
      <c r="R136" s="20"/>
      <c r="T136" s="54"/>
      <c r="AA136" s="55"/>
      <c r="AT136" s="6" t="s">
        <v>155</v>
      </c>
      <c r="AU136" s="6" t="s">
        <v>109</v>
      </c>
    </row>
    <row r="137" spans="2:63" s="103" customFormat="1" ht="30.75" customHeight="1">
      <c r="B137" s="104"/>
      <c r="D137" s="112" t="s">
        <v>439</v>
      </c>
      <c r="E137" s="112"/>
      <c r="F137" s="112"/>
      <c r="G137" s="112"/>
      <c r="H137" s="112"/>
      <c r="I137" s="112"/>
      <c r="J137" s="112"/>
      <c r="K137" s="112"/>
      <c r="L137" s="112"/>
      <c r="M137" s="112"/>
      <c r="N137" s="194">
        <f>$BK$137</f>
        <v>1309.76</v>
      </c>
      <c r="O137" s="193"/>
      <c r="P137" s="193"/>
      <c r="Q137" s="193"/>
      <c r="R137" s="107"/>
      <c r="T137" s="108"/>
      <c r="W137" s="109">
        <f>SUM($W$138:$W$140)</f>
        <v>3.2404</v>
      </c>
      <c r="Y137" s="109">
        <f>SUM($Y$138:$Y$140)</f>
        <v>0.003604</v>
      </c>
      <c r="AA137" s="110">
        <f>SUM($AA$138:$AA$140)</f>
        <v>0.01876</v>
      </c>
      <c r="AR137" s="106" t="s">
        <v>109</v>
      </c>
      <c r="AT137" s="106" t="s">
        <v>75</v>
      </c>
      <c r="AU137" s="106" t="s">
        <v>19</v>
      </c>
      <c r="AY137" s="106" t="s">
        <v>146</v>
      </c>
      <c r="BK137" s="111">
        <f>SUM($BK$138:$BK$140)</f>
        <v>1309.76</v>
      </c>
    </row>
    <row r="138" spans="2:65" s="6" customFormat="1" ht="27" customHeight="1">
      <c r="B138" s="19"/>
      <c r="C138" s="113" t="s">
        <v>476</v>
      </c>
      <c r="D138" s="113" t="s">
        <v>148</v>
      </c>
      <c r="E138" s="114" t="s">
        <v>477</v>
      </c>
      <c r="F138" s="185" t="s">
        <v>478</v>
      </c>
      <c r="G138" s="186"/>
      <c r="H138" s="186"/>
      <c r="I138" s="186"/>
      <c r="J138" s="115" t="s">
        <v>259</v>
      </c>
      <c r="K138" s="116">
        <v>2.8</v>
      </c>
      <c r="L138" s="187">
        <v>64.2</v>
      </c>
      <c r="M138" s="186"/>
      <c r="N138" s="187">
        <f>ROUND($L$138*$K$138,2)</f>
        <v>179.76</v>
      </c>
      <c r="O138" s="186"/>
      <c r="P138" s="186"/>
      <c r="Q138" s="186"/>
      <c r="R138" s="20"/>
      <c r="T138" s="117"/>
      <c r="U138" s="26" t="s">
        <v>41</v>
      </c>
      <c r="V138" s="118">
        <v>0.239</v>
      </c>
      <c r="W138" s="118">
        <f>$V$138*$K$138</f>
        <v>0.6691999999999999</v>
      </c>
      <c r="X138" s="118">
        <v>0</v>
      </c>
      <c r="Y138" s="118">
        <f>$X$138*$K$138</f>
        <v>0</v>
      </c>
      <c r="Z138" s="118">
        <v>0.0067</v>
      </c>
      <c r="AA138" s="119">
        <f>$Z$138*$K$138</f>
        <v>0.01876</v>
      </c>
      <c r="AR138" s="6" t="s">
        <v>206</v>
      </c>
      <c r="AT138" s="6" t="s">
        <v>148</v>
      </c>
      <c r="AU138" s="6" t="s">
        <v>109</v>
      </c>
      <c r="AY138" s="6" t="s">
        <v>146</v>
      </c>
      <c r="BE138" s="120">
        <f>IF($U$138="základní",$N$138,0)</f>
        <v>179.76</v>
      </c>
      <c r="BF138" s="120">
        <f>IF($U$138="snížená",$N$138,0)</f>
        <v>0</v>
      </c>
      <c r="BG138" s="120">
        <f>IF($U$138="zákl. přenesená",$N$138,0)</f>
        <v>0</v>
      </c>
      <c r="BH138" s="120">
        <f>IF($U$138="sníž. přenesená",$N$138,0)</f>
        <v>0</v>
      </c>
      <c r="BI138" s="120">
        <f>IF($U$138="nulová",$N$138,0)</f>
        <v>0</v>
      </c>
      <c r="BJ138" s="6" t="s">
        <v>19</v>
      </c>
      <c r="BK138" s="120">
        <f>ROUND($L$138*$K$138,2)</f>
        <v>179.76</v>
      </c>
      <c r="BL138" s="6" t="s">
        <v>206</v>
      </c>
      <c r="BM138" s="6" t="s">
        <v>479</v>
      </c>
    </row>
    <row r="139" spans="2:65" s="6" customFormat="1" ht="27" customHeight="1">
      <c r="B139" s="19"/>
      <c r="C139" s="113" t="s">
        <v>480</v>
      </c>
      <c r="D139" s="113" t="s">
        <v>148</v>
      </c>
      <c r="E139" s="114" t="s">
        <v>481</v>
      </c>
      <c r="F139" s="185" t="s">
        <v>482</v>
      </c>
      <c r="G139" s="186"/>
      <c r="H139" s="186"/>
      <c r="I139" s="186"/>
      <c r="J139" s="115" t="s">
        <v>259</v>
      </c>
      <c r="K139" s="116">
        <v>1.6</v>
      </c>
      <c r="L139" s="187">
        <v>225</v>
      </c>
      <c r="M139" s="186"/>
      <c r="N139" s="187">
        <f>ROUND($L$139*$K$139,2)</f>
        <v>360</v>
      </c>
      <c r="O139" s="186"/>
      <c r="P139" s="186"/>
      <c r="Q139" s="186"/>
      <c r="R139" s="20"/>
      <c r="T139" s="117"/>
      <c r="U139" s="26" t="s">
        <v>41</v>
      </c>
      <c r="V139" s="118">
        <v>0.529</v>
      </c>
      <c r="W139" s="118">
        <f>$V$139*$K$139</f>
        <v>0.8464</v>
      </c>
      <c r="X139" s="118">
        <v>0.00066</v>
      </c>
      <c r="Y139" s="118">
        <f>$X$139*$K$139</f>
        <v>0.001056</v>
      </c>
      <c r="Z139" s="118">
        <v>0</v>
      </c>
      <c r="AA139" s="119">
        <f>$Z$139*$K$139</f>
        <v>0</v>
      </c>
      <c r="AR139" s="6" t="s">
        <v>206</v>
      </c>
      <c r="AT139" s="6" t="s">
        <v>148</v>
      </c>
      <c r="AU139" s="6" t="s">
        <v>109</v>
      </c>
      <c r="AY139" s="6" t="s">
        <v>146</v>
      </c>
      <c r="BE139" s="120">
        <f>IF($U$139="základní",$N$139,0)</f>
        <v>360</v>
      </c>
      <c r="BF139" s="120">
        <f>IF($U$139="snížená",$N$139,0)</f>
        <v>0</v>
      </c>
      <c r="BG139" s="120">
        <f>IF($U$139="zákl. přenesená",$N$139,0)</f>
        <v>0</v>
      </c>
      <c r="BH139" s="120">
        <f>IF($U$139="sníž. přenesená",$N$139,0)</f>
        <v>0</v>
      </c>
      <c r="BI139" s="120">
        <f>IF($U$139="nulová",$N$139,0)</f>
        <v>0</v>
      </c>
      <c r="BJ139" s="6" t="s">
        <v>19</v>
      </c>
      <c r="BK139" s="120">
        <f>ROUND($L$139*$K$139,2)</f>
        <v>360</v>
      </c>
      <c r="BL139" s="6" t="s">
        <v>206</v>
      </c>
      <c r="BM139" s="6" t="s">
        <v>483</v>
      </c>
    </row>
    <row r="140" spans="2:65" s="6" customFormat="1" ht="27" customHeight="1">
      <c r="B140" s="19"/>
      <c r="C140" s="113" t="s">
        <v>484</v>
      </c>
      <c r="D140" s="113" t="s">
        <v>148</v>
      </c>
      <c r="E140" s="114" t="s">
        <v>485</v>
      </c>
      <c r="F140" s="185" t="s">
        <v>486</v>
      </c>
      <c r="G140" s="186"/>
      <c r="H140" s="186"/>
      <c r="I140" s="186"/>
      <c r="J140" s="115" t="s">
        <v>259</v>
      </c>
      <c r="K140" s="116">
        <v>2.8</v>
      </c>
      <c r="L140" s="187">
        <v>275</v>
      </c>
      <c r="M140" s="186"/>
      <c r="N140" s="187">
        <f>ROUND($L$140*$K$140,2)</f>
        <v>770</v>
      </c>
      <c r="O140" s="186"/>
      <c r="P140" s="186"/>
      <c r="Q140" s="186"/>
      <c r="R140" s="20"/>
      <c r="T140" s="117"/>
      <c r="U140" s="26" t="s">
        <v>41</v>
      </c>
      <c r="V140" s="118">
        <v>0.616</v>
      </c>
      <c r="W140" s="118">
        <f>$V$140*$K$140</f>
        <v>1.7247999999999999</v>
      </c>
      <c r="X140" s="118">
        <v>0.00091</v>
      </c>
      <c r="Y140" s="118">
        <f>$X$140*$K$140</f>
        <v>0.002548</v>
      </c>
      <c r="Z140" s="118">
        <v>0</v>
      </c>
      <c r="AA140" s="119">
        <f>$Z$140*$K$140</f>
        <v>0</v>
      </c>
      <c r="AR140" s="6" t="s">
        <v>206</v>
      </c>
      <c r="AT140" s="6" t="s">
        <v>148</v>
      </c>
      <c r="AU140" s="6" t="s">
        <v>109</v>
      </c>
      <c r="AY140" s="6" t="s">
        <v>146</v>
      </c>
      <c r="BE140" s="120">
        <f>IF($U$140="základní",$N$140,0)</f>
        <v>770</v>
      </c>
      <c r="BF140" s="120">
        <f>IF($U$140="snížená",$N$140,0)</f>
        <v>0</v>
      </c>
      <c r="BG140" s="120">
        <f>IF($U$140="zákl. přenesená",$N$140,0)</f>
        <v>0</v>
      </c>
      <c r="BH140" s="120">
        <f>IF($U$140="sníž. přenesená",$N$140,0)</f>
        <v>0</v>
      </c>
      <c r="BI140" s="120">
        <f>IF($U$140="nulová",$N$140,0)</f>
        <v>0</v>
      </c>
      <c r="BJ140" s="6" t="s">
        <v>19</v>
      </c>
      <c r="BK140" s="120">
        <f>ROUND($L$140*$K$140,2)</f>
        <v>770</v>
      </c>
      <c r="BL140" s="6" t="s">
        <v>206</v>
      </c>
      <c r="BM140" s="6" t="s">
        <v>487</v>
      </c>
    </row>
    <row r="141" spans="2:63" s="103" customFormat="1" ht="30.75" customHeight="1">
      <c r="B141" s="104"/>
      <c r="D141" s="112" t="s">
        <v>440</v>
      </c>
      <c r="E141" s="112"/>
      <c r="F141" s="112"/>
      <c r="G141" s="112"/>
      <c r="H141" s="112"/>
      <c r="I141" s="112"/>
      <c r="J141" s="112"/>
      <c r="K141" s="112"/>
      <c r="L141" s="112"/>
      <c r="M141" s="112"/>
      <c r="N141" s="194">
        <f>$BK$141</f>
        <v>207.2</v>
      </c>
      <c r="O141" s="193"/>
      <c r="P141" s="193"/>
      <c r="Q141" s="193"/>
      <c r="R141" s="107"/>
      <c r="T141" s="108"/>
      <c r="W141" s="109">
        <f>SUM($W$142:$W$145)</f>
        <v>0.383</v>
      </c>
      <c r="Y141" s="109">
        <f>SUM($Y$142:$Y$145)</f>
        <v>0.00031</v>
      </c>
      <c r="AA141" s="110">
        <f>SUM($AA$142:$AA$145)</f>
        <v>0.01946</v>
      </c>
      <c r="AR141" s="106" t="s">
        <v>109</v>
      </c>
      <c r="AT141" s="106" t="s">
        <v>75</v>
      </c>
      <c r="AU141" s="106" t="s">
        <v>19</v>
      </c>
      <c r="AY141" s="106" t="s">
        <v>146</v>
      </c>
      <c r="BK141" s="111">
        <f>SUM($BK$142:$BK$145)</f>
        <v>207.2</v>
      </c>
    </row>
    <row r="142" spans="2:65" s="6" customFormat="1" ht="39" customHeight="1">
      <c r="B142" s="19"/>
      <c r="C142" s="113" t="s">
        <v>488</v>
      </c>
      <c r="D142" s="113" t="s">
        <v>148</v>
      </c>
      <c r="E142" s="114" t="s">
        <v>489</v>
      </c>
      <c r="F142" s="185" t="s">
        <v>490</v>
      </c>
      <c r="G142" s="186"/>
      <c r="H142" s="186"/>
      <c r="I142" s="186"/>
      <c r="J142" s="115" t="s">
        <v>491</v>
      </c>
      <c r="K142" s="116">
        <v>1</v>
      </c>
      <c r="L142" s="187">
        <v>97.2</v>
      </c>
      <c r="M142" s="186"/>
      <c r="N142" s="187">
        <f>ROUND($L$142*$K$142,2)</f>
        <v>97.2</v>
      </c>
      <c r="O142" s="186"/>
      <c r="P142" s="186"/>
      <c r="Q142" s="186"/>
      <c r="R142" s="20"/>
      <c r="T142" s="117"/>
      <c r="U142" s="26" t="s">
        <v>41</v>
      </c>
      <c r="V142" s="118">
        <v>0.362</v>
      </c>
      <c r="W142" s="118">
        <f>$V$142*$K$142</f>
        <v>0.362</v>
      </c>
      <c r="X142" s="118">
        <v>0</v>
      </c>
      <c r="Y142" s="118">
        <f>$X$142*$K$142</f>
        <v>0</v>
      </c>
      <c r="Z142" s="118">
        <v>0.01946</v>
      </c>
      <c r="AA142" s="119">
        <f>$Z$142*$K$142</f>
        <v>0.01946</v>
      </c>
      <c r="AR142" s="6" t="s">
        <v>206</v>
      </c>
      <c r="AT142" s="6" t="s">
        <v>148</v>
      </c>
      <c r="AU142" s="6" t="s">
        <v>109</v>
      </c>
      <c r="AY142" s="6" t="s">
        <v>146</v>
      </c>
      <c r="BE142" s="120">
        <f>IF($U$142="základní",$N$142,0)</f>
        <v>97.2</v>
      </c>
      <c r="BF142" s="120">
        <f>IF($U$142="snížená",$N$142,0)</f>
        <v>0</v>
      </c>
      <c r="BG142" s="120">
        <f>IF($U$142="zákl. přenesená",$N$142,0)</f>
        <v>0</v>
      </c>
      <c r="BH142" s="120">
        <f>IF($U$142="sníž. přenesená",$N$142,0)</f>
        <v>0</v>
      </c>
      <c r="BI142" s="120">
        <f>IF($U$142="nulová",$N$142,0)</f>
        <v>0</v>
      </c>
      <c r="BJ142" s="6" t="s">
        <v>19</v>
      </c>
      <c r="BK142" s="120">
        <f>ROUND($L$142*$K$142,2)</f>
        <v>97.2</v>
      </c>
      <c r="BL142" s="6" t="s">
        <v>206</v>
      </c>
      <c r="BM142" s="6" t="s">
        <v>492</v>
      </c>
    </row>
    <row r="143" spans="2:65" s="6" customFormat="1" ht="15.75" customHeight="1">
      <c r="B143" s="19"/>
      <c r="C143" s="113" t="s">
        <v>493</v>
      </c>
      <c r="D143" s="113" t="s">
        <v>148</v>
      </c>
      <c r="E143" s="114" t="s">
        <v>494</v>
      </c>
      <c r="F143" s="185" t="s">
        <v>495</v>
      </c>
      <c r="G143" s="186"/>
      <c r="H143" s="186"/>
      <c r="I143" s="186"/>
      <c r="J143" s="115" t="s">
        <v>151</v>
      </c>
      <c r="K143" s="116">
        <v>1</v>
      </c>
      <c r="L143" s="187">
        <v>110</v>
      </c>
      <c r="M143" s="186"/>
      <c r="N143" s="187">
        <f>ROUND($L$143*$K$143,2)</f>
        <v>110</v>
      </c>
      <c r="O143" s="186"/>
      <c r="P143" s="186"/>
      <c r="Q143" s="186"/>
      <c r="R143" s="20"/>
      <c r="T143" s="117"/>
      <c r="U143" s="26" t="s">
        <v>41</v>
      </c>
      <c r="V143" s="118">
        <v>0.021</v>
      </c>
      <c r="W143" s="118">
        <f>$V$143*$K$143</f>
        <v>0.021</v>
      </c>
      <c r="X143" s="118">
        <v>0.00031</v>
      </c>
      <c r="Y143" s="118">
        <f>$X$143*$K$143</f>
        <v>0.00031</v>
      </c>
      <c r="Z143" s="118">
        <v>0</v>
      </c>
      <c r="AA143" s="119">
        <f>$Z$143*$K$143</f>
        <v>0</v>
      </c>
      <c r="AR143" s="6" t="s">
        <v>206</v>
      </c>
      <c r="AT143" s="6" t="s">
        <v>148</v>
      </c>
      <c r="AU143" s="6" t="s">
        <v>109</v>
      </c>
      <c r="AY143" s="6" t="s">
        <v>146</v>
      </c>
      <c r="BE143" s="120">
        <f>IF($U$143="základní",$N$143,0)</f>
        <v>110</v>
      </c>
      <c r="BF143" s="120">
        <f>IF($U$143="snížená",$N$143,0)</f>
        <v>0</v>
      </c>
      <c r="BG143" s="120">
        <f>IF($U$143="zákl. přenesená",$N$143,0)</f>
        <v>0</v>
      </c>
      <c r="BH143" s="120">
        <f>IF($U$143="sníž. přenesená",$N$143,0)</f>
        <v>0</v>
      </c>
      <c r="BI143" s="120">
        <f>IF($U$143="nulová",$N$143,0)</f>
        <v>0</v>
      </c>
      <c r="BJ143" s="6" t="s">
        <v>19</v>
      </c>
      <c r="BK143" s="120">
        <f>ROUND($L$143*$K$143,2)</f>
        <v>110</v>
      </c>
      <c r="BL143" s="6" t="s">
        <v>206</v>
      </c>
      <c r="BM143" s="6" t="s">
        <v>496</v>
      </c>
    </row>
    <row r="144" spans="2:47" s="6" customFormat="1" ht="18.75" customHeight="1">
      <c r="B144" s="19"/>
      <c r="F144" s="188" t="s">
        <v>497</v>
      </c>
      <c r="G144" s="157"/>
      <c r="H144" s="157"/>
      <c r="I144" s="157"/>
      <c r="R144" s="20"/>
      <c r="T144" s="54"/>
      <c r="AA144" s="55"/>
      <c r="AT144" s="6" t="s">
        <v>155</v>
      </c>
      <c r="AU144" s="6" t="s">
        <v>109</v>
      </c>
    </row>
    <row r="145" spans="2:65" s="6" customFormat="1" ht="39" customHeight="1">
      <c r="B145" s="19"/>
      <c r="C145" s="113" t="s">
        <v>498</v>
      </c>
      <c r="D145" s="113" t="s">
        <v>148</v>
      </c>
      <c r="E145" s="114" t="s">
        <v>499</v>
      </c>
      <c r="F145" s="185" t="s">
        <v>500</v>
      </c>
      <c r="G145" s="186"/>
      <c r="H145" s="186"/>
      <c r="I145" s="186"/>
      <c r="J145" s="115" t="s">
        <v>151</v>
      </c>
      <c r="K145" s="116">
        <v>1</v>
      </c>
      <c r="L145" s="187">
        <v>0</v>
      </c>
      <c r="M145" s="186"/>
      <c r="N145" s="187">
        <f>ROUND($L$145*$K$145,2)</f>
        <v>0</v>
      </c>
      <c r="O145" s="186"/>
      <c r="P145" s="186"/>
      <c r="Q145" s="186"/>
      <c r="R145" s="20"/>
      <c r="T145" s="117"/>
      <c r="U145" s="26" t="s">
        <v>41</v>
      </c>
      <c r="V145" s="118">
        <v>0</v>
      </c>
      <c r="W145" s="118">
        <f>$V$145*$K$145</f>
        <v>0</v>
      </c>
      <c r="X145" s="118">
        <v>0</v>
      </c>
      <c r="Y145" s="118">
        <f>$X$145*$K$145</f>
        <v>0</v>
      </c>
      <c r="Z145" s="118">
        <v>0</v>
      </c>
      <c r="AA145" s="119">
        <f>$Z$145*$K$145</f>
        <v>0</v>
      </c>
      <c r="AR145" s="6" t="s">
        <v>206</v>
      </c>
      <c r="AT145" s="6" t="s">
        <v>148</v>
      </c>
      <c r="AU145" s="6" t="s">
        <v>109</v>
      </c>
      <c r="AY145" s="6" t="s">
        <v>146</v>
      </c>
      <c r="BE145" s="120">
        <f>IF($U$145="základní",$N$145,0)</f>
        <v>0</v>
      </c>
      <c r="BF145" s="120">
        <f>IF($U$145="snížená",$N$145,0)</f>
        <v>0</v>
      </c>
      <c r="BG145" s="120">
        <f>IF($U$145="zákl. přenesená",$N$145,0)</f>
        <v>0</v>
      </c>
      <c r="BH145" s="120">
        <f>IF($U$145="sníž. přenesená",$N$145,0)</f>
        <v>0</v>
      </c>
      <c r="BI145" s="120">
        <f>IF($U$145="nulová",$N$145,0)</f>
        <v>0</v>
      </c>
      <c r="BJ145" s="6" t="s">
        <v>19</v>
      </c>
      <c r="BK145" s="120">
        <f>ROUND($L$145*$K$145,2)</f>
        <v>0</v>
      </c>
      <c r="BL145" s="6" t="s">
        <v>206</v>
      </c>
      <c r="BM145" s="6" t="s">
        <v>501</v>
      </c>
    </row>
    <row r="146" spans="2:63" s="103" customFormat="1" ht="30.75" customHeight="1">
      <c r="B146" s="104"/>
      <c r="D146" s="112" t="s">
        <v>126</v>
      </c>
      <c r="E146" s="112"/>
      <c r="F146" s="112"/>
      <c r="G146" s="112"/>
      <c r="H146" s="112"/>
      <c r="I146" s="112"/>
      <c r="J146" s="112"/>
      <c r="K146" s="112"/>
      <c r="L146" s="112"/>
      <c r="M146" s="112"/>
      <c r="N146" s="194">
        <f>$BK$146</f>
        <v>849.2</v>
      </c>
      <c r="O146" s="193"/>
      <c r="P146" s="193"/>
      <c r="Q146" s="193"/>
      <c r="R146" s="107"/>
      <c r="T146" s="108"/>
      <c r="W146" s="109">
        <f>SUM($W$147:$W$148)</f>
        <v>1.5582</v>
      </c>
      <c r="Y146" s="109">
        <f>SUM($Y$147:$Y$148)</f>
        <v>0.021287999999999998</v>
      </c>
      <c r="AA146" s="110">
        <f>SUM($AA$147:$AA$148)</f>
        <v>0</v>
      </c>
      <c r="AR146" s="106" t="s">
        <v>109</v>
      </c>
      <c r="AT146" s="106" t="s">
        <v>75</v>
      </c>
      <c r="AU146" s="106" t="s">
        <v>19</v>
      </c>
      <c r="AY146" s="106" t="s">
        <v>146</v>
      </c>
      <c r="BK146" s="111">
        <f>SUM($BK$147:$BK$148)</f>
        <v>849.2</v>
      </c>
    </row>
    <row r="147" spans="2:65" s="6" customFormat="1" ht="39" customHeight="1">
      <c r="B147" s="19"/>
      <c r="C147" s="113" t="s">
        <v>502</v>
      </c>
      <c r="D147" s="113" t="s">
        <v>148</v>
      </c>
      <c r="E147" s="114" t="s">
        <v>503</v>
      </c>
      <c r="F147" s="185" t="s">
        <v>504</v>
      </c>
      <c r="G147" s="186"/>
      <c r="H147" s="186"/>
      <c r="I147" s="186"/>
      <c r="J147" s="115" t="s">
        <v>159</v>
      </c>
      <c r="K147" s="116">
        <v>1.8</v>
      </c>
      <c r="L147" s="187">
        <v>414</v>
      </c>
      <c r="M147" s="186"/>
      <c r="N147" s="187">
        <f>ROUND($L$147*$K$147,2)</f>
        <v>745.2</v>
      </c>
      <c r="O147" s="186"/>
      <c r="P147" s="186"/>
      <c r="Q147" s="186"/>
      <c r="R147" s="20"/>
      <c r="T147" s="117"/>
      <c r="U147" s="26" t="s">
        <v>41</v>
      </c>
      <c r="V147" s="118">
        <v>0.699</v>
      </c>
      <c r="W147" s="118">
        <f>$V$147*$K$147</f>
        <v>1.2582</v>
      </c>
      <c r="X147" s="118">
        <v>0.01181</v>
      </c>
      <c r="Y147" s="118">
        <f>$X$147*$K$147</f>
        <v>0.021258</v>
      </c>
      <c r="Z147" s="118">
        <v>0</v>
      </c>
      <c r="AA147" s="119">
        <f>$Z$147*$K$147</f>
        <v>0</v>
      </c>
      <c r="AR147" s="6" t="s">
        <v>206</v>
      </c>
      <c r="AT147" s="6" t="s">
        <v>148</v>
      </c>
      <c r="AU147" s="6" t="s">
        <v>109</v>
      </c>
      <c r="AY147" s="6" t="s">
        <v>146</v>
      </c>
      <c r="BE147" s="120">
        <f>IF($U$147="základní",$N$147,0)</f>
        <v>745.2</v>
      </c>
      <c r="BF147" s="120">
        <f>IF($U$147="snížená",$N$147,0)</f>
        <v>0</v>
      </c>
      <c r="BG147" s="120">
        <f>IF($U$147="zákl. přenesená",$N$147,0)</f>
        <v>0</v>
      </c>
      <c r="BH147" s="120">
        <f>IF($U$147="sníž. přenesená",$N$147,0)</f>
        <v>0</v>
      </c>
      <c r="BI147" s="120">
        <f>IF($U$147="nulová",$N$147,0)</f>
        <v>0</v>
      </c>
      <c r="BJ147" s="6" t="s">
        <v>19</v>
      </c>
      <c r="BK147" s="120">
        <f>ROUND($L$147*$K$147,2)</f>
        <v>745.2</v>
      </c>
      <c r="BL147" s="6" t="s">
        <v>206</v>
      </c>
      <c r="BM147" s="6" t="s">
        <v>505</v>
      </c>
    </row>
    <row r="148" spans="2:65" s="6" customFormat="1" ht="27" customHeight="1">
      <c r="B148" s="19"/>
      <c r="C148" s="113" t="s">
        <v>493</v>
      </c>
      <c r="D148" s="113" t="s">
        <v>148</v>
      </c>
      <c r="E148" s="114" t="s">
        <v>506</v>
      </c>
      <c r="F148" s="185" t="s">
        <v>507</v>
      </c>
      <c r="G148" s="186"/>
      <c r="H148" s="186"/>
      <c r="I148" s="186"/>
      <c r="J148" s="115" t="s">
        <v>151</v>
      </c>
      <c r="K148" s="116">
        <v>1</v>
      </c>
      <c r="L148" s="187">
        <v>104</v>
      </c>
      <c r="M148" s="186"/>
      <c r="N148" s="187">
        <f>ROUND($L$148*$K$148,2)</f>
        <v>104</v>
      </c>
      <c r="O148" s="186"/>
      <c r="P148" s="186"/>
      <c r="Q148" s="186"/>
      <c r="R148" s="20"/>
      <c r="T148" s="117"/>
      <c r="U148" s="126" t="s">
        <v>41</v>
      </c>
      <c r="V148" s="127">
        <v>0.3</v>
      </c>
      <c r="W148" s="127">
        <f>$V$148*$K$148</f>
        <v>0.3</v>
      </c>
      <c r="X148" s="127">
        <v>3E-05</v>
      </c>
      <c r="Y148" s="127">
        <f>$X$148*$K$148</f>
        <v>3E-05</v>
      </c>
      <c r="Z148" s="127">
        <v>0</v>
      </c>
      <c r="AA148" s="128">
        <f>$Z$148*$K$148</f>
        <v>0</v>
      </c>
      <c r="AR148" s="6" t="s">
        <v>206</v>
      </c>
      <c r="AT148" s="6" t="s">
        <v>148</v>
      </c>
      <c r="AU148" s="6" t="s">
        <v>109</v>
      </c>
      <c r="AY148" s="6" t="s">
        <v>146</v>
      </c>
      <c r="BE148" s="120">
        <f>IF($U$148="základní",$N$148,0)</f>
        <v>104</v>
      </c>
      <c r="BF148" s="120">
        <f>IF($U$148="snížená",$N$148,0)</f>
        <v>0</v>
      </c>
      <c r="BG148" s="120">
        <f>IF($U$148="zákl. přenesená",$N$148,0)</f>
        <v>0</v>
      </c>
      <c r="BH148" s="120">
        <f>IF($U$148="sníž. přenesená",$N$148,0)</f>
        <v>0</v>
      </c>
      <c r="BI148" s="120">
        <f>IF($U$148="nulová",$N$148,0)</f>
        <v>0</v>
      </c>
      <c r="BJ148" s="6" t="s">
        <v>19</v>
      </c>
      <c r="BK148" s="120">
        <f>ROUND($L$148*$K$148,2)</f>
        <v>104</v>
      </c>
      <c r="BL148" s="6" t="s">
        <v>206</v>
      </c>
      <c r="BM148" s="6" t="s">
        <v>508</v>
      </c>
    </row>
    <row r="149" spans="2:18" s="6" customFormat="1" ht="7.5" customHeight="1">
      <c r="B149" s="41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3"/>
    </row>
    <row r="169" s="2" customFormat="1" ht="14.25" customHeight="1"/>
  </sheetData>
  <sheetProtection/>
  <mergeCells count="124">
    <mergeCell ref="N141:Q141"/>
    <mergeCell ref="N146:Q146"/>
    <mergeCell ref="H1:K1"/>
    <mergeCell ref="S2:AC2"/>
    <mergeCell ref="F148:I148"/>
    <mergeCell ref="L148:M148"/>
    <mergeCell ref="N148:Q148"/>
    <mergeCell ref="N118:Q118"/>
    <mergeCell ref="N119:Q119"/>
    <mergeCell ref="N120:Q120"/>
    <mergeCell ref="N124:Q124"/>
    <mergeCell ref="N128:Q128"/>
    <mergeCell ref="N130:Q130"/>
    <mergeCell ref="N131:Q131"/>
    <mergeCell ref="F144:I144"/>
    <mergeCell ref="F145:I145"/>
    <mergeCell ref="L145:M145"/>
    <mergeCell ref="N145:Q145"/>
    <mergeCell ref="F139:I139"/>
    <mergeCell ref="L139:M139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F138:I138"/>
    <mergeCell ref="L138:M138"/>
    <mergeCell ref="N138:Q138"/>
    <mergeCell ref="N137:Q137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2:I132"/>
    <mergeCell ref="L132:M132"/>
    <mergeCell ref="N132:Q132"/>
    <mergeCell ref="F125:I125"/>
    <mergeCell ref="L125:M125"/>
    <mergeCell ref="N125:Q125"/>
    <mergeCell ref="F126:I126"/>
    <mergeCell ref="F127:I127"/>
    <mergeCell ref="L127:M127"/>
    <mergeCell ref="N127:Q127"/>
    <mergeCell ref="F121:I121"/>
    <mergeCell ref="L121:M121"/>
    <mergeCell ref="N121:Q121"/>
    <mergeCell ref="F122:I122"/>
    <mergeCell ref="F123:I123"/>
    <mergeCell ref="L123:M123"/>
    <mergeCell ref="N123:Q123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95:Q95"/>
    <mergeCell ref="N96:Q96"/>
    <mergeCell ref="N97:Q97"/>
    <mergeCell ref="N99:Q99"/>
    <mergeCell ref="L101:Q101"/>
    <mergeCell ref="C107:Q107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7"/>
  <sheetViews>
    <sheetView showGridLines="0" zoomScalePageLayoutView="0" workbookViewId="0" topLeftCell="A1">
      <pane ySplit="1" topLeftCell="A41" activePane="bottomLeft" state="frozen"/>
      <selection pane="topLeft" activeCell="A1" sqref="A1"/>
      <selection pane="bottomLeft" activeCell="A40" sqref="A40:IV7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0"/>
      <c r="B1" s="137"/>
      <c r="C1" s="137"/>
      <c r="D1" s="138" t="s">
        <v>1</v>
      </c>
      <c r="E1" s="137"/>
      <c r="F1" s="139" t="s">
        <v>538</v>
      </c>
      <c r="G1" s="139"/>
      <c r="H1" s="196" t="s">
        <v>539</v>
      </c>
      <c r="I1" s="196"/>
      <c r="J1" s="196"/>
      <c r="K1" s="196"/>
      <c r="L1" s="139" t="s">
        <v>540</v>
      </c>
      <c r="M1" s="137"/>
      <c r="N1" s="137"/>
      <c r="O1" s="138" t="s">
        <v>108</v>
      </c>
      <c r="P1" s="137"/>
      <c r="Q1" s="137"/>
      <c r="R1" s="137"/>
      <c r="S1" s="139" t="s">
        <v>541</v>
      </c>
      <c r="T1" s="139"/>
      <c r="U1" s="140"/>
      <c r="V1" s="1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68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101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109</v>
      </c>
    </row>
    <row r="4" spans="2:46" s="2" customFormat="1" ht="37.5" customHeight="1">
      <c r="B4" s="10"/>
      <c r="C4" s="143" t="s">
        <v>110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3" t="str">
        <f>'Rekapitulace stavby'!$K$6</f>
        <v>UK-stavební práce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111</v>
      </c>
      <c r="F7" s="145" t="s">
        <v>509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74" t="str">
        <f>'Rekapitulace stavby'!$AN$8</f>
        <v>23.10.2016</v>
      </c>
      <c r="P9" s="157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4" t="s">
        <v>28</v>
      </c>
      <c r="P11" s="157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144" t="s">
        <v>31</v>
      </c>
      <c r="P12" s="157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144">
        <f>IF('Rekapitulace stavby'!$AN$13="","",'Rekapitulace stavby'!$AN$13)</f>
      </c>
      <c r="P14" s="157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30</v>
      </c>
      <c r="O15" s="144">
        <f>IF('Rekapitulace stavby'!$AN$14="","",'Rekapitulace stavby'!$AN$14)</f>
      </c>
      <c r="P15" s="157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33</v>
      </c>
      <c r="M17" s="16" t="s">
        <v>27</v>
      </c>
      <c r="O17" s="144">
        <f>IF('Rekapitulace stavby'!$AN$16="","",'Rekapitulace stavby'!$AN$16)</f>
      </c>
      <c r="P17" s="157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30</v>
      </c>
      <c r="O18" s="144">
        <f>IF('Rekapitulace stavby'!$AN$17="","",'Rekapitulace stavby'!$AN$17)</f>
      </c>
      <c r="P18" s="157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35</v>
      </c>
      <c r="M20" s="16" t="s">
        <v>27</v>
      </c>
      <c r="O20" s="144">
        <f>IF('Rekapitulace stavby'!$AN$19="","",'Rekapitulace stavby'!$AN$19)</f>
      </c>
      <c r="P20" s="157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30</v>
      </c>
      <c r="O21" s="144">
        <f>IF('Rekapitulace stavby'!$AN$20="","",'Rekapitulace stavby'!$AN$20)</f>
      </c>
      <c r="P21" s="157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36</v>
      </c>
      <c r="R23" s="20"/>
    </row>
    <row r="24" spans="2:18" s="80" customFormat="1" ht="15.75" customHeight="1">
      <c r="B24" s="81"/>
      <c r="E24" s="146"/>
      <c r="F24" s="175"/>
      <c r="G24" s="175"/>
      <c r="H24" s="175"/>
      <c r="I24" s="175"/>
      <c r="J24" s="175"/>
      <c r="K24" s="175"/>
      <c r="L24" s="175"/>
      <c r="R24" s="82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3" t="s">
        <v>113</v>
      </c>
      <c r="M27" s="147">
        <f>$N$88</f>
        <v>412.5</v>
      </c>
      <c r="N27" s="157"/>
      <c r="O27" s="157"/>
      <c r="P27" s="157"/>
      <c r="R27" s="20"/>
    </row>
    <row r="28" spans="2:18" s="6" customFormat="1" ht="15" customHeight="1">
      <c r="B28" s="19"/>
      <c r="D28" s="18" t="s">
        <v>114</v>
      </c>
      <c r="M28" s="147">
        <f>$N$92</f>
        <v>0</v>
      </c>
      <c r="N28" s="157"/>
      <c r="O28" s="157"/>
      <c r="P28" s="157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4" t="s">
        <v>39</v>
      </c>
      <c r="M30" s="176">
        <f>ROUND($M$27+$M$28,2)</f>
        <v>412.5</v>
      </c>
      <c r="N30" s="157"/>
      <c r="O30" s="157"/>
      <c r="P30" s="157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40</v>
      </c>
      <c r="E32" s="24" t="s">
        <v>41</v>
      </c>
      <c r="F32" s="25">
        <v>0.21</v>
      </c>
      <c r="G32" s="85" t="s">
        <v>42</v>
      </c>
      <c r="H32" s="177">
        <f>ROUND((SUM($BE$92:$BE$93)+SUM($BE$111:$BE$116)),2)</f>
        <v>412.5</v>
      </c>
      <c r="I32" s="157"/>
      <c r="J32" s="157"/>
      <c r="M32" s="177">
        <f>ROUND(ROUND((SUM($BE$92:$BE$93)+SUM($BE$111:$BE$116)),2)*$F$32,2)</f>
        <v>86.63</v>
      </c>
      <c r="N32" s="157"/>
      <c r="O32" s="157"/>
      <c r="P32" s="157"/>
      <c r="R32" s="20"/>
    </row>
    <row r="33" spans="2:18" s="6" customFormat="1" ht="15" customHeight="1">
      <c r="B33" s="19"/>
      <c r="E33" s="24" t="s">
        <v>43</v>
      </c>
      <c r="F33" s="25">
        <v>0.15</v>
      </c>
      <c r="G33" s="85" t="s">
        <v>42</v>
      </c>
      <c r="H33" s="177">
        <f>ROUND((SUM($BF$92:$BF$93)+SUM($BF$111:$BF$116)),2)</f>
        <v>0</v>
      </c>
      <c r="I33" s="157"/>
      <c r="J33" s="157"/>
      <c r="M33" s="177">
        <f>ROUND(ROUND((SUM($BF$92:$BF$93)+SUM($BF$111:$BF$116)),2)*$F$33,2)</f>
        <v>0</v>
      </c>
      <c r="N33" s="157"/>
      <c r="O33" s="157"/>
      <c r="P33" s="157"/>
      <c r="R33" s="20"/>
    </row>
    <row r="34" spans="2:18" s="6" customFormat="1" ht="15" customHeight="1" hidden="1">
      <c r="B34" s="19"/>
      <c r="E34" s="24" t="s">
        <v>44</v>
      </c>
      <c r="F34" s="25">
        <v>0.21</v>
      </c>
      <c r="G34" s="85" t="s">
        <v>42</v>
      </c>
      <c r="H34" s="177">
        <f>ROUND((SUM($BG$92:$BG$93)+SUM($BG$111:$BG$116)),2)</f>
        <v>0</v>
      </c>
      <c r="I34" s="157"/>
      <c r="J34" s="157"/>
      <c r="M34" s="177">
        <v>0</v>
      </c>
      <c r="N34" s="157"/>
      <c r="O34" s="157"/>
      <c r="P34" s="157"/>
      <c r="R34" s="20"/>
    </row>
    <row r="35" spans="2:18" s="6" customFormat="1" ht="15" customHeight="1" hidden="1">
      <c r="B35" s="19"/>
      <c r="E35" s="24" t="s">
        <v>45</v>
      </c>
      <c r="F35" s="25">
        <v>0.15</v>
      </c>
      <c r="G35" s="85" t="s">
        <v>42</v>
      </c>
      <c r="H35" s="177">
        <f>ROUND((SUM($BH$92:$BH$93)+SUM($BH$111:$BH$116)),2)</f>
        <v>0</v>
      </c>
      <c r="I35" s="157"/>
      <c r="J35" s="157"/>
      <c r="M35" s="177">
        <v>0</v>
      </c>
      <c r="N35" s="157"/>
      <c r="O35" s="157"/>
      <c r="P35" s="157"/>
      <c r="R35" s="20"/>
    </row>
    <row r="36" spans="2:18" s="6" customFormat="1" ht="15" customHeight="1" hidden="1">
      <c r="B36" s="19"/>
      <c r="E36" s="24" t="s">
        <v>46</v>
      </c>
      <c r="F36" s="25">
        <v>0</v>
      </c>
      <c r="G36" s="85" t="s">
        <v>42</v>
      </c>
      <c r="H36" s="177">
        <f>ROUND((SUM($BI$92:$BI$93)+SUM($BI$111:$BI$116)),2)</f>
        <v>0</v>
      </c>
      <c r="I36" s="157"/>
      <c r="J36" s="157"/>
      <c r="M36" s="177">
        <v>0</v>
      </c>
      <c r="N36" s="157"/>
      <c r="O36" s="157"/>
      <c r="P36" s="157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47</v>
      </c>
      <c r="E38" s="30"/>
      <c r="F38" s="30"/>
      <c r="G38" s="86" t="s">
        <v>48</v>
      </c>
      <c r="H38" s="31" t="s">
        <v>49</v>
      </c>
      <c r="I38" s="30"/>
      <c r="J38" s="30"/>
      <c r="K38" s="30"/>
      <c r="L38" s="155">
        <f>SUM($M$30:$M$36)</f>
        <v>499.13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 hidden="1">
      <c r="B40" s="19"/>
      <c r="R40" s="20"/>
    </row>
    <row r="41" spans="2:18" s="2" customFormat="1" ht="14.25" customHeight="1" hidden="1">
      <c r="B41" s="10"/>
      <c r="R41" s="11"/>
    </row>
    <row r="42" spans="2:18" s="2" customFormat="1" ht="14.25" customHeight="1" hidden="1">
      <c r="B42" s="10"/>
      <c r="R42" s="11"/>
    </row>
    <row r="43" spans="2:18" s="2" customFormat="1" ht="14.25" customHeight="1" hidden="1">
      <c r="B43" s="10"/>
      <c r="R43" s="11"/>
    </row>
    <row r="44" spans="2:18" s="2" customFormat="1" ht="14.25" customHeight="1" hidden="1">
      <c r="B44" s="10"/>
      <c r="R44" s="11"/>
    </row>
    <row r="45" spans="2:18" s="2" customFormat="1" ht="14.25" customHeight="1" hidden="1">
      <c r="B45" s="10"/>
      <c r="R45" s="11"/>
    </row>
    <row r="46" spans="2:18" s="2" customFormat="1" ht="14.25" customHeight="1" hidden="1">
      <c r="B46" s="10"/>
      <c r="R46" s="11"/>
    </row>
    <row r="47" spans="2:18" s="2" customFormat="1" ht="14.25" customHeight="1" hidden="1">
      <c r="B47" s="10"/>
      <c r="R47" s="11"/>
    </row>
    <row r="48" spans="2:18" s="2" customFormat="1" ht="14.25" customHeight="1" hidden="1">
      <c r="B48" s="10"/>
      <c r="R48" s="11"/>
    </row>
    <row r="49" spans="2:18" s="2" customFormat="1" ht="14.25" customHeight="1" hidden="1">
      <c r="B49" s="10"/>
      <c r="R49" s="11"/>
    </row>
    <row r="50" spans="2:18" s="6" customFormat="1" ht="15.75" customHeight="1" hidden="1">
      <c r="B50" s="19"/>
      <c r="D50" s="32" t="s">
        <v>50</v>
      </c>
      <c r="E50" s="33"/>
      <c r="F50" s="33"/>
      <c r="G50" s="33"/>
      <c r="H50" s="34"/>
      <c r="J50" s="32" t="s">
        <v>51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 hidden="1">
      <c r="B51" s="10"/>
      <c r="D51" s="35"/>
      <c r="H51" s="36"/>
      <c r="J51" s="35"/>
      <c r="P51" s="36"/>
      <c r="R51" s="11"/>
    </row>
    <row r="52" spans="2:18" s="2" customFormat="1" ht="14.25" customHeight="1" hidden="1">
      <c r="B52" s="10"/>
      <c r="D52" s="35"/>
      <c r="H52" s="36"/>
      <c r="J52" s="35"/>
      <c r="P52" s="36"/>
      <c r="R52" s="11"/>
    </row>
    <row r="53" spans="2:18" s="2" customFormat="1" ht="14.25" customHeight="1" hidden="1">
      <c r="B53" s="10"/>
      <c r="D53" s="35"/>
      <c r="H53" s="36"/>
      <c r="J53" s="35"/>
      <c r="P53" s="36"/>
      <c r="R53" s="11"/>
    </row>
    <row r="54" spans="2:18" s="2" customFormat="1" ht="14.25" customHeight="1" hidden="1">
      <c r="B54" s="10"/>
      <c r="D54" s="35"/>
      <c r="H54" s="36"/>
      <c r="J54" s="35"/>
      <c r="P54" s="36"/>
      <c r="R54" s="11"/>
    </row>
    <row r="55" spans="2:18" s="2" customFormat="1" ht="14.25" customHeight="1" hidden="1">
      <c r="B55" s="10"/>
      <c r="D55" s="35"/>
      <c r="H55" s="36"/>
      <c r="J55" s="35"/>
      <c r="P55" s="36"/>
      <c r="R55" s="11"/>
    </row>
    <row r="56" spans="2:18" s="2" customFormat="1" ht="14.25" customHeight="1" hidden="1">
      <c r="B56" s="10"/>
      <c r="D56" s="35"/>
      <c r="H56" s="36"/>
      <c r="J56" s="35"/>
      <c r="P56" s="36"/>
      <c r="R56" s="11"/>
    </row>
    <row r="57" spans="2:18" s="2" customFormat="1" ht="14.25" customHeight="1" hidden="1">
      <c r="B57" s="10"/>
      <c r="D57" s="35"/>
      <c r="H57" s="36"/>
      <c r="J57" s="35"/>
      <c r="P57" s="36"/>
      <c r="R57" s="11"/>
    </row>
    <row r="58" spans="2:18" s="2" customFormat="1" ht="14.25" customHeight="1" hidden="1">
      <c r="B58" s="10"/>
      <c r="D58" s="35"/>
      <c r="H58" s="36"/>
      <c r="J58" s="35"/>
      <c r="P58" s="36"/>
      <c r="R58" s="11"/>
    </row>
    <row r="59" spans="2:18" s="6" customFormat="1" ht="15.75" customHeight="1" hidden="1">
      <c r="B59" s="19"/>
      <c r="D59" s="37" t="s">
        <v>52</v>
      </c>
      <c r="E59" s="38"/>
      <c r="F59" s="38"/>
      <c r="G59" s="39" t="s">
        <v>53</v>
      </c>
      <c r="H59" s="40"/>
      <c r="J59" s="37" t="s">
        <v>52</v>
      </c>
      <c r="K59" s="38"/>
      <c r="L59" s="38"/>
      <c r="M59" s="38"/>
      <c r="N59" s="39" t="s">
        <v>53</v>
      </c>
      <c r="O59" s="38"/>
      <c r="P59" s="40"/>
      <c r="R59" s="20"/>
    </row>
    <row r="60" spans="2:18" s="2" customFormat="1" ht="14.25" customHeight="1" hidden="1">
      <c r="B60" s="10"/>
      <c r="R60" s="11"/>
    </row>
    <row r="61" spans="2:18" s="6" customFormat="1" ht="15.75" customHeight="1" hidden="1">
      <c r="B61" s="19"/>
      <c r="D61" s="32" t="s">
        <v>54</v>
      </c>
      <c r="E61" s="33"/>
      <c r="F61" s="33"/>
      <c r="G61" s="33"/>
      <c r="H61" s="34"/>
      <c r="J61" s="32" t="s">
        <v>55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 hidden="1">
      <c r="B62" s="10"/>
      <c r="D62" s="35"/>
      <c r="H62" s="36"/>
      <c r="J62" s="35"/>
      <c r="P62" s="36"/>
      <c r="R62" s="11"/>
    </row>
    <row r="63" spans="2:18" s="2" customFormat="1" ht="14.25" customHeight="1" hidden="1">
      <c r="B63" s="10"/>
      <c r="D63" s="35"/>
      <c r="H63" s="36"/>
      <c r="J63" s="35"/>
      <c r="P63" s="36"/>
      <c r="R63" s="11"/>
    </row>
    <row r="64" spans="2:18" s="2" customFormat="1" ht="14.25" customHeight="1" hidden="1">
      <c r="B64" s="10"/>
      <c r="D64" s="35"/>
      <c r="H64" s="36"/>
      <c r="J64" s="35"/>
      <c r="P64" s="36"/>
      <c r="R64" s="11"/>
    </row>
    <row r="65" spans="2:18" s="2" customFormat="1" ht="14.25" customHeight="1" hidden="1">
      <c r="B65" s="10"/>
      <c r="D65" s="35"/>
      <c r="H65" s="36"/>
      <c r="J65" s="35"/>
      <c r="P65" s="36"/>
      <c r="R65" s="11"/>
    </row>
    <row r="66" spans="2:18" s="2" customFormat="1" ht="14.25" customHeight="1" hidden="1">
      <c r="B66" s="10"/>
      <c r="D66" s="35"/>
      <c r="H66" s="36"/>
      <c r="J66" s="35"/>
      <c r="P66" s="36"/>
      <c r="R66" s="11"/>
    </row>
    <row r="67" spans="2:18" s="2" customFormat="1" ht="14.25" customHeight="1" hidden="1">
      <c r="B67" s="10"/>
      <c r="D67" s="35"/>
      <c r="H67" s="36"/>
      <c r="J67" s="35"/>
      <c r="P67" s="36"/>
      <c r="R67" s="11"/>
    </row>
    <row r="68" spans="2:18" s="2" customFormat="1" ht="14.25" customHeight="1" hidden="1">
      <c r="B68" s="10"/>
      <c r="D68" s="35"/>
      <c r="H68" s="36"/>
      <c r="J68" s="35"/>
      <c r="P68" s="36"/>
      <c r="R68" s="11"/>
    </row>
    <row r="69" spans="2:18" s="2" customFormat="1" ht="14.25" customHeight="1" hidden="1">
      <c r="B69" s="10"/>
      <c r="D69" s="35"/>
      <c r="H69" s="36"/>
      <c r="J69" s="35"/>
      <c r="P69" s="36"/>
      <c r="R69" s="11"/>
    </row>
    <row r="70" spans="2:18" s="6" customFormat="1" ht="15.75" customHeight="1" hidden="1">
      <c r="B70" s="19"/>
      <c r="D70" s="37" t="s">
        <v>52</v>
      </c>
      <c r="E70" s="38"/>
      <c r="F70" s="38"/>
      <c r="G70" s="39" t="s">
        <v>53</v>
      </c>
      <c r="H70" s="40"/>
      <c r="J70" s="37" t="s">
        <v>52</v>
      </c>
      <c r="K70" s="38"/>
      <c r="L70" s="38"/>
      <c r="M70" s="38"/>
      <c r="N70" s="39" t="s">
        <v>53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3" t="s">
        <v>115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3" t="str">
        <f>$F$6</f>
        <v>UK-stavební práce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R78" s="20"/>
    </row>
    <row r="79" spans="2:18" s="6" customFormat="1" ht="37.5" customHeight="1">
      <c r="B79" s="19"/>
      <c r="C79" s="49" t="s">
        <v>111</v>
      </c>
      <c r="F79" s="158" t="str">
        <f>$F$7</f>
        <v>C - Elektroinstalace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74" t="str">
        <f>IF($O$9="","",$O$9)</f>
        <v>23.10.2016</v>
      </c>
      <c r="N81" s="157"/>
      <c r="O81" s="157"/>
      <c r="P81" s="157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Univerzita Karlova - Správa budov a zařízení</v>
      </c>
      <c r="K83" s="16" t="s">
        <v>33</v>
      </c>
      <c r="M83" s="144" t="str">
        <f>$E$18</f>
        <v> </v>
      </c>
      <c r="N83" s="157"/>
      <c r="O83" s="157"/>
      <c r="P83" s="157"/>
      <c r="Q83" s="157"/>
      <c r="R83" s="20"/>
    </row>
    <row r="84" spans="2:18" s="6" customFormat="1" ht="15" customHeight="1">
      <c r="B84" s="19"/>
      <c r="C84" s="16" t="s">
        <v>32</v>
      </c>
      <c r="F84" s="14" t="str">
        <f>IF($E$15="","",$E$15)</f>
        <v> </v>
      </c>
      <c r="K84" s="16" t="s">
        <v>35</v>
      </c>
      <c r="M84" s="144" t="str">
        <f>$E$21</f>
        <v> </v>
      </c>
      <c r="N84" s="157"/>
      <c r="O84" s="157"/>
      <c r="P84" s="157"/>
      <c r="Q84" s="157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78" t="s">
        <v>116</v>
      </c>
      <c r="D86" s="172"/>
      <c r="E86" s="172"/>
      <c r="F86" s="172"/>
      <c r="G86" s="172"/>
      <c r="H86" s="28"/>
      <c r="I86" s="28"/>
      <c r="J86" s="28"/>
      <c r="K86" s="28"/>
      <c r="L86" s="28"/>
      <c r="M86" s="28"/>
      <c r="N86" s="178" t="s">
        <v>117</v>
      </c>
      <c r="O86" s="157"/>
      <c r="P86" s="157"/>
      <c r="Q86" s="157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1" t="s">
        <v>118</v>
      </c>
      <c r="N88" s="169">
        <f>$N$111</f>
        <v>412.5</v>
      </c>
      <c r="O88" s="157"/>
      <c r="P88" s="157"/>
      <c r="Q88" s="157"/>
      <c r="R88" s="20"/>
      <c r="AU88" s="6" t="s">
        <v>119</v>
      </c>
    </row>
    <row r="89" spans="2:18" s="66" customFormat="1" ht="25.5" customHeight="1">
      <c r="B89" s="87"/>
      <c r="D89" s="88" t="s">
        <v>125</v>
      </c>
      <c r="N89" s="179">
        <f>$N$112</f>
        <v>412.5</v>
      </c>
      <c r="O89" s="180"/>
      <c r="P89" s="180"/>
      <c r="Q89" s="180"/>
      <c r="R89" s="89"/>
    </row>
    <row r="90" spans="2:18" s="83" customFormat="1" ht="21" customHeight="1">
      <c r="B90" s="90"/>
      <c r="D90" s="91" t="s">
        <v>510</v>
      </c>
      <c r="N90" s="181">
        <f>$N$115</f>
        <v>412.5</v>
      </c>
      <c r="O90" s="180"/>
      <c r="P90" s="180"/>
      <c r="Q90" s="180"/>
      <c r="R90" s="92"/>
    </row>
    <row r="91" spans="2:18" s="6" customFormat="1" ht="22.5" customHeight="1">
      <c r="B91" s="19"/>
      <c r="R91" s="20"/>
    </row>
    <row r="92" spans="2:21" s="6" customFormat="1" ht="30" customHeight="1">
      <c r="B92" s="19"/>
      <c r="C92" s="61" t="s">
        <v>130</v>
      </c>
      <c r="N92" s="169">
        <v>0</v>
      </c>
      <c r="O92" s="157"/>
      <c r="P92" s="157"/>
      <c r="Q92" s="157"/>
      <c r="R92" s="20"/>
      <c r="T92" s="93"/>
      <c r="U92" s="94" t="s">
        <v>40</v>
      </c>
    </row>
    <row r="93" spans="2:18" s="6" customFormat="1" ht="18.75" customHeight="1">
      <c r="B93" s="19"/>
      <c r="R93" s="20"/>
    </row>
    <row r="94" spans="2:18" s="6" customFormat="1" ht="30" customHeight="1">
      <c r="B94" s="19"/>
      <c r="C94" s="79" t="s">
        <v>107</v>
      </c>
      <c r="D94" s="28"/>
      <c r="E94" s="28"/>
      <c r="F94" s="28"/>
      <c r="G94" s="28"/>
      <c r="H94" s="28"/>
      <c r="I94" s="28"/>
      <c r="J94" s="28"/>
      <c r="K94" s="28"/>
      <c r="L94" s="171">
        <f>ROUND(SUM($N$88+$N$92),2)</f>
        <v>412.5</v>
      </c>
      <c r="M94" s="172"/>
      <c r="N94" s="172"/>
      <c r="O94" s="172"/>
      <c r="P94" s="172"/>
      <c r="Q94" s="172"/>
      <c r="R94" s="20"/>
    </row>
    <row r="95" spans="2:18" s="6" customFormat="1" ht="7.5" customHeight="1"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3"/>
    </row>
    <row r="99" spans="2:18" s="6" customFormat="1" ht="7.5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/>
    </row>
    <row r="100" spans="2:18" s="6" customFormat="1" ht="37.5" customHeight="1">
      <c r="B100" s="19"/>
      <c r="C100" s="143" t="s">
        <v>131</v>
      </c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20"/>
    </row>
    <row r="101" spans="2:18" s="6" customFormat="1" ht="7.5" customHeight="1">
      <c r="B101" s="19"/>
      <c r="R101" s="20"/>
    </row>
    <row r="102" spans="2:18" s="6" customFormat="1" ht="30.75" customHeight="1">
      <c r="B102" s="19"/>
      <c r="C102" s="16" t="s">
        <v>14</v>
      </c>
      <c r="F102" s="173" t="str">
        <f>$F$6</f>
        <v>UK-stavební práce</v>
      </c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R102" s="20"/>
    </row>
    <row r="103" spans="2:18" s="6" customFormat="1" ht="37.5" customHeight="1">
      <c r="B103" s="19"/>
      <c r="C103" s="49" t="s">
        <v>111</v>
      </c>
      <c r="F103" s="158" t="str">
        <f>$F$7</f>
        <v>C - Elektroinstalace</v>
      </c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R103" s="20"/>
    </row>
    <row r="104" spans="2:18" s="6" customFormat="1" ht="7.5" customHeight="1">
      <c r="B104" s="19"/>
      <c r="R104" s="20"/>
    </row>
    <row r="105" spans="2:18" s="6" customFormat="1" ht="18.75" customHeight="1">
      <c r="B105" s="19"/>
      <c r="C105" s="16" t="s">
        <v>20</v>
      </c>
      <c r="F105" s="14" t="str">
        <f>$F$9</f>
        <v> </v>
      </c>
      <c r="K105" s="16" t="s">
        <v>22</v>
      </c>
      <c r="M105" s="174" t="str">
        <f>IF($O$9="","",$O$9)</f>
        <v>23.10.2016</v>
      </c>
      <c r="N105" s="157"/>
      <c r="O105" s="157"/>
      <c r="P105" s="157"/>
      <c r="R105" s="20"/>
    </row>
    <row r="106" spans="2:18" s="6" customFormat="1" ht="7.5" customHeight="1">
      <c r="B106" s="19"/>
      <c r="R106" s="20"/>
    </row>
    <row r="107" spans="2:18" s="6" customFormat="1" ht="15.75" customHeight="1">
      <c r="B107" s="19"/>
      <c r="C107" s="16" t="s">
        <v>26</v>
      </c>
      <c r="F107" s="14" t="str">
        <f>$E$12</f>
        <v>Univerzita Karlova - Správa budov a zařízení</v>
      </c>
      <c r="K107" s="16" t="s">
        <v>33</v>
      </c>
      <c r="M107" s="144" t="str">
        <f>$E$18</f>
        <v> </v>
      </c>
      <c r="N107" s="157"/>
      <c r="O107" s="157"/>
      <c r="P107" s="157"/>
      <c r="Q107" s="157"/>
      <c r="R107" s="20"/>
    </row>
    <row r="108" spans="2:18" s="6" customFormat="1" ht="15" customHeight="1">
      <c r="B108" s="19"/>
      <c r="C108" s="16" t="s">
        <v>32</v>
      </c>
      <c r="F108" s="14" t="str">
        <f>IF($E$15="","",$E$15)</f>
        <v> </v>
      </c>
      <c r="K108" s="16" t="s">
        <v>35</v>
      </c>
      <c r="M108" s="144" t="str">
        <f>$E$21</f>
        <v> </v>
      </c>
      <c r="N108" s="157"/>
      <c r="O108" s="157"/>
      <c r="P108" s="157"/>
      <c r="Q108" s="157"/>
      <c r="R108" s="20"/>
    </row>
    <row r="109" spans="2:18" s="6" customFormat="1" ht="11.25" customHeight="1">
      <c r="B109" s="19"/>
      <c r="R109" s="20"/>
    </row>
    <row r="110" spans="2:27" s="95" customFormat="1" ht="30" customHeight="1">
      <c r="B110" s="96"/>
      <c r="C110" s="97" t="s">
        <v>132</v>
      </c>
      <c r="D110" s="98" t="s">
        <v>133</v>
      </c>
      <c r="E110" s="98" t="s">
        <v>58</v>
      </c>
      <c r="F110" s="182" t="s">
        <v>134</v>
      </c>
      <c r="G110" s="183"/>
      <c r="H110" s="183"/>
      <c r="I110" s="183"/>
      <c r="J110" s="98" t="s">
        <v>135</v>
      </c>
      <c r="K110" s="98" t="s">
        <v>136</v>
      </c>
      <c r="L110" s="182" t="s">
        <v>137</v>
      </c>
      <c r="M110" s="183"/>
      <c r="N110" s="182" t="s">
        <v>138</v>
      </c>
      <c r="O110" s="183"/>
      <c r="P110" s="183"/>
      <c r="Q110" s="184"/>
      <c r="R110" s="99"/>
      <c r="T110" s="56" t="s">
        <v>139</v>
      </c>
      <c r="U110" s="57" t="s">
        <v>40</v>
      </c>
      <c r="V110" s="57" t="s">
        <v>140</v>
      </c>
      <c r="W110" s="57" t="s">
        <v>141</v>
      </c>
      <c r="X110" s="57" t="s">
        <v>142</v>
      </c>
      <c r="Y110" s="57" t="s">
        <v>143</v>
      </c>
      <c r="Z110" s="57" t="s">
        <v>144</v>
      </c>
      <c r="AA110" s="58" t="s">
        <v>145</v>
      </c>
    </row>
    <row r="111" spans="2:63" s="6" customFormat="1" ht="30" customHeight="1">
      <c r="B111" s="19"/>
      <c r="C111" s="61" t="s">
        <v>113</v>
      </c>
      <c r="N111" s="195">
        <f>$BK$111</f>
        <v>412.5</v>
      </c>
      <c r="O111" s="157"/>
      <c r="P111" s="157"/>
      <c r="Q111" s="157"/>
      <c r="R111" s="20"/>
      <c r="T111" s="60"/>
      <c r="U111" s="33"/>
      <c r="V111" s="33"/>
      <c r="W111" s="100">
        <f>$W$112</f>
        <v>0.95</v>
      </c>
      <c r="X111" s="33"/>
      <c r="Y111" s="100">
        <f>$Y$112</f>
        <v>0</v>
      </c>
      <c r="Z111" s="33"/>
      <c r="AA111" s="101">
        <f>$AA$112</f>
        <v>0</v>
      </c>
      <c r="AT111" s="6" t="s">
        <v>75</v>
      </c>
      <c r="AU111" s="6" t="s">
        <v>119</v>
      </c>
      <c r="BK111" s="102">
        <f>$BK$112</f>
        <v>412.5</v>
      </c>
    </row>
    <row r="112" spans="2:63" s="103" customFormat="1" ht="37.5" customHeight="1">
      <c r="B112" s="104"/>
      <c r="D112" s="105" t="s">
        <v>125</v>
      </c>
      <c r="E112" s="105"/>
      <c r="F112" s="105"/>
      <c r="G112" s="105"/>
      <c r="H112" s="105"/>
      <c r="I112" s="105"/>
      <c r="J112" s="105"/>
      <c r="K112" s="105"/>
      <c r="L112" s="105"/>
      <c r="M112" s="105"/>
      <c r="N112" s="192">
        <f>$BK$112</f>
        <v>412.5</v>
      </c>
      <c r="O112" s="193"/>
      <c r="P112" s="193"/>
      <c r="Q112" s="193"/>
      <c r="R112" s="107"/>
      <c r="T112" s="108"/>
      <c r="W112" s="109">
        <f>$W$113+$W$114+$W$115</f>
        <v>0.95</v>
      </c>
      <c r="Y112" s="109">
        <f>$Y$113+$Y$114+$Y$115</f>
        <v>0</v>
      </c>
      <c r="AA112" s="110">
        <f>$AA$113+$AA$114+$AA$115</f>
        <v>0</v>
      </c>
      <c r="AR112" s="106" t="s">
        <v>109</v>
      </c>
      <c r="AT112" s="106" t="s">
        <v>75</v>
      </c>
      <c r="AU112" s="106" t="s">
        <v>76</v>
      </c>
      <c r="AY112" s="106" t="s">
        <v>146</v>
      </c>
      <c r="BK112" s="111">
        <f>$BK$113+$BK$114+$BK$115</f>
        <v>412.5</v>
      </c>
    </row>
    <row r="113" spans="2:65" s="6" customFormat="1" ht="39" customHeight="1">
      <c r="B113" s="19"/>
      <c r="C113" s="113" t="s">
        <v>511</v>
      </c>
      <c r="D113" s="113" t="s">
        <v>148</v>
      </c>
      <c r="E113" s="114" t="s">
        <v>512</v>
      </c>
      <c r="F113" s="185" t="s">
        <v>513</v>
      </c>
      <c r="G113" s="186"/>
      <c r="H113" s="186"/>
      <c r="I113" s="186"/>
      <c r="J113" s="115" t="s">
        <v>259</v>
      </c>
      <c r="K113" s="116">
        <v>5.4</v>
      </c>
      <c r="L113" s="187">
        <v>0</v>
      </c>
      <c r="M113" s="186"/>
      <c r="N113" s="187">
        <f>ROUND($L$113*$K$113,2)</f>
        <v>0</v>
      </c>
      <c r="O113" s="186"/>
      <c r="P113" s="186"/>
      <c r="Q113" s="186"/>
      <c r="R113" s="20"/>
      <c r="T113" s="117"/>
      <c r="U113" s="26" t="s">
        <v>41</v>
      </c>
      <c r="V113" s="118">
        <v>0</v>
      </c>
      <c r="W113" s="118">
        <f>$V$113*$K$113</f>
        <v>0</v>
      </c>
      <c r="X113" s="118">
        <v>0</v>
      </c>
      <c r="Y113" s="118">
        <f>$X$113*$K$113</f>
        <v>0</v>
      </c>
      <c r="Z113" s="118">
        <v>0</v>
      </c>
      <c r="AA113" s="119">
        <f>$Z$113*$K$113</f>
        <v>0</v>
      </c>
      <c r="AR113" s="6" t="s">
        <v>206</v>
      </c>
      <c r="AT113" s="6" t="s">
        <v>148</v>
      </c>
      <c r="AU113" s="6" t="s">
        <v>19</v>
      </c>
      <c r="AY113" s="6" t="s">
        <v>146</v>
      </c>
      <c r="BE113" s="120">
        <f>IF($U$113="základní",$N$113,0)</f>
        <v>0</v>
      </c>
      <c r="BF113" s="120">
        <f>IF($U$113="snížená",$N$113,0)</f>
        <v>0</v>
      </c>
      <c r="BG113" s="120">
        <f>IF($U$113="zákl. přenesená",$N$113,0)</f>
        <v>0</v>
      </c>
      <c r="BH113" s="120">
        <f>IF($U$113="sníž. přenesená",$N$113,0)</f>
        <v>0</v>
      </c>
      <c r="BI113" s="120">
        <f>IF($U$113="nulová",$N$113,0)</f>
        <v>0</v>
      </c>
      <c r="BJ113" s="6" t="s">
        <v>19</v>
      </c>
      <c r="BK113" s="120">
        <f>ROUND($L$113*$K$113,2)</f>
        <v>0</v>
      </c>
      <c r="BL113" s="6" t="s">
        <v>206</v>
      </c>
      <c r="BM113" s="6" t="s">
        <v>514</v>
      </c>
    </row>
    <row r="114" spans="2:65" s="6" customFormat="1" ht="39" customHeight="1">
      <c r="B114" s="19"/>
      <c r="C114" s="113" t="s">
        <v>515</v>
      </c>
      <c r="D114" s="113" t="s">
        <v>148</v>
      </c>
      <c r="E114" s="114" t="s">
        <v>516</v>
      </c>
      <c r="F114" s="185" t="s">
        <v>517</v>
      </c>
      <c r="G114" s="186"/>
      <c r="H114" s="186"/>
      <c r="I114" s="186"/>
      <c r="J114" s="115" t="s">
        <v>259</v>
      </c>
      <c r="K114" s="116">
        <v>2.3</v>
      </c>
      <c r="L114" s="187">
        <v>0</v>
      </c>
      <c r="M114" s="186"/>
      <c r="N114" s="187">
        <f>ROUND($L$114*$K$114,2)</f>
        <v>0</v>
      </c>
      <c r="O114" s="186"/>
      <c r="P114" s="186"/>
      <c r="Q114" s="186"/>
      <c r="R114" s="20"/>
      <c r="T114" s="117"/>
      <c r="U114" s="26" t="s">
        <v>41</v>
      </c>
      <c r="V114" s="118">
        <v>0</v>
      </c>
      <c r="W114" s="118">
        <f>$V$114*$K$114</f>
        <v>0</v>
      </c>
      <c r="X114" s="118">
        <v>0</v>
      </c>
      <c r="Y114" s="118">
        <f>$X$114*$K$114</f>
        <v>0</v>
      </c>
      <c r="Z114" s="118">
        <v>0</v>
      </c>
      <c r="AA114" s="119">
        <f>$Z$114*$K$114</f>
        <v>0</v>
      </c>
      <c r="AR114" s="6" t="s">
        <v>206</v>
      </c>
      <c r="AT114" s="6" t="s">
        <v>148</v>
      </c>
      <c r="AU114" s="6" t="s">
        <v>19</v>
      </c>
      <c r="AY114" s="6" t="s">
        <v>146</v>
      </c>
      <c r="BE114" s="120">
        <f>IF($U$114="základní",$N$114,0)</f>
        <v>0</v>
      </c>
      <c r="BF114" s="120">
        <f>IF($U$114="snížená",$N$114,0)</f>
        <v>0</v>
      </c>
      <c r="BG114" s="120">
        <f>IF($U$114="zákl. přenesená",$N$114,0)</f>
        <v>0</v>
      </c>
      <c r="BH114" s="120">
        <f>IF($U$114="sníž. přenesená",$N$114,0)</f>
        <v>0</v>
      </c>
      <c r="BI114" s="120">
        <f>IF($U$114="nulová",$N$114,0)</f>
        <v>0</v>
      </c>
      <c r="BJ114" s="6" t="s">
        <v>19</v>
      </c>
      <c r="BK114" s="120">
        <f>ROUND($L$114*$K$114,2)</f>
        <v>0</v>
      </c>
      <c r="BL114" s="6" t="s">
        <v>206</v>
      </c>
      <c r="BM114" s="6" t="s">
        <v>518</v>
      </c>
    </row>
    <row r="115" spans="2:63" s="103" customFormat="1" ht="30.75" customHeight="1">
      <c r="B115" s="104"/>
      <c r="D115" s="112" t="s">
        <v>510</v>
      </c>
      <c r="E115" s="112"/>
      <c r="F115" s="112"/>
      <c r="G115" s="112"/>
      <c r="H115" s="112"/>
      <c r="I115" s="112"/>
      <c r="J115" s="112"/>
      <c r="K115" s="112"/>
      <c r="L115" s="112"/>
      <c r="M115" s="112"/>
      <c r="N115" s="194">
        <f>$BK$115</f>
        <v>412.5</v>
      </c>
      <c r="O115" s="193"/>
      <c r="P115" s="193"/>
      <c r="Q115" s="193"/>
      <c r="R115" s="107"/>
      <c r="T115" s="108"/>
      <c r="W115" s="109">
        <f>$W$116</f>
        <v>0.95</v>
      </c>
      <c r="Y115" s="109">
        <f>$Y$116</f>
        <v>0</v>
      </c>
      <c r="AA115" s="110">
        <f>$AA$116</f>
        <v>0</v>
      </c>
      <c r="AR115" s="106" t="s">
        <v>109</v>
      </c>
      <c r="AT115" s="106" t="s">
        <v>75</v>
      </c>
      <c r="AU115" s="106" t="s">
        <v>19</v>
      </c>
      <c r="AY115" s="106" t="s">
        <v>146</v>
      </c>
      <c r="BK115" s="111">
        <f>$BK$116</f>
        <v>412.5</v>
      </c>
    </row>
    <row r="116" spans="2:65" s="6" customFormat="1" ht="15.75" customHeight="1">
      <c r="B116" s="19"/>
      <c r="C116" s="113" t="s">
        <v>519</v>
      </c>
      <c r="D116" s="113" t="s">
        <v>148</v>
      </c>
      <c r="E116" s="114" t="s">
        <v>520</v>
      </c>
      <c r="F116" s="185" t="s">
        <v>521</v>
      </c>
      <c r="G116" s="186"/>
      <c r="H116" s="186"/>
      <c r="I116" s="186"/>
      <c r="J116" s="115" t="s">
        <v>151</v>
      </c>
      <c r="K116" s="116">
        <v>5</v>
      </c>
      <c r="L116" s="187">
        <v>82.5</v>
      </c>
      <c r="M116" s="186"/>
      <c r="N116" s="187">
        <f>ROUND($L$116*$K$116,2)</f>
        <v>412.5</v>
      </c>
      <c r="O116" s="186"/>
      <c r="P116" s="186"/>
      <c r="Q116" s="186"/>
      <c r="R116" s="20"/>
      <c r="T116" s="117"/>
      <c r="U116" s="126" t="s">
        <v>41</v>
      </c>
      <c r="V116" s="127">
        <v>0.19</v>
      </c>
      <c r="W116" s="127">
        <f>$V$116*$K$116</f>
        <v>0.95</v>
      </c>
      <c r="X116" s="127">
        <v>0</v>
      </c>
      <c r="Y116" s="127">
        <f>$X$116*$K$116</f>
        <v>0</v>
      </c>
      <c r="Z116" s="127">
        <v>0</v>
      </c>
      <c r="AA116" s="128">
        <f>$Z$116*$K$116</f>
        <v>0</v>
      </c>
      <c r="AR116" s="6" t="s">
        <v>206</v>
      </c>
      <c r="AT116" s="6" t="s">
        <v>148</v>
      </c>
      <c r="AU116" s="6" t="s">
        <v>109</v>
      </c>
      <c r="AY116" s="6" t="s">
        <v>146</v>
      </c>
      <c r="BE116" s="120">
        <f>IF($U$116="základní",$N$116,0)</f>
        <v>412.5</v>
      </c>
      <c r="BF116" s="120">
        <f>IF($U$116="snížená",$N$116,0)</f>
        <v>0</v>
      </c>
      <c r="BG116" s="120">
        <f>IF($U$116="zákl. přenesená",$N$116,0)</f>
        <v>0</v>
      </c>
      <c r="BH116" s="120">
        <f>IF($U$116="sníž. přenesená",$N$116,0)</f>
        <v>0</v>
      </c>
      <c r="BI116" s="120">
        <f>IF($U$116="nulová",$N$116,0)</f>
        <v>0</v>
      </c>
      <c r="BJ116" s="6" t="s">
        <v>19</v>
      </c>
      <c r="BK116" s="120">
        <f>ROUND($L$116*$K$116,2)</f>
        <v>412.5</v>
      </c>
      <c r="BL116" s="6" t="s">
        <v>206</v>
      </c>
      <c r="BM116" s="6" t="s">
        <v>522</v>
      </c>
    </row>
    <row r="117" spans="2:18" s="6" customFormat="1" ht="7.5" customHeight="1"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3"/>
    </row>
    <row r="169" s="2" customFormat="1" ht="14.25" customHeight="1"/>
  </sheetData>
  <sheetProtection/>
  <mergeCells count="64">
    <mergeCell ref="H1:K1"/>
    <mergeCell ref="S2:AC2"/>
    <mergeCell ref="F116:I116"/>
    <mergeCell ref="L116:M116"/>
    <mergeCell ref="N116:Q116"/>
    <mergeCell ref="N111:Q111"/>
    <mergeCell ref="N112:Q112"/>
    <mergeCell ref="N115:Q115"/>
    <mergeCell ref="F113:I113"/>
    <mergeCell ref="L113:M113"/>
    <mergeCell ref="N113:Q113"/>
    <mergeCell ref="F114:I114"/>
    <mergeCell ref="L114:M114"/>
    <mergeCell ref="N114:Q114"/>
    <mergeCell ref="F103:P103"/>
    <mergeCell ref="M105:P105"/>
    <mergeCell ref="M107:Q107"/>
    <mergeCell ref="M108:Q108"/>
    <mergeCell ref="F110:I110"/>
    <mergeCell ref="L110:M110"/>
    <mergeCell ref="N110:Q110"/>
    <mergeCell ref="N89:Q89"/>
    <mergeCell ref="N90:Q90"/>
    <mergeCell ref="N92:Q92"/>
    <mergeCell ref="L94:Q94"/>
    <mergeCell ref="C100:Q100"/>
    <mergeCell ref="F102:P102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0"/>
  <sheetViews>
    <sheetView showGridLines="0" zoomScalePageLayoutView="0" workbookViewId="0" topLeftCell="A1">
      <pane ySplit="1" topLeftCell="A72" activePane="bottomLeft" state="frozen"/>
      <selection pane="topLeft" activeCell="A1" sqref="A1"/>
      <selection pane="bottomLeft" activeCell="AC88" sqref="AC8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0"/>
      <c r="B1" s="137"/>
      <c r="C1" s="137"/>
      <c r="D1" s="138" t="s">
        <v>1</v>
      </c>
      <c r="E1" s="137"/>
      <c r="F1" s="139" t="s">
        <v>538</v>
      </c>
      <c r="G1" s="139"/>
      <c r="H1" s="196" t="s">
        <v>539</v>
      </c>
      <c r="I1" s="196"/>
      <c r="J1" s="196"/>
      <c r="K1" s="196"/>
      <c r="L1" s="139" t="s">
        <v>540</v>
      </c>
      <c r="M1" s="137"/>
      <c r="N1" s="137"/>
      <c r="O1" s="138" t="s">
        <v>108</v>
      </c>
      <c r="P1" s="137"/>
      <c r="Q1" s="137"/>
      <c r="R1" s="137"/>
      <c r="S1" s="139" t="s">
        <v>541</v>
      </c>
      <c r="T1" s="139"/>
      <c r="U1" s="140"/>
      <c r="V1" s="14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1" t="s">
        <v>4</v>
      </c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S2" s="168" t="s">
        <v>5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T2" s="2" t="s">
        <v>103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109</v>
      </c>
    </row>
    <row r="4" spans="2:46" s="2" customFormat="1" ht="37.5" customHeight="1">
      <c r="B4" s="10"/>
      <c r="C4" s="143" t="s">
        <v>110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173" t="str">
        <f>'Rekapitulace stavby'!$K$6</f>
        <v>UK-stavební práce</v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R6" s="11"/>
    </row>
    <row r="7" spans="2:18" s="6" customFormat="1" ht="33.75" customHeight="1">
      <c r="B7" s="19"/>
      <c r="D7" s="15" t="s">
        <v>111</v>
      </c>
      <c r="F7" s="145" t="s">
        <v>523</v>
      </c>
      <c r="G7" s="157"/>
      <c r="H7" s="157"/>
      <c r="I7" s="157"/>
      <c r="J7" s="157"/>
      <c r="K7" s="157"/>
      <c r="L7" s="157"/>
      <c r="M7" s="157"/>
      <c r="N7" s="157"/>
      <c r="O7" s="157"/>
      <c r="P7" s="157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74" t="str">
        <f>'Rekapitulace stavby'!$AN$8</f>
        <v>23.10.2016</v>
      </c>
      <c r="P9" s="157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44" t="s">
        <v>28</v>
      </c>
      <c r="P11" s="157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144" t="s">
        <v>31</v>
      </c>
      <c r="P12" s="157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32</v>
      </c>
      <c r="M14" s="16" t="s">
        <v>27</v>
      </c>
      <c r="O14" s="144">
        <f>IF('Rekapitulace stavby'!$AN$13="","",'Rekapitulace stavby'!$AN$13)</f>
      </c>
      <c r="P14" s="157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30</v>
      </c>
      <c r="O15" s="144">
        <f>IF('Rekapitulace stavby'!$AN$14="","",'Rekapitulace stavby'!$AN$14)</f>
      </c>
      <c r="P15" s="157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33</v>
      </c>
      <c r="M17" s="16" t="s">
        <v>27</v>
      </c>
      <c r="O17" s="144">
        <f>IF('Rekapitulace stavby'!$AN$16="","",'Rekapitulace stavby'!$AN$16)</f>
      </c>
      <c r="P17" s="157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30</v>
      </c>
      <c r="O18" s="144">
        <f>IF('Rekapitulace stavby'!$AN$17="","",'Rekapitulace stavby'!$AN$17)</f>
      </c>
      <c r="P18" s="157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35</v>
      </c>
      <c r="M20" s="16" t="s">
        <v>27</v>
      </c>
      <c r="O20" s="144">
        <f>IF('Rekapitulace stavby'!$AN$19="","",'Rekapitulace stavby'!$AN$19)</f>
      </c>
      <c r="P20" s="157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30</v>
      </c>
      <c r="O21" s="144">
        <f>IF('Rekapitulace stavby'!$AN$20="","",'Rekapitulace stavby'!$AN$20)</f>
      </c>
      <c r="P21" s="157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36</v>
      </c>
      <c r="R23" s="20"/>
    </row>
    <row r="24" spans="2:18" s="80" customFormat="1" ht="15.75" customHeight="1">
      <c r="B24" s="81"/>
      <c r="E24" s="146"/>
      <c r="F24" s="175"/>
      <c r="G24" s="175"/>
      <c r="H24" s="175"/>
      <c r="I24" s="175"/>
      <c r="J24" s="175"/>
      <c r="K24" s="175"/>
      <c r="L24" s="175"/>
      <c r="R24" s="82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3" t="s">
        <v>113</v>
      </c>
      <c r="M27" s="147">
        <f>$N$88</f>
        <v>0</v>
      </c>
      <c r="N27" s="157"/>
      <c r="O27" s="157"/>
      <c r="P27" s="157"/>
      <c r="R27" s="20"/>
    </row>
    <row r="28" spans="2:18" s="6" customFormat="1" ht="15" customHeight="1">
      <c r="B28" s="19"/>
      <c r="D28" s="18" t="s">
        <v>114</v>
      </c>
      <c r="M28" s="147">
        <f>$N$94</f>
        <v>0</v>
      </c>
      <c r="N28" s="157"/>
      <c r="O28" s="157"/>
      <c r="P28" s="157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4" t="s">
        <v>39</v>
      </c>
      <c r="M30" s="176">
        <f>ROUND($M$27+$M$28,2)</f>
        <v>0</v>
      </c>
      <c r="N30" s="157"/>
      <c r="O30" s="157"/>
      <c r="P30" s="157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40</v>
      </c>
      <c r="E32" s="24" t="s">
        <v>41</v>
      </c>
      <c r="F32" s="25">
        <v>0.21</v>
      </c>
      <c r="G32" s="85" t="s">
        <v>42</v>
      </c>
      <c r="H32" s="177">
        <f>ROUND((SUM($BE$94:$BE$95)+SUM($BE$113:$BE$119)),2)</f>
        <v>0</v>
      </c>
      <c r="I32" s="157"/>
      <c r="J32" s="157"/>
      <c r="M32" s="177">
        <f>ROUND(ROUND((SUM($BE$94:$BE$95)+SUM($BE$113:$BE$119)),2)*$F$32,2)</f>
        <v>0</v>
      </c>
      <c r="N32" s="157"/>
      <c r="O32" s="157"/>
      <c r="P32" s="157"/>
      <c r="R32" s="20"/>
    </row>
    <row r="33" spans="2:18" s="6" customFormat="1" ht="15" customHeight="1">
      <c r="B33" s="19"/>
      <c r="E33" s="24" t="s">
        <v>43</v>
      </c>
      <c r="F33" s="25">
        <v>0.15</v>
      </c>
      <c r="G33" s="85" t="s">
        <v>42</v>
      </c>
      <c r="H33" s="177">
        <f>ROUND((SUM($BF$94:$BF$95)+SUM($BF$113:$BF$119)),2)</f>
        <v>0</v>
      </c>
      <c r="I33" s="157"/>
      <c r="J33" s="157"/>
      <c r="M33" s="177">
        <f>ROUND(ROUND((SUM($BF$94:$BF$95)+SUM($BF$113:$BF$119)),2)*$F$33,2)</f>
        <v>0</v>
      </c>
      <c r="N33" s="157"/>
      <c r="O33" s="157"/>
      <c r="P33" s="157"/>
      <c r="R33" s="20"/>
    </row>
    <row r="34" spans="2:18" s="6" customFormat="1" ht="15" customHeight="1" hidden="1">
      <c r="B34" s="19"/>
      <c r="E34" s="24" t="s">
        <v>44</v>
      </c>
      <c r="F34" s="25">
        <v>0.21</v>
      </c>
      <c r="G34" s="85" t="s">
        <v>42</v>
      </c>
      <c r="H34" s="177">
        <f>ROUND((SUM($BG$94:$BG$95)+SUM($BG$113:$BG$119)),2)</f>
        <v>0</v>
      </c>
      <c r="I34" s="157"/>
      <c r="J34" s="157"/>
      <c r="M34" s="177">
        <v>0</v>
      </c>
      <c r="N34" s="157"/>
      <c r="O34" s="157"/>
      <c r="P34" s="157"/>
      <c r="R34" s="20"/>
    </row>
    <row r="35" spans="2:18" s="6" customFormat="1" ht="15" customHeight="1" hidden="1">
      <c r="B35" s="19"/>
      <c r="E35" s="24" t="s">
        <v>45</v>
      </c>
      <c r="F35" s="25">
        <v>0.15</v>
      </c>
      <c r="G35" s="85" t="s">
        <v>42</v>
      </c>
      <c r="H35" s="177">
        <f>ROUND((SUM($BH$94:$BH$95)+SUM($BH$113:$BH$119)),2)</f>
        <v>0</v>
      </c>
      <c r="I35" s="157"/>
      <c r="J35" s="157"/>
      <c r="M35" s="177">
        <v>0</v>
      </c>
      <c r="N35" s="157"/>
      <c r="O35" s="157"/>
      <c r="P35" s="157"/>
      <c r="R35" s="20"/>
    </row>
    <row r="36" spans="2:18" s="6" customFormat="1" ht="15" customHeight="1" hidden="1">
      <c r="B36" s="19"/>
      <c r="E36" s="24" t="s">
        <v>46</v>
      </c>
      <c r="F36" s="25">
        <v>0</v>
      </c>
      <c r="G36" s="85" t="s">
        <v>42</v>
      </c>
      <c r="H36" s="177">
        <f>ROUND((SUM($BI$94:$BI$95)+SUM($BI$113:$BI$119)),2)</f>
        <v>0</v>
      </c>
      <c r="I36" s="157"/>
      <c r="J36" s="157"/>
      <c r="M36" s="177">
        <v>0</v>
      </c>
      <c r="N36" s="157"/>
      <c r="O36" s="157"/>
      <c r="P36" s="157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47</v>
      </c>
      <c r="E38" s="30"/>
      <c r="F38" s="30"/>
      <c r="G38" s="86" t="s">
        <v>48</v>
      </c>
      <c r="H38" s="31" t="s">
        <v>49</v>
      </c>
      <c r="I38" s="30"/>
      <c r="J38" s="30"/>
      <c r="K38" s="30"/>
      <c r="L38" s="155">
        <f>SUM($M$30:$M$36)</f>
        <v>0</v>
      </c>
      <c r="M38" s="154"/>
      <c r="N38" s="154"/>
      <c r="O38" s="154"/>
      <c r="P38" s="15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 hidden="1">
      <c r="B40" s="19"/>
      <c r="R40" s="20"/>
    </row>
    <row r="41" spans="2:18" s="2" customFormat="1" ht="14.25" customHeight="1" hidden="1">
      <c r="B41" s="10"/>
      <c r="R41" s="11"/>
    </row>
    <row r="42" spans="2:18" s="2" customFormat="1" ht="14.25" customHeight="1" hidden="1">
      <c r="B42" s="10"/>
      <c r="R42" s="11"/>
    </row>
    <row r="43" spans="2:18" s="2" customFormat="1" ht="14.25" customHeight="1" hidden="1">
      <c r="B43" s="10"/>
      <c r="R43" s="11"/>
    </row>
    <row r="44" spans="2:18" s="2" customFormat="1" ht="14.25" customHeight="1" hidden="1">
      <c r="B44" s="10"/>
      <c r="R44" s="11"/>
    </row>
    <row r="45" spans="2:18" s="2" customFormat="1" ht="14.25" customHeight="1" hidden="1">
      <c r="B45" s="10"/>
      <c r="R45" s="11"/>
    </row>
    <row r="46" spans="2:18" s="2" customFormat="1" ht="14.25" customHeight="1" hidden="1">
      <c r="B46" s="10"/>
      <c r="R46" s="11"/>
    </row>
    <row r="47" spans="2:18" s="2" customFormat="1" ht="14.25" customHeight="1" hidden="1">
      <c r="B47" s="10"/>
      <c r="R47" s="11"/>
    </row>
    <row r="48" spans="2:18" s="2" customFormat="1" ht="14.25" customHeight="1" hidden="1">
      <c r="B48" s="10"/>
      <c r="R48" s="11"/>
    </row>
    <row r="49" spans="2:18" s="2" customFormat="1" ht="14.25" customHeight="1" hidden="1">
      <c r="B49" s="10"/>
      <c r="R49" s="11"/>
    </row>
    <row r="50" spans="2:18" s="6" customFormat="1" ht="15.75" customHeight="1" hidden="1">
      <c r="B50" s="19"/>
      <c r="D50" s="32" t="s">
        <v>50</v>
      </c>
      <c r="E50" s="33"/>
      <c r="F50" s="33"/>
      <c r="G50" s="33"/>
      <c r="H50" s="34"/>
      <c r="J50" s="32" t="s">
        <v>51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 hidden="1">
      <c r="B51" s="10"/>
      <c r="D51" s="35"/>
      <c r="H51" s="36"/>
      <c r="J51" s="35"/>
      <c r="P51" s="36"/>
      <c r="R51" s="11"/>
    </row>
    <row r="52" spans="2:18" s="2" customFormat="1" ht="14.25" customHeight="1" hidden="1">
      <c r="B52" s="10"/>
      <c r="D52" s="35"/>
      <c r="H52" s="36"/>
      <c r="J52" s="35"/>
      <c r="P52" s="36"/>
      <c r="R52" s="11"/>
    </row>
    <row r="53" spans="2:18" s="2" customFormat="1" ht="14.25" customHeight="1" hidden="1">
      <c r="B53" s="10"/>
      <c r="D53" s="35"/>
      <c r="H53" s="36"/>
      <c r="J53" s="35"/>
      <c r="P53" s="36"/>
      <c r="R53" s="11"/>
    </row>
    <row r="54" spans="2:18" s="2" customFormat="1" ht="14.25" customHeight="1" hidden="1">
      <c r="B54" s="10"/>
      <c r="D54" s="35"/>
      <c r="H54" s="36"/>
      <c r="J54" s="35"/>
      <c r="P54" s="36"/>
      <c r="R54" s="11"/>
    </row>
    <row r="55" spans="2:18" s="2" customFormat="1" ht="14.25" customHeight="1" hidden="1">
      <c r="B55" s="10"/>
      <c r="D55" s="35"/>
      <c r="H55" s="36"/>
      <c r="J55" s="35"/>
      <c r="P55" s="36"/>
      <c r="R55" s="11"/>
    </row>
    <row r="56" spans="2:18" s="2" customFormat="1" ht="14.25" customHeight="1" hidden="1">
      <c r="B56" s="10"/>
      <c r="D56" s="35"/>
      <c r="H56" s="36"/>
      <c r="J56" s="35"/>
      <c r="P56" s="36"/>
      <c r="R56" s="11"/>
    </row>
    <row r="57" spans="2:18" s="2" customFormat="1" ht="14.25" customHeight="1" hidden="1">
      <c r="B57" s="10"/>
      <c r="D57" s="35"/>
      <c r="H57" s="36"/>
      <c r="J57" s="35"/>
      <c r="P57" s="36"/>
      <c r="R57" s="11"/>
    </row>
    <row r="58" spans="2:18" s="2" customFormat="1" ht="14.25" customHeight="1" hidden="1">
      <c r="B58" s="10"/>
      <c r="D58" s="35"/>
      <c r="H58" s="36"/>
      <c r="J58" s="35"/>
      <c r="P58" s="36"/>
      <c r="R58" s="11"/>
    </row>
    <row r="59" spans="2:18" s="6" customFormat="1" ht="15.75" customHeight="1" hidden="1">
      <c r="B59" s="19"/>
      <c r="D59" s="37" t="s">
        <v>52</v>
      </c>
      <c r="E59" s="38"/>
      <c r="F59" s="38"/>
      <c r="G59" s="39" t="s">
        <v>53</v>
      </c>
      <c r="H59" s="40"/>
      <c r="J59" s="37" t="s">
        <v>52</v>
      </c>
      <c r="K59" s="38"/>
      <c r="L59" s="38"/>
      <c r="M59" s="38"/>
      <c r="N59" s="39" t="s">
        <v>53</v>
      </c>
      <c r="O59" s="38"/>
      <c r="P59" s="40"/>
      <c r="R59" s="20"/>
    </row>
    <row r="60" spans="2:18" s="2" customFormat="1" ht="14.25" customHeight="1" hidden="1">
      <c r="B60" s="10"/>
      <c r="R60" s="11"/>
    </row>
    <row r="61" spans="2:18" s="6" customFormat="1" ht="15.75" customHeight="1" hidden="1">
      <c r="B61" s="19"/>
      <c r="D61" s="32" t="s">
        <v>54</v>
      </c>
      <c r="E61" s="33"/>
      <c r="F61" s="33"/>
      <c r="G61" s="33"/>
      <c r="H61" s="34"/>
      <c r="J61" s="32" t="s">
        <v>55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 hidden="1">
      <c r="B62" s="10"/>
      <c r="D62" s="35"/>
      <c r="H62" s="36"/>
      <c r="J62" s="35"/>
      <c r="P62" s="36"/>
      <c r="R62" s="11"/>
    </row>
    <row r="63" spans="2:18" s="2" customFormat="1" ht="14.25" customHeight="1" hidden="1">
      <c r="B63" s="10"/>
      <c r="D63" s="35"/>
      <c r="H63" s="36"/>
      <c r="J63" s="35"/>
      <c r="P63" s="36"/>
      <c r="R63" s="11"/>
    </row>
    <row r="64" spans="2:18" s="2" customFormat="1" ht="14.25" customHeight="1" hidden="1">
      <c r="B64" s="10"/>
      <c r="D64" s="35"/>
      <c r="H64" s="36"/>
      <c r="J64" s="35"/>
      <c r="P64" s="36"/>
      <c r="R64" s="11"/>
    </row>
    <row r="65" spans="2:18" s="2" customFormat="1" ht="14.25" customHeight="1" hidden="1">
      <c r="B65" s="10"/>
      <c r="D65" s="35"/>
      <c r="H65" s="36"/>
      <c r="J65" s="35"/>
      <c r="P65" s="36"/>
      <c r="R65" s="11"/>
    </row>
    <row r="66" spans="2:18" s="2" customFormat="1" ht="14.25" customHeight="1" hidden="1">
      <c r="B66" s="10"/>
      <c r="D66" s="35"/>
      <c r="H66" s="36"/>
      <c r="J66" s="35"/>
      <c r="P66" s="36"/>
      <c r="R66" s="11"/>
    </row>
    <row r="67" spans="2:18" s="2" customFormat="1" ht="14.25" customHeight="1" hidden="1">
      <c r="B67" s="10"/>
      <c r="D67" s="35"/>
      <c r="H67" s="36"/>
      <c r="J67" s="35"/>
      <c r="P67" s="36"/>
      <c r="R67" s="11"/>
    </row>
    <row r="68" spans="2:18" s="2" customFormat="1" ht="14.25" customHeight="1" hidden="1">
      <c r="B68" s="10"/>
      <c r="D68" s="35"/>
      <c r="H68" s="36"/>
      <c r="J68" s="35"/>
      <c r="P68" s="36"/>
      <c r="R68" s="11"/>
    </row>
    <row r="69" spans="2:18" s="2" customFormat="1" ht="14.25" customHeight="1" hidden="1">
      <c r="B69" s="10"/>
      <c r="D69" s="35"/>
      <c r="H69" s="36"/>
      <c r="J69" s="35"/>
      <c r="P69" s="36"/>
      <c r="R69" s="11"/>
    </row>
    <row r="70" spans="2:18" s="6" customFormat="1" ht="15.75" customHeight="1" hidden="1">
      <c r="B70" s="19"/>
      <c r="D70" s="37" t="s">
        <v>52</v>
      </c>
      <c r="E70" s="38"/>
      <c r="F70" s="38"/>
      <c r="G70" s="39" t="s">
        <v>53</v>
      </c>
      <c r="H70" s="40"/>
      <c r="J70" s="37" t="s">
        <v>52</v>
      </c>
      <c r="K70" s="38"/>
      <c r="L70" s="38"/>
      <c r="M70" s="38"/>
      <c r="N70" s="39" t="s">
        <v>53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43" t="s">
        <v>115</v>
      </c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173" t="str">
        <f>$F$6</f>
        <v>UK-stavební práce</v>
      </c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R78" s="20"/>
    </row>
    <row r="79" spans="2:18" s="6" customFormat="1" ht="37.5" customHeight="1">
      <c r="B79" s="19"/>
      <c r="C79" s="49" t="s">
        <v>111</v>
      </c>
      <c r="F79" s="158" t="str">
        <f>$F$7</f>
        <v>D - Ostatní položky</v>
      </c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74" t="str">
        <f>IF($O$9="","",$O$9)</f>
        <v>23.10.2016</v>
      </c>
      <c r="N81" s="157"/>
      <c r="O81" s="157"/>
      <c r="P81" s="157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Univerzita Karlova - Správa budov a zařízení</v>
      </c>
      <c r="K83" s="16" t="s">
        <v>33</v>
      </c>
      <c r="M83" s="144" t="str">
        <f>$E$18</f>
        <v> </v>
      </c>
      <c r="N83" s="157"/>
      <c r="O83" s="157"/>
      <c r="P83" s="157"/>
      <c r="Q83" s="157"/>
      <c r="R83" s="20"/>
    </row>
    <row r="84" spans="2:18" s="6" customFormat="1" ht="15" customHeight="1">
      <c r="B84" s="19"/>
      <c r="C84" s="16" t="s">
        <v>32</v>
      </c>
      <c r="F84" s="14" t="str">
        <f>IF($E$15="","",$E$15)</f>
        <v> </v>
      </c>
      <c r="K84" s="16" t="s">
        <v>35</v>
      </c>
      <c r="M84" s="144" t="str">
        <f>$E$21</f>
        <v> </v>
      </c>
      <c r="N84" s="157"/>
      <c r="O84" s="157"/>
      <c r="P84" s="157"/>
      <c r="Q84" s="157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178" t="s">
        <v>116</v>
      </c>
      <c r="D86" s="172"/>
      <c r="E86" s="172"/>
      <c r="F86" s="172"/>
      <c r="G86" s="172"/>
      <c r="H86" s="28"/>
      <c r="I86" s="28"/>
      <c r="J86" s="28"/>
      <c r="K86" s="28"/>
      <c r="L86" s="28"/>
      <c r="M86" s="28"/>
      <c r="N86" s="178" t="s">
        <v>117</v>
      </c>
      <c r="O86" s="157"/>
      <c r="P86" s="157"/>
      <c r="Q86" s="157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1" t="s">
        <v>118</v>
      </c>
      <c r="N88" s="169">
        <f>$N$113</f>
        <v>0</v>
      </c>
      <c r="O88" s="157"/>
      <c r="P88" s="157"/>
      <c r="Q88" s="157"/>
      <c r="R88" s="20"/>
      <c r="AU88" s="6" t="s">
        <v>119</v>
      </c>
    </row>
    <row r="89" spans="2:18" s="66" customFormat="1" ht="25.5" customHeight="1">
      <c r="B89" s="87"/>
      <c r="D89" s="88" t="s">
        <v>120</v>
      </c>
      <c r="N89" s="179">
        <f>$N$114</f>
        <v>0</v>
      </c>
      <c r="O89" s="180"/>
      <c r="P89" s="180"/>
      <c r="Q89" s="180"/>
      <c r="R89" s="89"/>
    </row>
    <row r="90" spans="2:18" s="83" customFormat="1" ht="21" customHeight="1">
      <c r="B90" s="90"/>
      <c r="D90" s="91" t="s">
        <v>123</v>
      </c>
      <c r="N90" s="181">
        <f>$N$115</f>
        <v>0</v>
      </c>
      <c r="O90" s="180"/>
      <c r="P90" s="180"/>
      <c r="Q90" s="180"/>
      <c r="R90" s="92"/>
    </row>
    <row r="91" spans="2:18" s="66" customFormat="1" ht="25.5" customHeight="1">
      <c r="B91" s="87"/>
      <c r="D91" s="88" t="s">
        <v>524</v>
      </c>
      <c r="N91" s="179">
        <f>$N$117</f>
        <v>0</v>
      </c>
      <c r="O91" s="180"/>
      <c r="P91" s="180"/>
      <c r="Q91" s="180"/>
      <c r="R91" s="89"/>
    </row>
    <row r="92" spans="2:18" s="83" customFormat="1" ht="21" customHeight="1">
      <c r="B92" s="90"/>
      <c r="D92" s="91" t="s">
        <v>525</v>
      </c>
      <c r="N92" s="181">
        <f>$N$118</f>
        <v>0</v>
      </c>
      <c r="O92" s="180"/>
      <c r="P92" s="180"/>
      <c r="Q92" s="180"/>
      <c r="R92" s="92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1" t="s">
        <v>130</v>
      </c>
      <c r="N94" s="169">
        <v>0</v>
      </c>
      <c r="O94" s="157"/>
      <c r="P94" s="157"/>
      <c r="Q94" s="157"/>
      <c r="R94" s="20"/>
      <c r="T94" s="93"/>
      <c r="U94" s="94" t="s">
        <v>40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9" t="s">
        <v>107</v>
      </c>
      <c r="D96" s="28"/>
      <c r="E96" s="28"/>
      <c r="F96" s="28"/>
      <c r="G96" s="28"/>
      <c r="H96" s="28"/>
      <c r="I96" s="28"/>
      <c r="J96" s="28"/>
      <c r="K96" s="28"/>
      <c r="L96" s="171">
        <f>ROUND(SUM($N$88+$N$94),2)</f>
        <v>0</v>
      </c>
      <c r="M96" s="172"/>
      <c r="N96" s="172"/>
      <c r="O96" s="172"/>
      <c r="P96" s="172"/>
      <c r="Q96" s="172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43" t="s">
        <v>131</v>
      </c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173" t="str">
        <f>$F$6</f>
        <v>UK-stavební práce</v>
      </c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R104" s="20"/>
    </row>
    <row r="105" spans="2:18" s="6" customFormat="1" ht="37.5" customHeight="1">
      <c r="B105" s="19"/>
      <c r="C105" s="49" t="s">
        <v>111</v>
      </c>
      <c r="F105" s="158" t="str">
        <f>$F$7</f>
        <v>D - Ostatní položky</v>
      </c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20</v>
      </c>
      <c r="F107" s="14" t="str">
        <f>$F$9</f>
        <v> </v>
      </c>
      <c r="K107" s="16" t="s">
        <v>22</v>
      </c>
      <c r="M107" s="174" t="str">
        <f>IF($O$9="","",$O$9)</f>
        <v>23.10.2016</v>
      </c>
      <c r="N107" s="157"/>
      <c r="O107" s="157"/>
      <c r="P107" s="157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26</v>
      </c>
      <c r="F109" s="14" t="str">
        <f>$E$12</f>
        <v>Univerzita Karlova - Správa budov a zařízení</v>
      </c>
      <c r="K109" s="16" t="s">
        <v>33</v>
      </c>
      <c r="M109" s="144" t="str">
        <f>$E$18</f>
        <v> </v>
      </c>
      <c r="N109" s="157"/>
      <c r="O109" s="157"/>
      <c r="P109" s="157"/>
      <c r="Q109" s="157"/>
      <c r="R109" s="20"/>
    </row>
    <row r="110" spans="2:18" s="6" customFormat="1" ht="15" customHeight="1">
      <c r="B110" s="19"/>
      <c r="C110" s="16" t="s">
        <v>32</v>
      </c>
      <c r="F110" s="14" t="str">
        <f>IF($E$15="","",$E$15)</f>
        <v> </v>
      </c>
      <c r="K110" s="16" t="s">
        <v>35</v>
      </c>
      <c r="M110" s="144" t="str">
        <f>$E$21</f>
        <v> </v>
      </c>
      <c r="N110" s="157"/>
      <c r="O110" s="157"/>
      <c r="P110" s="157"/>
      <c r="Q110" s="157"/>
      <c r="R110" s="20"/>
    </row>
    <row r="111" spans="2:18" s="6" customFormat="1" ht="11.25" customHeight="1">
      <c r="B111" s="19"/>
      <c r="R111" s="20"/>
    </row>
    <row r="112" spans="2:27" s="95" customFormat="1" ht="30" customHeight="1">
      <c r="B112" s="96"/>
      <c r="C112" s="97" t="s">
        <v>132</v>
      </c>
      <c r="D112" s="98" t="s">
        <v>133</v>
      </c>
      <c r="E112" s="98" t="s">
        <v>58</v>
      </c>
      <c r="F112" s="182" t="s">
        <v>134</v>
      </c>
      <c r="G112" s="183"/>
      <c r="H112" s="183"/>
      <c r="I112" s="183"/>
      <c r="J112" s="98" t="s">
        <v>135</v>
      </c>
      <c r="K112" s="98" t="s">
        <v>136</v>
      </c>
      <c r="L112" s="182" t="s">
        <v>137</v>
      </c>
      <c r="M112" s="183"/>
      <c r="N112" s="182" t="s">
        <v>138</v>
      </c>
      <c r="O112" s="183"/>
      <c r="P112" s="183"/>
      <c r="Q112" s="184"/>
      <c r="R112" s="99"/>
      <c r="T112" s="56" t="s">
        <v>139</v>
      </c>
      <c r="U112" s="57" t="s">
        <v>40</v>
      </c>
      <c r="V112" s="57" t="s">
        <v>140</v>
      </c>
      <c r="W112" s="57" t="s">
        <v>141</v>
      </c>
      <c r="X112" s="57" t="s">
        <v>142</v>
      </c>
      <c r="Y112" s="57" t="s">
        <v>143</v>
      </c>
      <c r="Z112" s="57" t="s">
        <v>144</v>
      </c>
      <c r="AA112" s="58" t="s">
        <v>145</v>
      </c>
    </row>
    <row r="113" spans="2:63" s="6" customFormat="1" ht="30" customHeight="1">
      <c r="B113" s="19"/>
      <c r="C113" s="61" t="s">
        <v>113</v>
      </c>
      <c r="N113" s="195">
        <f>$BK$113</f>
        <v>0</v>
      </c>
      <c r="O113" s="157"/>
      <c r="P113" s="157"/>
      <c r="Q113" s="157"/>
      <c r="R113" s="20"/>
      <c r="T113" s="60"/>
      <c r="U113" s="33"/>
      <c r="V113" s="33"/>
      <c r="W113" s="100">
        <f>$W$114+$W$117</f>
        <v>0.009</v>
      </c>
      <c r="X113" s="33"/>
      <c r="Y113" s="100">
        <f>$Y$114+$Y$117</f>
        <v>0</v>
      </c>
      <c r="Z113" s="33"/>
      <c r="AA113" s="101">
        <f>$AA$114+$AA$117</f>
        <v>0</v>
      </c>
      <c r="AT113" s="6" t="s">
        <v>75</v>
      </c>
      <c r="AU113" s="6" t="s">
        <v>119</v>
      </c>
      <c r="BK113" s="102">
        <f>$BK$114+$BK$117</f>
        <v>0</v>
      </c>
    </row>
    <row r="114" spans="2:63" s="103" customFormat="1" ht="37.5" customHeight="1">
      <c r="B114" s="104"/>
      <c r="D114" s="105" t="s">
        <v>120</v>
      </c>
      <c r="E114" s="105"/>
      <c r="F114" s="105"/>
      <c r="G114" s="105"/>
      <c r="H114" s="105"/>
      <c r="I114" s="105"/>
      <c r="J114" s="105"/>
      <c r="K114" s="105"/>
      <c r="L114" s="105"/>
      <c r="M114" s="105"/>
      <c r="N114" s="192">
        <f>$BK$114</f>
        <v>0</v>
      </c>
      <c r="O114" s="193"/>
      <c r="P114" s="193"/>
      <c r="Q114" s="193"/>
      <c r="R114" s="107"/>
      <c r="T114" s="108"/>
      <c r="W114" s="109">
        <f>$W$115</f>
        <v>0.009</v>
      </c>
      <c r="Y114" s="109">
        <f>$Y$115</f>
        <v>0</v>
      </c>
      <c r="AA114" s="110">
        <f>$AA$115</f>
        <v>0</v>
      </c>
      <c r="AR114" s="106" t="s">
        <v>19</v>
      </c>
      <c r="AT114" s="106" t="s">
        <v>75</v>
      </c>
      <c r="AU114" s="106" t="s">
        <v>76</v>
      </c>
      <c r="AY114" s="106" t="s">
        <v>146</v>
      </c>
      <c r="BK114" s="111">
        <f>$BK$115</f>
        <v>0</v>
      </c>
    </row>
    <row r="115" spans="2:63" s="103" customFormat="1" ht="21" customHeight="1">
      <c r="B115" s="104"/>
      <c r="D115" s="112" t="s">
        <v>123</v>
      </c>
      <c r="E115" s="112"/>
      <c r="F115" s="112"/>
      <c r="G115" s="112"/>
      <c r="H115" s="112"/>
      <c r="I115" s="112"/>
      <c r="J115" s="112"/>
      <c r="K115" s="112"/>
      <c r="L115" s="112"/>
      <c r="M115" s="112"/>
      <c r="N115" s="194">
        <f>$BK$115</f>
        <v>0</v>
      </c>
      <c r="O115" s="193"/>
      <c r="P115" s="193"/>
      <c r="Q115" s="193"/>
      <c r="R115" s="107"/>
      <c r="T115" s="108"/>
      <c r="W115" s="109">
        <f>$W$116</f>
        <v>0.009</v>
      </c>
      <c r="Y115" s="109">
        <f>$Y$116</f>
        <v>0</v>
      </c>
      <c r="AA115" s="110">
        <f>$AA$116</f>
        <v>0</v>
      </c>
      <c r="AR115" s="106" t="s">
        <v>19</v>
      </c>
      <c r="AT115" s="106" t="s">
        <v>75</v>
      </c>
      <c r="AU115" s="106" t="s">
        <v>19</v>
      </c>
      <c r="AY115" s="106" t="s">
        <v>146</v>
      </c>
      <c r="BK115" s="111">
        <f>$BK$116</f>
        <v>0</v>
      </c>
    </row>
    <row r="116" spans="2:65" s="6" customFormat="1" ht="15.75" customHeight="1">
      <c r="B116" s="19"/>
      <c r="C116" s="113" t="s">
        <v>19</v>
      </c>
      <c r="D116" s="113" t="s">
        <v>148</v>
      </c>
      <c r="E116" s="114" t="s">
        <v>526</v>
      </c>
      <c r="F116" s="185" t="s">
        <v>527</v>
      </c>
      <c r="G116" s="186"/>
      <c r="H116" s="186"/>
      <c r="I116" s="186"/>
      <c r="J116" s="115" t="s">
        <v>528</v>
      </c>
      <c r="K116" s="116">
        <v>1</v>
      </c>
      <c r="L116" s="187">
        <v>0</v>
      </c>
      <c r="M116" s="186"/>
      <c r="N116" s="187">
        <f>ROUND($L$116*$K$116,2)</f>
        <v>0</v>
      </c>
      <c r="O116" s="186"/>
      <c r="P116" s="186"/>
      <c r="Q116" s="186"/>
      <c r="R116" s="20"/>
      <c r="T116" s="117"/>
      <c r="U116" s="26" t="s">
        <v>41</v>
      </c>
      <c r="V116" s="118">
        <v>0.009</v>
      </c>
      <c r="W116" s="118">
        <f>$V$116*$K$116</f>
        <v>0.009</v>
      </c>
      <c r="X116" s="118">
        <v>0</v>
      </c>
      <c r="Y116" s="118">
        <f>$X$116*$K$116</f>
        <v>0</v>
      </c>
      <c r="Z116" s="118">
        <v>0</v>
      </c>
      <c r="AA116" s="119">
        <f>$Z$116*$K$116</f>
        <v>0</v>
      </c>
      <c r="AR116" s="6" t="s">
        <v>152</v>
      </c>
      <c r="AT116" s="6" t="s">
        <v>148</v>
      </c>
      <c r="AU116" s="6" t="s">
        <v>109</v>
      </c>
      <c r="AY116" s="6" t="s">
        <v>146</v>
      </c>
      <c r="BE116" s="120">
        <f>IF($U$116="základní",$N$116,0)</f>
        <v>0</v>
      </c>
      <c r="BF116" s="120">
        <f>IF($U$116="snížená",$N$116,0)</f>
        <v>0</v>
      </c>
      <c r="BG116" s="120">
        <f>IF($U$116="zákl. přenesená",$N$116,0)</f>
        <v>0</v>
      </c>
      <c r="BH116" s="120">
        <f>IF($U$116="sníž. přenesená",$N$116,0)</f>
        <v>0</v>
      </c>
      <c r="BI116" s="120">
        <f>IF($U$116="nulová",$N$116,0)</f>
        <v>0</v>
      </c>
      <c r="BJ116" s="6" t="s">
        <v>19</v>
      </c>
      <c r="BK116" s="120">
        <f>ROUND($L$116*$K$116,2)</f>
        <v>0</v>
      </c>
      <c r="BL116" s="6" t="s">
        <v>152</v>
      </c>
      <c r="BM116" s="6" t="s">
        <v>529</v>
      </c>
    </row>
    <row r="117" spans="2:63" s="103" customFormat="1" ht="37.5" customHeight="1">
      <c r="B117" s="104"/>
      <c r="D117" s="105" t="s">
        <v>524</v>
      </c>
      <c r="E117" s="105"/>
      <c r="F117" s="105"/>
      <c r="G117" s="105"/>
      <c r="H117" s="105"/>
      <c r="I117" s="105"/>
      <c r="J117" s="105"/>
      <c r="K117" s="105"/>
      <c r="L117" s="105"/>
      <c r="M117" s="105"/>
      <c r="N117" s="192">
        <f>$BK$117</f>
        <v>0</v>
      </c>
      <c r="O117" s="193"/>
      <c r="P117" s="193"/>
      <c r="Q117" s="193"/>
      <c r="R117" s="107"/>
      <c r="T117" s="108"/>
      <c r="W117" s="109">
        <f>$W$118</f>
        <v>0</v>
      </c>
      <c r="Y117" s="109">
        <f>$Y$118</f>
        <v>0</v>
      </c>
      <c r="AA117" s="110">
        <f>$AA$118</f>
        <v>0</v>
      </c>
      <c r="AR117" s="106" t="s">
        <v>234</v>
      </c>
      <c r="AT117" s="106" t="s">
        <v>75</v>
      </c>
      <c r="AU117" s="106" t="s">
        <v>76</v>
      </c>
      <c r="AY117" s="106" t="s">
        <v>146</v>
      </c>
      <c r="BK117" s="111">
        <f>$BK$118</f>
        <v>0</v>
      </c>
    </row>
    <row r="118" spans="2:63" s="103" customFormat="1" ht="21" customHeight="1">
      <c r="B118" s="104"/>
      <c r="D118" s="112" t="s">
        <v>525</v>
      </c>
      <c r="E118" s="112"/>
      <c r="F118" s="112"/>
      <c r="G118" s="112"/>
      <c r="H118" s="112"/>
      <c r="I118" s="112"/>
      <c r="J118" s="112"/>
      <c r="K118" s="112"/>
      <c r="L118" s="112"/>
      <c r="M118" s="112"/>
      <c r="N118" s="194">
        <f>$BK$118</f>
        <v>0</v>
      </c>
      <c r="O118" s="193"/>
      <c r="P118" s="193"/>
      <c r="Q118" s="193"/>
      <c r="R118" s="107"/>
      <c r="T118" s="108"/>
      <c r="W118" s="109">
        <f>$W$119</f>
        <v>0</v>
      </c>
      <c r="Y118" s="109">
        <f>$Y$119</f>
        <v>0</v>
      </c>
      <c r="AA118" s="110">
        <f>$AA$119</f>
        <v>0</v>
      </c>
      <c r="AR118" s="106" t="s">
        <v>234</v>
      </c>
      <c r="AT118" s="106" t="s">
        <v>75</v>
      </c>
      <c r="AU118" s="106" t="s">
        <v>19</v>
      </c>
      <c r="AY118" s="106" t="s">
        <v>146</v>
      </c>
      <c r="BK118" s="111">
        <f>$BK$119</f>
        <v>0</v>
      </c>
    </row>
    <row r="119" spans="2:65" s="6" customFormat="1" ht="15.75" customHeight="1">
      <c r="B119" s="19"/>
      <c r="C119" s="113" t="s">
        <v>109</v>
      </c>
      <c r="D119" s="113" t="s">
        <v>148</v>
      </c>
      <c r="E119" s="114" t="s">
        <v>530</v>
      </c>
      <c r="F119" s="185" t="s">
        <v>531</v>
      </c>
      <c r="G119" s="186"/>
      <c r="H119" s="186"/>
      <c r="I119" s="186"/>
      <c r="J119" s="115" t="s">
        <v>532</v>
      </c>
      <c r="K119" s="116">
        <v>10</v>
      </c>
      <c r="L119" s="187">
        <v>0</v>
      </c>
      <c r="M119" s="186"/>
      <c r="N119" s="187">
        <f>ROUND($L$119*$K$119,2)</f>
        <v>0</v>
      </c>
      <c r="O119" s="186"/>
      <c r="P119" s="186"/>
      <c r="Q119" s="186"/>
      <c r="R119" s="20"/>
      <c r="T119" s="117"/>
      <c r="U119" s="126" t="s">
        <v>41</v>
      </c>
      <c r="V119" s="127">
        <v>0</v>
      </c>
      <c r="W119" s="127">
        <f>$V$119*$K$119</f>
        <v>0</v>
      </c>
      <c r="X119" s="127">
        <v>0</v>
      </c>
      <c r="Y119" s="127">
        <f>$X$119*$K$119</f>
        <v>0</v>
      </c>
      <c r="Z119" s="127">
        <v>0</v>
      </c>
      <c r="AA119" s="128">
        <f>$Z$119*$K$119</f>
        <v>0</v>
      </c>
      <c r="AR119" s="6" t="s">
        <v>533</v>
      </c>
      <c r="AT119" s="6" t="s">
        <v>148</v>
      </c>
      <c r="AU119" s="6" t="s">
        <v>109</v>
      </c>
      <c r="AY119" s="6" t="s">
        <v>146</v>
      </c>
      <c r="BE119" s="120">
        <f>IF($U$119="základní",$N$119,0)</f>
        <v>0</v>
      </c>
      <c r="BF119" s="120">
        <f>IF($U$119="snížená",$N$119,0)</f>
        <v>0</v>
      </c>
      <c r="BG119" s="120">
        <f>IF($U$119="zákl. přenesená",$N$119,0)</f>
        <v>0</v>
      </c>
      <c r="BH119" s="120">
        <f>IF($U$119="sníž. přenesená",$N$119,0)</f>
        <v>0</v>
      </c>
      <c r="BI119" s="120">
        <f>IF($U$119="nulová",$N$119,0)</f>
        <v>0</v>
      </c>
      <c r="BJ119" s="6" t="s">
        <v>19</v>
      </c>
      <c r="BK119" s="120">
        <f>ROUND($L$119*$K$119,2)</f>
        <v>0</v>
      </c>
      <c r="BL119" s="6" t="s">
        <v>533</v>
      </c>
      <c r="BM119" s="6" t="s">
        <v>534</v>
      </c>
    </row>
    <row r="120" spans="2:18" s="6" customFormat="1" ht="7.5" customHeight="1"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3"/>
    </row>
    <row r="169" s="2" customFormat="1" ht="14.25" customHeight="1"/>
  </sheetData>
  <sheetProtection/>
  <mergeCells count="65">
    <mergeCell ref="H1:K1"/>
    <mergeCell ref="S2:AC2"/>
    <mergeCell ref="F119:I119"/>
    <mergeCell ref="L119:M119"/>
    <mergeCell ref="N119:Q119"/>
    <mergeCell ref="N113:Q113"/>
    <mergeCell ref="N114:Q114"/>
    <mergeCell ref="N115:Q115"/>
    <mergeCell ref="N117:Q117"/>
    <mergeCell ref="N118:Q118"/>
    <mergeCell ref="F112:I112"/>
    <mergeCell ref="L112:M112"/>
    <mergeCell ref="N112:Q112"/>
    <mergeCell ref="F116:I116"/>
    <mergeCell ref="L116:M116"/>
    <mergeCell ref="N116:Q116"/>
    <mergeCell ref="C102:Q102"/>
    <mergeCell ref="F104:P104"/>
    <mergeCell ref="F105:P105"/>
    <mergeCell ref="M107:P107"/>
    <mergeCell ref="M109:Q109"/>
    <mergeCell ref="M110:Q110"/>
    <mergeCell ref="N89:Q89"/>
    <mergeCell ref="N90:Q90"/>
    <mergeCell ref="N91:Q91"/>
    <mergeCell ref="N92:Q92"/>
    <mergeCell ref="N94:Q94"/>
    <mergeCell ref="L96:Q96"/>
    <mergeCell ref="M81:P81"/>
    <mergeCell ref="M83:Q83"/>
    <mergeCell ref="M84:Q84"/>
    <mergeCell ref="C86:G86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O21:P21"/>
    <mergeCell ref="E24:L24"/>
    <mergeCell ref="M27:P27"/>
    <mergeCell ref="M28:P28"/>
    <mergeCell ref="M30:P30"/>
    <mergeCell ref="H32:J32"/>
    <mergeCell ref="M32:P32"/>
    <mergeCell ref="O12:P12"/>
    <mergeCell ref="O14:P14"/>
    <mergeCell ref="O15:P15"/>
    <mergeCell ref="O17:P17"/>
    <mergeCell ref="O18:P18"/>
    <mergeCell ref="O20:P20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Javůrek Jan</dc:creator>
  <cp:keywords/>
  <dc:description/>
  <cp:lastModifiedBy>Univerzita Karlova v Praze</cp:lastModifiedBy>
  <dcterms:created xsi:type="dcterms:W3CDTF">2016-12-07T12:33:13Z</dcterms:created>
  <dcterms:modified xsi:type="dcterms:W3CDTF">2016-12-07T12:33:28Z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