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8955" activeTab="0"/>
  </bookViews>
  <sheets>
    <sheet name="Rekapitulace stavby" sheetId="1" r:id="rId1"/>
    <sheet name="Oprava fasády - položky" sheetId="2" r:id="rId2"/>
  </sheets>
  <externalReferences>
    <externalReference r:id="rId5"/>
  </externalReferences>
  <definedNames>
    <definedName name="_xlnm.Print_Titles" localSheetId="1">'Oprava fasády - položky'!$112:$112</definedName>
    <definedName name="_xlnm.Print_Titles" localSheetId="0">'Rekapitulace stavby'!$84:$84</definedName>
    <definedName name="_xlnm.Print_Area" localSheetId="1">'Oprava fasády - položky'!$C$3:$Q$59,'Oprava fasády - položky'!$C$65:$Q$96,'Oprava fasády - položky'!$C$102:$Q$373</definedName>
    <definedName name="_xlnm.Print_Area" localSheetId="0">'Rekapitulace stavby'!$C$3:$AP$69,'Rekapitulace stavby'!$C$75:$AP$91</definedName>
  </definedNames>
  <calcPr fullCalcOnLoad="1"/>
</workbook>
</file>

<file path=xl/sharedStrings.xml><?xml version="1.0" encoding="utf-8"?>
<sst xmlns="http://schemas.openxmlformats.org/spreadsheetml/2006/main" count="2354" uniqueCount="396">
  <si>
    <t>/</t>
  </si>
  <si>
    <t>False</t>
  </si>
  <si>
    <t>0,01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</si>
  <si>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</si>
  <si>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</si>
  <si>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</si>
  <si>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</si>
  <si>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</si>
  <si>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</si>
  <si>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</si>
  <si>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</si>
  <si>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</si>
  <si>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</si>
  <si>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</si>
  <si>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</si>
  <si>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</si>
  <si>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</si>
  <si>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</si>
  <si>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</si>
  <si>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</si>
  <si>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</si>
  <si>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</si>
  <si>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výběrové řízení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</si>
  <si>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</si>
  <si>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</si>
  <si>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</si>
  <si>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</si>
  <si>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</si>
  <si>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</si>
  <si>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</si>
  <si>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</si>
  <si>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</si>
  <si>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</si>
  <si>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</si>
  <si>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</si>
  <si>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</si>
  <si>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</si>
  <si>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</si>
  <si>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</si>
  <si>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</si>
  <si>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</si>
  <si>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</si>
  <si>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</si>
  <si>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</si>
  <si>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</si>
  <si>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</si>
  <si>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</si>
  <si>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</si>
  <si>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</si>
  <si>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</si>
  <si>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</si>
  <si>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</si>
  <si>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</si>
  <si>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</si>
  <si>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</si>
  <si>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</si>
  <si>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</si>
  <si>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</si>
  <si>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</si>
  <si>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</si>
  <si>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</si>
  <si>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</si>
  <si>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</si>
  <si>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</si>
  <si>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</si>
  <si>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</si>
  <si>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</si>
  <si>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</si>
  <si>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</si>
  <si>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{ACE48734-C099-442A-8AE1-374D35C65A2B}</t>
  </si>
  <si>
    <t>{00000000-0000-0000-0000-000000000000}</t>
  </si>
  <si>
    <t>{C36257F6-67A2-433E-A37E-45562297E0C4}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</si>
  <si>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</si>
  <si>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</si>
  <si>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</si>
  <si>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</si>
  <si>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</si>
  <si>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</si>
  <si>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</si>
  <si>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</si>
  <si>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</si>
  <si>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</si>
  <si>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</si>
  <si>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</si>
  <si>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</si>
  <si>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</si>
  <si>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94 - Lešení a stavební výtahy</t>
  </si>
  <si>
    <t xml:space="preserve">    96 - Bourání konstrukcí</t>
  </si>
  <si>
    <t xml:space="preserve">    997 - Přesun sutě</t>
  </si>
  <si>
    <t>PSV - Práce a dodávky PSV</t>
  </si>
  <si>
    <t>2) Ostatní náklady</t>
  </si>
  <si>
    <t>Zařízení staveniště</t>
  </si>
  <si>
    <t>VRN</t>
  </si>
  <si>
    <t>2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</si>
  <si>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</si>
  <si>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</si>
  <si>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</si>
  <si>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</si>
  <si>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</si>
  <si>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</si>
  <si>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</si>
  <si>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</si>
  <si>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</si>
  <si>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</si>
  <si>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</si>
  <si>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</si>
  <si>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</si>
  <si>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</si>
  <si>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</si>
  <si>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</si>
  <si>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</si>
  <si>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</si>
  <si>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</si>
  <si>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</si>
  <si>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t</t>
  </si>
  <si>
    <t>m2</t>
  </si>
  <si>
    <t>Očištění vnějších ploch tlakovou vodou</t>
  </si>
  <si>
    <t>16</t>
  </si>
  <si>
    <t>m</t>
  </si>
  <si>
    <t>kpl</t>
  </si>
  <si>
    <t>997013501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</si>
  <si>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</si>
  <si>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</si>
  <si>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</si>
  <si>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</si>
  <si>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 xml:space="preserve">    764 - Konstrukce klempířské</t>
  </si>
  <si>
    <t xml:space="preserve">    99 - Přesun hmot</t>
  </si>
  <si>
    <t>629995101.1</t>
  </si>
  <si>
    <t>-244601348</t>
  </si>
  <si>
    <t>622131121.1</t>
  </si>
  <si>
    <t>-916315428</t>
  </si>
  <si>
    <t>1806936177</t>
  </si>
  <si>
    <t>168875475</t>
  </si>
  <si>
    <t>941111122</t>
  </si>
  <si>
    <t>Montáž lešení řadového trubkového lehkého s podlahami zatížení do 200 kg/m2 š do 1,2 m v do 25 m</t>
  </si>
  <si>
    <t>-280992449</t>
  </si>
  <si>
    <t>530735812</t>
  </si>
  <si>
    <t>941111822</t>
  </si>
  <si>
    <t>Demontáž lešení řadového trubkového lehkého s podlahami zatížení do 200 kg/m2 š do 1,2 m v do 25 m</t>
  </si>
  <si>
    <t>-124910615</t>
  </si>
  <si>
    <t>944511111</t>
  </si>
  <si>
    <t>Montáž ochranné sítě z textilie z umělých vláken</t>
  </si>
  <si>
    <t>-2108869723</t>
  </si>
  <si>
    <t>944511211</t>
  </si>
  <si>
    <t>-465086169</t>
  </si>
  <si>
    <t>944511811</t>
  </si>
  <si>
    <t>Demontáž ochranné sítě z textilie z umělých vláken</t>
  </si>
  <si>
    <t>-465830006</t>
  </si>
  <si>
    <t>R94-001</t>
  </si>
  <si>
    <t>Poplatky za zábor,kontejnery ap.</t>
  </si>
  <si>
    <t>-1019553348</t>
  </si>
  <si>
    <t>764002851</t>
  </si>
  <si>
    <t>Demontáž oplechování parapetů do suti</t>
  </si>
  <si>
    <t>1571246618</t>
  </si>
  <si>
    <t>693522195</t>
  </si>
  <si>
    <t>-2072347376</t>
  </si>
  <si>
    <t>Odvoz suti na skládku a vybouraných hmot nebo meziskládku do 1 km se složením</t>
  </si>
  <si>
    <t>-2142952579</t>
  </si>
  <si>
    <t>-153425915</t>
  </si>
  <si>
    <t>-236355568</t>
  </si>
  <si>
    <t>-103212962</t>
  </si>
  <si>
    <t>-781694308</t>
  </si>
  <si>
    <t>941941292</t>
  </si>
  <si>
    <t>Příplatek za každý měsíc použití lešení řadovému trubkovému lehkému s podlahami š 1,2 m v 25 m</t>
  </si>
  <si>
    <t>2 měsíce</t>
  </si>
  <si>
    <t xml:space="preserve">    62 - Úprava povrchů vnější - vně omítky</t>
  </si>
  <si>
    <t>Vnitrostaveništní doprava suti do 10 m</t>
  </si>
  <si>
    <t>979082111</t>
  </si>
  <si>
    <t>Ing. arch. Miroslav Míka, MARKANT, Franze Kafky 835. Mariánské Lázně</t>
  </si>
  <si>
    <t>Oprava fasády objektu</t>
  </si>
  <si>
    <t>1839797536</t>
  </si>
  <si>
    <t>-1635883524</t>
  </si>
  <si>
    <t>2.NP</t>
  </si>
  <si>
    <t>3.NP</t>
  </si>
  <si>
    <t>4.NP</t>
  </si>
  <si>
    <t>5.NP</t>
  </si>
  <si>
    <t>6.NP</t>
  </si>
  <si>
    <t>620991121</t>
  </si>
  <si>
    <t xml:space="preserve">Zakrývání výplní vnějších otvorů z lešení </t>
  </si>
  <si>
    <t>-239739633</t>
  </si>
  <si>
    <t>622411122</t>
  </si>
  <si>
    <t>Barvení vnější omítky stěn, 2 x, složitost 3</t>
  </si>
  <si>
    <t>Oprava fasády objektu BALMORAL, č.p. 390, ulice Hlavní, Mariánské Lázně</t>
  </si>
  <si>
    <t>Univerzita Karlova v Praze, ÚJOP - Hlavní 390, Mar. Lázně</t>
  </si>
  <si>
    <t xml:space="preserve">Příplatek za každý měsíc použití ochranných sítí </t>
  </si>
  <si>
    <t>764421830</t>
  </si>
  <si>
    <t>Demontáž oplechování říms,rš od 100 do 200 mm</t>
  </si>
  <si>
    <t>764521420</t>
  </si>
  <si>
    <t>Oplechování říms z Ti Zn plechu, rš 150 mm</t>
  </si>
  <si>
    <t xml:space="preserve">    711 - Izolace proti vodě</t>
  </si>
  <si>
    <t>711212002</t>
  </si>
  <si>
    <t>Stěrka hydroizolační těsnící hmotou, Aquafin 2K (fa Schomburg), proti vlhkosti</t>
  </si>
  <si>
    <t>hydroizolace podlahy vrchních balkónů</t>
  </si>
  <si>
    <t>998711103</t>
  </si>
  <si>
    <t>Přesun hmot pro izolace proti vodě,výšky do 60m</t>
  </si>
  <si>
    <t>764510450</t>
  </si>
  <si>
    <t>Oplechování parapetů včetně rohů Ti Zn, rš 330 mm</t>
  </si>
  <si>
    <t>621421144</t>
  </si>
  <si>
    <t>Omítka vnější podhledů, MVC,.štuková, slož. 1-2</t>
  </si>
  <si>
    <t>omítka podhledů vrchních balkónů</t>
  </si>
  <si>
    <t xml:space="preserve">    97 - Prorážení otvorů a ostatní bourací práce</t>
  </si>
  <si>
    <t>978015291</t>
  </si>
  <si>
    <t>Otlučení omítek vnějších MVC v složit.1-4 do 100 %</t>
  </si>
  <si>
    <t>621411111</t>
  </si>
  <si>
    <t>Barvení vnější omítky podhledů</t>
  </si>
  <si>
    <t xml:space="preserve">    771 - Podlahy z dlaždic</t>
  </si>
  <si>
    <t>771578011</t>
  </si>
  <si>
    <t>Spára podlaha - stěna, silikonem</t>
  </si>
  <si>
    <t>podlahy vrchních balkónů</t>
  </si>
  <si>
    <t>771575102</t>
  </si>
  <si>
    <t>Montáž podlah keram.,režné hladké, tmel, 10x10 cm</t>
  </si>
  <si>
    <t>998771103</t>
  </si>
  <si>
    <t>Přesun hmot pro podlahy z dlaždic, výšky do 24 m</t>
  </si>
  <si>
    <t>59763952</t>
  </si>
  <si>
    <t>Dlažba mrazuvzdorná Taurus 10S 100x100x10 mm</t>
  </si>
  <si>
    <t>771130111</t>
  </si>
  <si>
    <t>Obklad soklíků rovných do tmele výšky do 100 mm</t>
  </si>
  <si>
    <t>sokl vrchních balkónů</t>
  </si>
  <si>
    <t>dlažba balkónů</t>
  </si>
  <si>
    <t>sokl balkónů</t>
  </si>
  <si>
    <t>42972755</t>
  </si>
  <si>
    <t>Mřížka 4hranná včetně krytu provedení 1 160x160</t>
  </si>
  <si>
    <t>ks</t>
  </si>
  <si>
    <t xml:space="preserve">"mřížka pro ventilaci koupelen" </t>
  </si>
  <si>
    <t>Očištění mramorového soklu</t>
  </si>
  <si>
    <t>629995101.2</t>
  </si>
  <si>
    <t>629995101.4</t>
  </si>
  <si>
    <t>Výměna 20% poškozených částí mramorového soklu</t>
  </si>
  <si>
    <t>Osazení polymerových desek, světle růžové probarvení, vč. Materiálu</t>
  </si>
  <si>
    <t>Jižní fasáda</t>
  </si>
  <si>
    <t>Západní fasáda</t>
  </si>
  <si>
    <t>Část fasády s arkýřem</t>
  </si>
  <si>
    <t>0,95*2,05+(0,5*2+0,95)*2,04*3</t>
  </si>
  <si>
    <t>0,95*2,05*8+0,7*2,05*2+1,0*2,05*2+1,05*2,05*4+0,65*1,0*2</t>
  </si>
  <si>
    <t>(0,51+0,95)*2,16+1,0*1,08*2+1,31*1,25+1,31*1,56+0,65*1,46+1,3*1,49</t>
  </si>
  <si>
    <t>7.NP</t>
  </si>
  <si>
    <t>0,51*2,07+0,98*2,75+1,0*1,06*2+1,31*1,47+1,31*0,36+0,65*1,47+1,80*2,05</t>
  </si>
  <si>
    <t>0,57*2,17+0,98*2,80+1,07*1,32+1,31*1,47+1,31*0,36+1,0*1,1+0,65*1,45+0,75*2,78+(0,65*1,12)*2</t>
  </si>
  <si>
    <t>0,57*2,15+0,98*2,75+1,07*1,30+1,31*1,45+1,31*0,36+1,0*1,1+0,65*1,40+0,75*2,70+(0,65*1,12)*2</t>
  </si>
  <si>
    <t>0,57*2,16+0,98*2,75+1,07*1,32+1,31*1,47+1,31*0,36+1,0*1,1+0,65*1,45+0,75*2,78+(0,65*1,12)*2</t>
  </si>
  <si>
    <t>1,31*1,6*2+1,0*0,75</t>
  </si>
  <si>
    <t>arkýř</t>
  </si>
  <si>
    <t>2,82*1,35</t>
  </si>
  <si>
    <t>2,66*1,24*4+3,815*1,34*3</t>
  </si>
  <si>
    <t>2,66*1,24+3,815*1,34</t>
  </si>
  <si>
    <t>otvory</t>
  </si>
  <si>
    <t>(1,51+4,23+0,425+11,670+7,875+1,5+3,375/2)*4</t>
  </si>
  <si>
    <t>23,415*1,5</t>
  </si>
  <si>
    <t>(14,115+0,405*2)*4</t>
  </si>
  <si>
    <t>4,45*4+(4,45+1,35*2)*4*2+4,45*4,5+4,45*3,5/2</t>
  </si>
  <si>
    <t>3,36*3,0+(2*3,0/2)*2</t>
  </si>
  <si>
    <t>(1,51+4,23+0,425+11,670+7,875)*4</t>
  </si>
  <si>
    <t>11,455*3</t>
  </si>
  <si>
    <t>(1,51+0,425+11,670+7,875)*4</t>
  </si>
  <si>
    <t>622423521R00</t>
  </si>
  <si>
    <t>Oprava vnějších omítek štukových, čl. III, do 50 %</t>
  </si>
  <si>
    <t>západní fasáda</t>
  </si>
  <si>
    <t>jižní fasáda</t>
  </si>
  <si>
    <t>západní fasáda přístavek</t>
  </si>
  <si>
    <t>0,95*8+0,7*2+1,0*2+1,05*4+0,65*2</t>
  </si>
  <si>
    <t>0,95+(0,5*2+0,95)*3</t>
  </si>
  <si>
    <t>0,51+0,95+1,0*2+1,31*2+0,65+1,3</t>
  </si>
  <si>
    <t>0,57+0,98+1,07+1,31*2+1,0+0,65+0,75+0,65*2</t>
  </si>
  <si>
    <t>1,31*2+1,0</t>
  </si>
  <si>
    <t>629451112R00</t>
  </si>
  <si>
    <t>Vyrovnávací vrstva pod klempířské prvky z MC š do 300 mm</t>
  </si>
  <si>
    <t>1,5+4,23+7,41</t>
  </si>
  <si>
    <t>1,52+0,53+1,04+0,425+11,670+4,34</t>
  </si>
  <si>
    <t>0,51+0,98+1,0*2+1,31*2+0,65+1,80+1,04*2+2,26</t>
  </si>
  <si>
    <t>11,67+1,5*5+1,5*4*1,3</t>
  </si>
  <si>
    <t>1,52+0,53+1,04+0,425+11,670+3,16+1,755+2,26+1,04*2+2,955+0,96*2</t>
  </si>
  <si>
    <t>11,67+2,26+1,04*2+2,955+0,96*2</t>
  </si>
  <si>
    <t>11,67*2+1,5*4+1,755+2,955+0,96*2</t>
  </si>
  <si>
    <t>(1,35*2+2,82)*5+(0,65+0,98)*2+4,5+1,2+6</t>
  </si>
  <si>
    <t>14,115+0,405*2+1,2*6+1,2*1,3*2</t>
  </si>
  <si>
    <t>998011003R00</t>
  </si>
  <si>
    <t>Přesun hmot pro budovy zděné výšky do 24 m</t>
  </si>
  <si>
    <t>2,26*3+2,955*3</t>
  </si>
  <si>
    <t>12,218*1,1</t>
  </si>
  <si>
    <t>15,645*0,1*1,1</t>
  </si>
  <si>
    <t>965081713R00</t>
  </si>
  <si>
    <t>Bourání dlaždic keramických tl. 1 cm, nad 1 m2</t>
  </si>
  <si>
    <t>dlazba vrchních balkónů</t>
  </si>
  <si>
    <t xml:space="preserve">    783 - Nátěry</t>
  </si>
  <si>
    <t>783904811R00</t>
  </si>
  <si>
    <t xml:space="preserve">Odrezivění kovových konstrukcí </t>
  </si>
  <si>
    <t>plocha zábradlí balkónů - 10 %</t>
  </si>
  <si>
    <t>plocha zábradlí balkónů - 50 %</t>
  </si>
  <si>
    <t>783225600R00</t>
  </si>
  <si>
    <t xml:space="preserve">Nátěr syntetický kovových konstrukcí 2x email </t>
  </si>
  <si>
    <t>((2,26+1,04*2)*2*3+(2,955+0,96*2)*2*3+(2,820+1,25*2)*2)*0,5</t>
  </si>
  <si>
    <t>((2,26+1,04*2)*2*3+(2,955+0,96*2)*2*3+(2,820+1,25*2)*2)*0,1</t>
  </si>
  <si>
    <t>998764103R00</t>
  </si>
  <si>
    <t>Přesun hmot pro klempířské konstr., výšky do 24 m</t>
  </si>
  <si>
    <t>23,417*1,5</t>
  </si>
  <si>
    <t>(1,56+6,67+2,65*2+3,065+1,83)*1,2+(0,52*2+1,05*2)*0,6</t>
  </si>
  <si>
    <t>23,994*0,2</t>
  </si>
  <si>
    <t>764554405R00</t>
  </si>
  <si>
    <t>Odpadní trouby z Ti Zn plechu, kruhové, D 200 mm</t>
  </si>
  <si>
    <t>nové umístění dvou svodů na západní fasádě</t>
  </si>
  <si>
    <t>16*2</t>
  </si>
  <si>
    <t>764259432R00</t>
  </si>
  <si>
    <t>Kotlík čtyřhran. pro žlaby Ti Zn 200 x 300 x 400mm</t>
  </si>
  <si>
    <t>764239230R00</t>
  </si>
  <si>
    <t xml:space="preserve">Lemování z Ti Zn plechu, hladké krytině, v ploše </t>
  </si>
  <si>
    <t xml:space="preserve">západní fasáda oplechování plochy u žlabů </t>
  </si>
  <si>
    <t>1,5*1,5/2*2</t>
  </si>
  <si>
    <t>764521430R00</t>
  </si>
  <si>
    <t>Oplechování říms z Ti Zn plechu, rš 200 mm</t>
  </si>
  <si>
    <t>západní fasáda oplechování střešní římsy u štítu</t>
  </si>
  <si>
    <t>3,5+3,3*2*1,3</t>
  </si>
  <si>
    <t>764454803R00</t>
  </si>
  <si>
    <t>Demontáž odpadních trub kruhových,do D 150 mm</t>
  </si>
  <si>
    <t>783521100RT1</t>
  </si>
  <si>
    <t>Nátěr syntetický klempíř. Konstrukcí, barva základní, antikorozní</t>
  </si>
  <si>
    <t>nátěr nových dešťopvých svodů  + kotlík</t>
  </si>
  <si>
    <t>3,14*0,2*15*2+0,4*0,3*4</t>
  </si>
  <si>
    <t>nátěr oplechování na západní fasádě</t>
  </si>
  <si>
    <t>nátěr oplechování římsky střechy západní fasáda</t>
  </si>
  <si>
    <t>12,08*0,2</t>
  </si>
  <si>
    <t>spojovací "krček"</t>
  </si>
  <si>
    <t>2,21*2,9+0,8*2,95*2+2,05*3,33+2,25*2,88</t>
  </si>
  <si>
    <t>(1,56+6,67+1,88*2+3,09+3,065+1,83)*4</t>
  </si>
  <si>
    <t xml:space="preserve">spojovací "krček" výměna poškozených desek" </t>
  </si>
  <si>
    <t>79,90+23,994</t>
  </si>
  <si>
    <t>2,21+0,8*2+2,05+2,25</t>
  </si>
  <si>
    <t>622422311R00</t>
  </si>
  <si>
    <t>Oprava vnějších omítek vápen. hladk. II, do 30 %</t>
  </si>
  <si>
    <t>132301202R00</t>
  </si>
  <si>
    <t xml:space="preserve">Hloubení rýh šířky do 200 cm v hor.4 do 1000 m3 </t>
  </si>
  <si>
    <t>Západní fasáda - obkopání podz. části objektu, 80% z celkového objemu</t>
  </si>
  <si>
    <t>(23,41*1,0*1,0)*0,8</t>
  </si>
  <si>
    <t>139601103R00</t>
  </si>
  <si>
    <t xml:space="preserve">Hloubení rýh šířky do 200 cm v hor.4 do 1000 m3 Ruční výkop jam, rýh a šachet v hornině tř. 4 </t>
  </si>
  <si>
    <t>m3</t>
  </si>
  <si>
    <t>Západní fasáda - obkopání podz. části objektu, 20% z celkového objemu</t>
  </si>
  <si>
    <t>(23,41*1,0*1,0)*0,2</t>
  </si>
  <si>
    <t xml:space="preserve">     1 - Zemní práce</t>
  </si>
  <si>
    <t>161101101R00</t>
  </si>
  <si>
    <t>Svislé přemístění výkopku z hor.1-4 do 2,5 m</t>
  </si>
  <si>
    <t>162201101R00</t>
  </si>
  <si>
    <t xml:space="preserve">Vodorovné přemístění výkopku z hor.1-4 do 20 m </t>
  </si>
  <si>
    <t>162701105R00</t>
  </si>
  <si>
    <t>162701109R00</t>
  </si>
  <si>
    <t xml:space="preserve">Vodorovné přemístění výkopku z hor.1-4 do 10000 m </t>
  </si>
  <si>
    <t xml:space="preserve">Příplatek k vod. přemístění hor.1-4 za další 1 km </t>
  </si>
  <si>
    <t>za dalších 16 km, celkem do 26 km</t>
  </si>
  <si>
    <t>odvoz přebytečného výkopku z rýhy nahrazeného štěrkem</t>
  </si>
  <si>
    <t>171201206U00</t>
  </si>
  <si>
    <t xml:space="preserve">Skládkovné - zeminy </t>
  </si>
  <si>
    <t>171201101R00</t>
  </si>
  <si>
    <t xml:space="preserve">Uložení sypaniny (štěrku) do rýh nezhutněných </t>
  </si>
  <si>
    <t>58344170</t>
  </si>
  <si>
    <t>Štěrkodrtě frakce 0-32 B</t>
  </si>
  <si>
    <t>23,417*2,5</t>
  </si>
  <si>
    <t>622421301R00</t>
  </si>
  <si>
    <t>Zateplovací systém polystyren XPS, tl. 30 mm</t>
  </si>
  <si>
    <t>622421131R00</t>
  </si>
  <si>
    <t>Omítka vnější stěn, MVC, hladká, složitost 1-2</t>
  </si>
  <si>
    <t>621142001</t>
  </si>
  <si>
    <t>Potažení vnějších podhledů sklovláknitým
pletivem vtlačeným do tenkovrstvé hmoty</t>
  </si>
  <si>
    <t>23,417*1,3*1,1</t>
  </si>
  <si>
    <t>západní fasáda přístavek + 10%</t>
  </si>
  <si>
    <t>711482020</t>
  </si>
  <si>
    <t>Nopová fólie, svisle včetně dodávky fólie a doplňků</t>
  </si>
  <si>
    <t xml:space="preserve">     5 - Komunikace</t>
  </si>
  <si>
    <t>597101010RAA</t>
  </si>
  <si>
    <t>Žlab odvodnovací polymerbeton, zatížení A 15 kN, včetně dodávky roštu a žlabu Aco-drain</t>
  </si>
  <si>
    <t>před vjezdem do garáže</t>
  </si>
  <si>
    <t>591050010RAA</t>
  </si>
  <si>
    <t>Komunikace z dlažby zámkové, podklad beton prostý, dlažba přírodní tloušťka 8 cm</t>
  </si>
  <si>
    <t>6,5*4,8</t>
  </si>
  <si>
    <t>drenážní vrstva pod betonem, 15 cm</t>
  </si>
  <si>
    <t>6,5*4,8*0,15*1,9</t>
  </si>
  <si>
    <t>6,5*3,8*0,15</t>
  </si>
  <si>
    <t>ztržení původní zpevněné pl. před vjezdem do garáže</t>
  </si>
  <si>
    <t>130900030RA0</t>
  </si>
  <si>
    <t>Bourání konstrukcí z asfaltu, v ploše</t>
  </si>
  <si>
    <t>Bourání konstrukcí z abetonu prostého, v ploše</t>
  </si>
  <si>
    <t>6,5*1,0*0,15</t>
  </si>
  <si>
    <t>130900032</t>
  </si>
  <si>
    <t>629995101.5</t>
  </si>
  <si>
    <t>Výměna krycích kamenných desek u schodiště, ve spádu</t>
  </si>
  <si>
    <t>1,6*2</t>
  </si>
  <si>
    <t>bourání keramických náběhů zídek u vchodu</t>
  </si>
  <si>
    <t>spojovací "krček" zadní dvůr</t>
  </si>
  <si>
    <t>10,59*4,6</t>
  </si>
  <si>
    <t>3,58*2,5*2</t>
  </si>
  <si>
    <t>partern Osborne</t>
  </si>
  <si>
    <t>16,58*4,6</t>
  </si>
  <si>
    <t>Penetrace PGU vnějších stěn 2x, nanášená ručně</t>
  </si>
  <si>
    <t>Mi092017</t>
  </si>
  <si>
    <t>09 2017</t>
  </si>
  <si>
    <t>lešení kotvené do fasády, vykonzolované ocelovým rámem na terén za objektem</t>
  </si>
  <si>
    <t>lešení kompletntě kotvené do fasády (nad střechou "krčku")</t>
  </si>
  <si>
    <t>včetně odstranění kotev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</si>
</sst>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0.000"/>
    <numFmt numFmtId="170" formatCode="[$-405]d\.\ mmmm\ yyyy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18"/>
      <color indexed="12"/>
      <name val="Wingdings 2"/>
      <family val="1"/>
    </font>
    <font>
      <u val="single"/>
      <sz val="8"/>
      <color indexed="36"/>
      <name val="Trebuchet MS"/>
      <family val="0"/>
    </font>
    <font>
      <sz val="8"/>
      <color indexed="61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7" fillId="32" borderId="17" xfId="0" applyFont="1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2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0" xfId="36" applyFont="1" applyAlignment="1">
      <alignment horizontal="center" vertical="center"/>
    </xf>
    <xf numFmtId="168" fontId="0" fillId="0" borderId="0" xfId="0" applyNumberFormat="1" applyFont="1" applyAlignment="1">
      <alignment horizontal="left" vertical="center"/>
    </xf>
    <xf numFmtId="49" fontId="0" fillId="0" borderId="33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169" fontId="28" fillId="0" borderId="0" xfId="0" applyNumberFormat="1" applyFont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2" fontId="18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69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168" fontId="29" fillId="0" borderId="0" xfId="0" applyNumberFormat="1" applyFont="1" applyFill="1" applyAlignment="1">
      <alignment horizontal="right" vertical="center"/>
    </xf>
    <xf numFmtId="49" fontId="0" fillId="0" borderId="33" xfId="0" applyNumberForma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69" fontId="32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7" fillId="32" borderId="36" xfId="0" applyFont="1" applyFill="1" applyBorder="1" applyAlignment="1">
      <alignment horizontal="left" vertical="center"/>
    </xf>
    <xf numFmtId="0" fontId="0" fillId="32" borderId="37" xfId="0" applyFill="1" applyBorder="1" applyAlignment="1">
      <alignment horizontal="left" vertical="center"/>
    </xf>
    <xf numFmtId="0" fontId="7" fillId="32" borderId="37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32" borderId="0" xfId="0" applyNumberFormat="1" applyFont="1" applyFill="1" applyAlignment="1">
      <alignment horizontal="right" vertical="center"/>
    </xf>
    <xf numFmtId="0" fontId="0" fillId="32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2" borderId="37" xfId="0" applyFont="1" applyFill="1" applyBorder="1" applyAlignment="1">
      <alignment horizontal="left" vertical="center"/>
    </xf>
    <xf numFmtId="0" fontId="0" fillId="32" borderId="37" xfId="0" applyFill="1" applyBorder="1" applyAlignment="1">
      <alignment horizontal="left" vertical="center"/>
    </xf>
    <xf numFmtId="164" fontId="7" fillId="32" borderId="37" xfId="0" applyNumberFormat="1" applyFont="1" applyFill="1" applyBorder="1" applyAlignment="1">
      <alignment horizontal="right" vertical="center"/>
    </xf>
    <xf numFmtId="0" fontId="0" fillId="32" borderId="38" xfId="0" applyFill="1" applyBorder="1" applyAlignment="1">
      <alignment horizontal="left" vertical="center"/>
    </xf>
    <xf numFmtId="0" fontId="6" fillId="32" borderId="17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center"/>
    </xf>
    <xf numFmtId="0" fontId="0" fillId="32" borderId="39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2" fontId="29" fillId="0" borderId="0" xfId="0" applyNumberFormat="1" applyFont="1" applyFill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29" fillId="0" borderId="0" xfId="0" applyNumberFormat="1" applyFont="1" applyAlignment="1">
      <alignment horizontal="left" vertical="center" wrapText="1"/>
    </xf>
    <xf numFmtId="2" fontId="29" fillId="0" borderId="0" xfId="0" applyNumberFormat="1" applyFont="1" applyAlignment="1">
      <alignment horizontal="left" vertical="center"/>
    </xf>
    <xf numFmtId="2" fontId="29" fillId="0" borderId="0" xfId="0" applyNumberFormat="1" applyFont="1" applyFill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 vertical="top"/>
    </xf>
    <xf numFmtId="0" fontId="6" fillId="32" borderId="31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7" fillId="32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164" fontId="0" fillId="0" borderId="30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0" fontId="32" fillId="0" borderId="31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zovaj\Documents\GroupWise\Oprava%20fas&#225;dy%20objektu%20Balmoral,%20Hlavn&#237;%20&#269;.p.%20390\Oprava%20fas&#225;dy%20-%20univerzita%20&#353;kola%20Karlova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Oprava fasády - položky"/>
      <sheetName val="Oprava kanalizace - položky"/>
    </sheetNames>
    <sheetDataSet>
      <sheetData sheetId="1">
        <row r="256">
          <cell r="K256">
            <v>30</v>
          </cell>
          <cell r="L256">
            <v>315.75</v>
          </cell>
          <cell r="N256">
            <v>9472.5</v>
          </cell>
          <cell r="U256" t="str">
            <v>snížená</v>
          </cell>
          <cell r="V256">
            <v>0.313</v>
          </cell>
          <cell r="X256">
            <v>0.00064</v>
          </cell>
          <cell r="Z2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92"/>
  <sheetViews>
    <sheetView showGridLines="0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" sqref="C3:AP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ht="13.5" customHeight="1"/>
    <row r="2" spans="2:72" ht="7.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 t="s">
        <v>2</v>
      </c>
      <c r="BT2" s="3" t="s">
        <v>3</v>
      </c>
    </row>
    <row r="3" spans="2:71" ht="37.5" customHeight="1">
      <c r="B3" s="7"/>
      <c r="C3" s="176" t="s">
        <v>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8"/>
      <c r="AR3" s="2"/>
      <c r="AS3" s="9" t="s">
        <v>5</v>
      </c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" t="s">
        <v>6</v>
      </c>
    </row>
    <row r="4" spans="2:71" ht="15" customHeight="1">
      <c r="B4" s="7"/>
      <c r="D4" s="10" t="s">
        <v>7</v>
      </c>
      <c r="K4" s="166" t="s">
        <v>391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Q4" s="8"/>
      <c r="AR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" t="s">
        <v>2</v>
      </c>
    </row>
    <row r="5" spans="2:71" ht="37.5" customHeight="1">
      <c r="B5" s="7"/>
      <c r="D5" s="12" t="s">
        <v>8</v>
      </c>
      <c r="K5" s="187" t="s">
        <v>182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Q5" s="8"/>
      <c r="AR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" t="s">
        <v>9</v>
      </c>
    </row>
    <row r="6" spans="2:71" ht="15" customHeight="1">
      <c r="B6" s="7"/>
      <c r="D6" s="13" t="s">
        <v>10</v>
      </c>
      <c r="K6" s="11"/>
      <c r="AK6" s="13" t="s">
        <v>11</v>
      </c>
      <c r="AN6" s="11"/>
      <c r="AQ6" s="8"/>
      <c r="AR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" t="s">
        <v>12</v>
      </c>
    </row>
    <row r="7" spans="2:71" ht="15" customHeight="1">
      <c r="B7" s="7"/>
      <c r="D7" s="13" t="s">
        <v>13</v>
      </c>
      <c r="K7" s="11" t="s">
        <v>14</v>
      </c>
      <c r="AK7" s="13" t="s">
        <v>15</v>
      </c>
      <c r="AN7" s="131" t="s">
        <v>392</v>
      </c>
      <c r="AQ7" s="8"/>
      <c r="AR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3" t="s">
        <v>16</v>
      </c>
    </row>
    <row r="8" spans="2:71" ht="15" customHeight="1">
      <c r="B8" s="7"/>
      <c r="AQ8" s="8"/>
      <c r="AR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3" t="s">
        <v>17</v>
      </c>
    </row>
    <row r="9" spans="2:71" ht="15" customHeight="1">
      <c r="B9" s="7"/>
      <c r="D9" s="13" t="s">
        <v>18</v>
      </c>
      <c r="AK9" s="13" t="s">
        <v>19</v>
      </c>
      <c r="AN9" s="11"/>
      <c r="AQ9" s="8"/>
      <c r="AR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3" t="s">
        <v>9</v>
      </c>
    </row>
    <row r="10" spans="2:71" ht="19.5" customHeight="1">
      <c r="B10" s="7"/>
      <c r="E10" s="11" t="s">
        <v>183</v>
      </c>
      <c r="AK10" s="13" t="s">
        <v>20</v>
      </c>
      <c r="AN10" s="11"/>
      <c r="AQ10" s="8"/>
      <c r="AR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3" t="s">
        <v>9</v>
      </c>
    </row>
    <row r="11" spans="2:71" ht="7.5" customHeight="1">
      <c r="B11" s="7"/>
      <c r="AQ11" s="8"/>
      <c r="AR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3" t="s">
        <v>9</v>
      </c>
    </row>
    <row r="12" spans="2:71" ht="15" customHeight="1">
      <c r="B12" s="7"/>
      <c r="D12" s="13" t="s">
        <v>21</v>
      </c>
      <c r="AK12" s="13" t="s">
        <v>19</v>
      </c>
      <c r="AN12" s="11"/>
      <c r="AQ12" s="8"/>
      <c r="AR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3" t="s">
        <v>9</v>
      </c>
    </row>
    <row r="13" spans="2:71" ht="15.75" customHeight="1">
      <c r="B13" s="7"/>
      <c r="E13" s="11" t="s">
        <v>22</v>
      </c>
      <c r="AK13" s="13" t="s">
        <v>20</v>
      </c>
      <c r="AN13" s="11"/>
      <c r="AQ13" s="8"/>
      <c r="AR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 t="s">
        <v>9</v>
      </c>
    </row>
    <row r="14" spans="2:71" ht="7.5" customHeight="1">
      <c r="B14" s="7"/>
      <c r="AQ14" s="8"/>
      <c r="AR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3" t="s">
        <v>1</v>
      </c>
    </row>
    <row r="15" spans="2:71" ht="15" customHeight="1">
      <c r="B15" s="7"/>
      <c r="D15" s="13" t="s">
        <v>23</v>
      </c>
      <c r="AK15" s="13" t="s">
        <v>19</v>
      </c>
      <c r="AN15" s="11"/>
      <c r="AQ15" s="8"/>
      <c r="AR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3" t="s">
        <v>1</v>
      </c>
    </row>
    <row r="16" spans="2:71" ht="19.5" customHeight="1">
      <c r="B16" s="7"/>
      <c r="E16" s="11" t="s">
        <v>168</v>
      </c>
      <c r="AK16" s="13" t="s">
        <v>20</v>
      </c>
      <c r="AN16" s="11"/>
      <c r="AQ16" s="8"/>
      <c r="AR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3" t="s">
        <v>24</v>
      </c>
    </row>
    <row r="17" spans="2:71" ht="7.5" customHeight="1">
      <c r="B17" s="7"/>
      <c r="AQ17" s="8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" t="s">
        <v>2</v>
      </c>
    </row>
    <row r="18" spans="2:71" ht="15" customHeight="1">
      <c r="B18" s="7"/>
      <c r="D18" s="13" t="s">
        <v>25</v>
      </c>
      <c r="AK18" s="13" t="s">
        <v>19</v>
      </c>
      <c r="AN18" s="11"/>
      <c r="AQ18" s="8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3" t="s">
        <v>2</v>
      </c>
    </row>
    <row r="19" spans="2:70" ht="15.75" customHeight="1">
      <c r="B19" s="7"/>
      <c r="E19" s="11" t="str">
        <f>E16</f>
        <v>Ing. arch. Miroslav Míka, MARKANT, Franze Kafky 835. Mariánské Lázně</v>
      </c>
      <c r="AK19" s="13" t="s">
        <v>20</v>
      </c>
      <c r="AN19" s="11"/>
      <c r="AQ19" s="8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2:70" ht="7.5" customHeight="1">
      <c r="B20" s="7"/>
      <c r="AQ20" s="8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15.75" customHeight="1">
      <c r="B21" s="7"/>
      <c r="D21" s="13" t="s">
        <v>26</v>
      </c>
      <c r="AQ21" s="8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.75" customHeight="1">
      <c r="B22" s="7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Q22" s="8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7.5" customHeight="1">
      <c r="B23" s="7"/>
      <c r="AQ23" s="8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Q24" s="8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15" customHeight="1">
      <c r="B25" s="7"/>
      <c r="D25" s="15" t="s">
        <v>27</v>
      </c>
      <c r="AK25" s="184">
        <f>AG86</f>
        <v>0</v>
      </c>
      <c r="AL25" s="185"/>
      <c r="AM25" s="185"/>
      <c r="AN25" s="185"/>
      <c r="AO25" s="185"/>
      <c r="AQ25" s="8"/>
      <c r="AR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7"/>
      <c r="D26" s="15" t="s">
        <v>28</v>
      </c>
      <c r="AK26" s="186">
        <f>'Oprava fasády - položky'!AD27</f>
        <v>0</v>
      </c>
      <c r="AL26" s="183"/>
      <c r="AM26" s="183"/>
      <c r="AN26" s="183"/>
      <c r="AO26" s="183"/>
      <c r="AQ26" s="8"/>
      <c r="AR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43" s="3" customFormat="1" ht="7.5" customHeight="1">
      <c r="B27" s="16"/>
      <c r="AQ27" s="17"/>
    </row>
    <row r="28" spans="2:43" s="3" customFormat="1" ht="27" customHeight="1">
      <c r="B28" s="16"/>
      <c r="D28" s="18" t="s">
        <v>29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80">
        <f>ROUND($AK$25+$AK$26,2)</f>
        <v>0</v>
      </c>
      <c r="AL28" s="181"/>
      <c r="AM28" s="181"/>
      <c r="AN28" s="181"/>
      <c r="AO28" s="181"/>
      <c r="AQ28" s="17"/>
    </row>
    <row r="29" spans="2:43" s="3" customFormat="1" ht="7.5" customHeight="1">
      <c r="B29" s="16"/>
      <c r="AQ29" s="17"/>
    </row>
    <row r="30" spans="2:43" s="3" customFormat="1" ht="15" customHeight="1">
      <c r="B30" s="20"/>
      <c r="D30" s="21" t="s">
        <v>30</v>
      </c>
      <c r="F30" s="21" t="s">
        <v>31</v>
      </c>
      <c r="L30" s="177">
        <v>0.21</v>
      </c>
      <c r="M30" s="178"/>
      <c r="N30" s="178"/>
      <c r="O30" s="178"/>
      <c r="T30" s="23" t="s">
        <v>32</v>
      </c>
      <c r="W30" s="179">
        <f>AK28</f>
        <v>0</v>
      </c>
      <c r="X30" s="178"/>
      <c r="Y30" s="178"/>
      <c r="Z30" s="178"/>
      <c r="AA30" s="178"/>
      <c r="AB30" s="178"/>
      <c r="AC30" s="178"/>
      <c r="AD30" s="178"/>
      <c r="AE30" s="178"/>
      <c r="AK30" s="179">
        <f>W30/100*21</f>
        <v>0</v>
      </c>
      <c r="AL30" s="178"/>
      <c r="AM30" s="178"/>
      <c r="AN30" s="178"/>
      <c r="AO30" s="178"/>
      <c r="AQ30" s="24"/>
    </row>
    <row r="31" spans="2:43" s="3" customFormat="1" ht="15" customHeight="1">
      <c r="B31" s="20"/>
      <c r="F31" s="21" t="s">
        <v>33</v>
      </c>
      <c r="L31" s="177">
        <v>0.15</v>
      </c>
      <c r="M31" s="178"/>
      <c r="N31" s="178"/>
      <c r="O31" s="178"/>
      <c r="T31" s="23" t="s">
        <v>32</v>
      </c>
      <c r="W31" s="179">
        <v>0</v>
      </c>
      <c r="X31" s="178"/>
      <c r="Y31" s="178"/>
      <c r="Z31" s="178"/>
      <c r="AA31" s="178"/>
      <c r="AB31" s="178"/>
      <c r="AC31" s="178"/>
      <c r="AD31" s="178"/>
      <c r="AE31" s="178"/>
      <c r="AK31" s="179">
        <f>W31/100*15</f>
        <v>0</v>
      </c>
      <c r="AL31" s="178"/>
      <c r="AM31" s="178"/>
      <c r="AN31" s="178"/>
      <c r="AO31" s="178"/>
      <c r="AQ31" s="24"/>
    </row>
    <row r="32" spans="2:43" s="3" customFormat="1" ht="15" customHeight="1" hidden="1">
      <c r="B32" s="20"/>
      <c r="F32" s="21" t="s">
        <v>34</v>
      </c>
      <c r="L32" s="177">
        <v>0.21</v>
      </c>
      <c r="M32" s="178"/>
      <c r="N32" s="178"/>
      <c r="O32" s="178"/>
      <c r="T32" s="23" t="s">
        <v>32</v>
      </c>
      <c r="W32" s="179" t="e">
        <f>ROUND($BB$86+SUM($CF$90:$CF$90),2)</f>
        <v>#REF!</v>
      </c>
      <c r="X32" s="178"/>
      <c r="Y32" s="178"/>
      <c r="Z32" s="178"/>
      <c r="AA32" s="178"/>
      <c r="AB32" s="178"/>
      <c r="AC32" s="178"/>
      <c r="AD32" s="178"/>
      <c r="AE32" s="178"/>
      <c r="AK32" s="179">
        <v>0</v>
      </c>
      <c r="AL32" s="178"/>
      <c r="AM32" s="178"/>
      <c r="AN32" s="178"/>
      <c r="AO32" s="178"/>
      <c r="AQ32" s="24"/>
    </row>
    <row r="33" spans="2:43" s="3" customFormat="1" ht="15" customHeight="1" hidden="1">
      <c r="B33" s="20"/>
      <c r="F33" s="21" t="s">
        <v>35</v>
      </c>
      <c r="L33" s="177">
        <v>0.15</v>
      </c>
      <c r="M33" s="178"/>
      <c r="N33" s="178"/>
      <c r="O33" s="178"/>
      <c r="T33" s="23" t="s">
        <v>32</v>
      </c>
      <c r="W33" s="179" t="e">
        <f>ROUND($BC$86+SUM($CG$90:$CG$90),2)</f>
        <v>#REF!</v>
      </c>
      <c r="X33" s="178"/>
      <c r="Y33" s="178"/>
      <c r="Z33" s="178"/>
      <c r="AA33" s="178"/>
      <c r="AB33" s="178"/>
      <c r="AC33" s="178"/>
      <c r="AD33" s="178"/>
      <c r="AE33" s="178"/>
      <c r="AK33" s="179">
        <v>0</v>
      </c>
      <c r="AL33" s="178"/>
      <c r="AM33" s="178"/>
      <c r="AN33" s="178"/>
      <c r="AO33" s="178"/>
      <c r="AQ33" s="24"/>
    </row>
    <row r="34" spans="2:43" s="3" customFormat="1" ht="15" customHeight="1" hidden="1">
      <c r="B34" s="20"/>
      <c r="F34" s="21" t="s">
        <v>36</v>
      </c>
      <c r="L34" s="177">
        <v>0</v>
      </c>
      <c r="M34" s="178"/>
      <c r="N34" s="178"/>
      <c r="O34" s="178"/>
      <c r="T34" s="23" t="s">
        <v>32</v>
      </c>
      <c r="W34" s="179" t="e">
        <f>ROUND($BD$86+SUM($CH$90:$CH$90),2)</f>
        <v>#REF!</v>
      </c>
      <c r="X34" s="178"/>
      <c r="Y34" s="178"/>
      <c r="Z34" s="178"/>
      <c r="AA34" s="178"/>
      <c r="AB34" s="178"/>
      <c r="AC34" s="178"/>
      <c r="AD34" s="178"/>
      <c r="AE34" s="178"/>
      <c r="AK34" s="179">
        <v>0</v>
      </c>
      <c r="AL34" s="178"/>
      <c r="AM34" s="178"/>
      <c r="AN34" s="178"/>
      <c r="AO34" s="178"/>
      <c r="AQ34" s="24"/>
    </row>
    <row r="35" spans="2:43" s="3" customFormat="1" ht="7.5" customHeight="1">
      <c r="B35" s="16"/>
      <c r="AQ35" s="17"/>
    </row>
    <row r="36" spans="2:43" s="3" customFormat="1" ht="27" customHeight="1">
      <c r="B36" s="16"/>
      <c r="C36" s="149"/>
      <c r="D36" s="150" t="s">
        <v>37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2" t="s">
        <v>38</v>
      </c>
      <c r="U36" s="151"/>
      <c r="V36" s="151"/>
      <c r="W36" s="151"/>
      <c r="X36" s="167" t="s">
        <v>39</v>
      </c>
      <c r="Y36" s="168"/>
      <c r="Z36" s="168"/>
      <c r="AA36" s="168"/>
      <c r="AB36" s="168"/>
      <c r="AC36" s="151"/>
      <c r="AD36" s="151"/>
      <c r="AE36" s="151"/>
      <c r="AF36" s="151"/>
      <c r="AG36" s="151"/>
      <c r="AH36" s="151"/>
      <c r="AI36" s="151"/>
      <c r="AJ36" s="151"/>
      <c r="AK36" s="169">
        <f>SUM($AK$28:$AK$34)</f>
        <v>0</v>
      </c>
      <c r="AL36" s="168"/>
      <c r="AM36" s="168"/>
      <c r="AN36" s="168"/>
      <c r="AO36" s="170"/>
      <c r="AP36" s="149"/>
      <c r="AQ36" s="17"/>
    </row>
    <row r="37" spans="2:43" s="3" customFormat="1" ht="15" customHeight="1">
      <c r="B37" s="16"/>
      <c r="AQ37" s="17"/>
    </row>
    <row r="38" spans="2:43" s="2" customFormat="1" ht="14.25" customHeight="1">
      <c r="B38" s="7"/>
      <c r="AQ38" s="8"/>
    </row>
    <row r="39" spans="2:43" s="2" customFormat="1" ht="14.25" customHeight="1">
      <c r="B39" s="7"/>
      <c r="AQ39" s="8"/>
    </row>
    <row r="40" spans="2:43" s="2" customFormat="1" ht="14.25" customHeight="1">
      <c r="B40" s="7"/>
      <c r="AQ40" s="8"/>
    </row>
    <row r="41" spans="2:43" s="2" customFormat="1" ht="14.25" customHeight="1">
      <c r="B41" s="7"/>
      <c r="AQ41" s="8"/>
    </row>
    <row r="42" spans="2:43" s="2" customFormat="1" ht="14.25" customHeight="1">
      <c r="B42" s="7"/>
      <c r="AQ42" s="8"/>
    </row>
    <row r="43" spans="2:43" s="2" customFormat="1" ht="14.25" customHeight="1">
      <c r="B43" s="7"/>
      <c r="AQ43" s="8"/>
    </row>
    <row r="44" spans="2:43" s="2" customFormat="1" ht="14.25" customHeight="1">
      <c r="B44" s="7"/>
      <c r="AQ44" s="8"/>
    </row>
    <row r="45" spans="2:43" s="2" customFormat="1" ht="14.25" customHeight="1">
      <c r="B45" s="7"/>
      <c r="AQ45" s="8"/>
    </row>
    <row r="46" spans="2:43" s="2" customFormat="1" ht="14.25" customHeight="1">
      <c r="B46" s="7"/>
      <c r="AQ46" s="8"/>
    </row>
    <row r="47" spans="2:43" s="2" customFormat="1" ht="14.25" customHeight="1">
      <c r="B47" s="7"/>
      <c r="AQ47" s="8"/>
    </row>
    <row r="48" spans="2:43" s="3" customFormat="1" ht="15.75" customHeight="1">
      <c r="B48" s="16"/>
      <c r="D48" s="29" t="s">
        <v>40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C48" s="29" t="s">
        <v>41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  <c r="AQ48" s="17"/>
    </row>
    <row r="49" spans="2:43" s="2" customFormat="1" ht="14.25" customHeight="1">
      <c r="B49" s="7"/>
      <c r="D49" s="32"/>
      <c r="Z49" s="33"/>
      <c r="AC49" s="32"/>
      <c r="AO49" s="33"/>
      <c r="AQ49" s="8"/>
    </row>
    <row r="50" spans="2:43" s="2" customFormat="1" ht="14.25" customHeight="1">
      <c r="B50" s="7"/>
      <c r="D50" s="32"/>
      <c r="Z50" s="33"/>
      <c r="AC50" s="32"/>
      <c r="AO50" s="33"/>
      <c r="AQ50" s="8"/>
    </row>
    <row r="51" spans="2:43" s="2" customFormat="1" ht="14.25" customHeight="1">
      <c r="B51" s="7"/>
      <c r="D51" s="32"/>
      <c r="Z51" s="33"/>
      <c r="AC51" s="32"/>
      <c r="AO51" s="33"/>
      <c r="AQ51" s="8"/>
    </row>
    <row r="52" spans="2:43" s="2" customFormat="1" ht="14.25" customHeight="1">
      <c r="B52" s="7"/>
      <c r="D52" s="32"/>
      <c r="Z52" s="33"/>
      <c r="AC52" s="32"/>
      <c r="AO52" s="33"/>
      <c r="AQ52" s="8"/>
    </row>
    <row r="53" spans="2:43" s="2" customFormat="1" ht="14.25" customHeight="1">
      <c r="B53" s="7"/>
      <c r="D53" s="32"/>
      <c r="Z53" s="33"/>
      <c r="AC53" s="32"/>
      <c r="AO53" s="33"/>
      <c r="AQ53" s="8"/>
    </row>
    <row r="54" spans="2:43" s="2" customFormat="1" ht="14.25" customHeight="1">
      <c r="B54" s="7"/>
      <c r="D54" s="32"/>
      <c r="Z54" s="33"/>
      <c r="AC54" s="32"/>
      <c r="AO54" s="33"/>
      <c r="AQ54" s="8"/>
    </row>
    <row r="55" spans="2:43" s="2" customFormat="1" ht="14.25" customHeight="1">
      <c r="B55" s="7"/>
      <c r="D55" s="32"/>
      <c r="Z55" s="33"/>
      <c r="AC55" s="32"/>
      <c r="AO55" s="33"/>
      <c r="AQ55" s="8"/>
    </row>
    <row r="56" spans="2:43" s="2" customFormat="1" ht="14.25" customHeight="1">
      <c r="B56" s="7"/>
      <c r="D56" s="32"/>
      <c r="Z56" s="33"/>
      <c r="AC56" s="32"/>
      <c r="AO56" s="33"/>
      <c r="AQ56" s="8"/>
    </row>
    <row r="57" spans="2:43" s="3" customFormat="1" ht="15.75" customHeight="1">
      <c r="B57" s="16"/>
      <c r="D57" s="34" t="s">
        <v>42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 t="s">
        <v>43</v>
      </c>
      <c r="S57" s="35"/>
      <c r="T57" s="35"/>
      <c r="U57" s="35"/>
      <c r="V57" s="35"/>
      <c r="W57" s="35"/>
      <c r="X57" s="35"/>
      <c r="Y57" s="35"/>
      <c r="Z57" s="37"/>
      <c r="AC57" s="34" t="s">
        <v>42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6" t="s">
        <v>43</v>
      </c>
      <c r="AN57" s="35"/>
      <c r="AO57" s="37"/>
      <c r="AQ57" s="17"/>
    </row>
    <row r="58" spans="2:43" s="2" customFormat="1" ht="14.25" customHeight="1">
      <c r="B58" s="7"/>
      <c r="AQ58" s="8"/>
    </row>
    <row r="59" spans="2:43" s="3" customFormat="1" ht="15.75" customHeight="1">
      <c r="B59" s="16"/>
      <c r="D59" s="29" t="s">
        <v>44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C59" s="29" t="s">
        <v>45</v>
      </c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1"/>
      <c r="AQ59" s="17"/>
    </row>
    <row r="60" spans="2:43" s="2" customFormat="1" ht="14.25" customHeight="1">
      <c r="B60" s="7"/>
      <c r="D60" s="32"/>
      <c r="Z60" s="33"/>
      <c r="AC60" s="32"/>
      <c r="AO60" s="33"/>
      <c r="AQ60" s="8"/>
    </row>
    <row r="61" spans="2:43" s="2" customFormat="1" ht="14.25" customHeight="1">
      <c r="B61" s="7"/>
      <c r="D61" s="32"/>
      <c r="Z61" s="33"/>
      <c r="AC61" s="32"/>
      <c r="AO61" s="33"/>
      <c r="AQ61" s="8"/>
    </row>
    <row r="62" spans="2:43" s="2" customFormat="1" ht="14.25" customHeight="1">
      <c r="B62" s="7"/>
      <c r="D62" s="32"/>
      <c r="Z62" s="33"/>
      <c r="AC62" s="32"/>
      <c r="AO62" s="33"/>
      <c r="AQ62" s="8"/>
    </row>
    <row r="63" spans="2:43" s="2" customFormat="1" ht="14.25" customHeight="1">
      <c r="B63" s="7"/>
      <c r="D63" s="32"/>
      <c r="Z63" s="33"/>
      <c r="AC63" s="32"/>
      <c r="AO63" s="33"/>
      <c r="AQ63" s="8"/>
    </row>
    <row r="64" spans="2:43" s="2" customFormat="1" ht="14.25" customHeight="1">
      <c r="B64" s="7"/>
      <c r="D64" s="32"/>
      <c r="Z64" s="33"/>
      <c r="AC64" s="32"/>
      <c r="AO64" s="33"/>
      <c r="AQ64" s="8"/>
    </row>
    <row r="65" spans="2:43" s="2" customFormat="1" ht="14.25" customHeight="1">
      <c r="B65" s="7"/>
      <c r="D65" s="32"/>
      <c r="Z65" s="33"/>
      <c r="AC65" s="32"/>
      <c r="AO65" s="33"/>
      <c r="AQ65" s="8"/>
    </row>
    <row r="66" spans="2:43" s="2" customFormat="1" ht="14.25" customHeight="1">
      <c r="B66" s="7"/>
      <c r="D66" s="32"/>
      <c r="Z66" s="33"/>
      <c r="AC66" s="32"/>
      <c r="AO66" s="33"/>
      <c r="AQ66" s="8"/>
    </row>
    <row r="67" spans="2:43" s="2" customFormat="1" ht="14.25" customHeight="1">
      <c r="B67" s="7"/>
      <c r="D67" s="32"/>
      <c r="Z67" s="33"/>
      <c r="AC67" s="32"/>
      <c r="AO67" s="33"/>
      <c r="AQ67" s="8"/>
    </row>
    <row r="68" spans="2:43" s="3" customFormat="1" ht="15.75" customHeight="1">
      <c r="B68" s="16"/>
      <c r="D68" s="34" t="s">
        <v>42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 t="s">
        <v>43</v>
      </c>
      <c r="S68" s="35"/>
      <c r="T68" s="35"/>
      <c r="U68" s="35"/>
      <c r="V68" s="35"/>
      <c r="W68" s="35"/>
      <c r="X68" s="35"/>
      <c r="Y68" s="35"/>
      <c r="Z68" s="37"/>
      <c r="AC68" s="34" t="s">
        <v>42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6" t="s">
        <v>43</v>
      </c>
      <c r="AN68" s="35"/>
      <c r="AO68" s="37"/>
      <c r="AQ68" s="17"/>
    </row>
    <row r="69" spans="2:43" s="3" customFormat="1" ht="7.5" customHeight="1">
      <c r="B69" s="16"/>
      <c r="AQ69" s="17"/>
    </row>
    <row r="70" spans="2:43" s="3" customFormat="1" ht="7.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4" spans="2:43" s="3" customFormat="1" ht="7.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3"/>
    </row>
    <row r="75" spans="2:43" s="3" customFormat="1" ht="37.5" customHeight="1">
      <c r="B75" s="16"/>
      <c r="C75" s="176" t="s">
        <v>46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7"/>
    </row>
    <row r="76" spans="2:43" s="11" customFormat="1" ht="15" customHeight="1">
      <c r="B76" s="44"/>
      <c r="C76" s="13" t="s">
        <v>7</v>
      </c>
      <c r="L76" s="11" t="str">
        <f>$K$4</f>
        <v>Mi092017</v>
      </c>
      <c r="AQ76" s="45"/>
    </row>
    <row r="77" spans="2:43" s="46" customFormat="1" ht="37.5" customHeight="1">
      <c r="B77" s="47"/>
      <c r="C77" s="46" t="s">
        <v>8</v>
      </c>
      <c r="L77" s="175" t="str">
        <f>$K$5</f>
        <v>Oprava fasády objektu BALMORAL, č.p. 390, ulice Hlavní, Mariánské Lázně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Q77" s="48"/>
    </row>
    <row r="78" spans="2:43" s="3" customFormat="1" ht="7.5" customHeight="1">
      <c r="B78" s="16"/>
      <c r="AQ78" s="17"/>
    </row>
    <row r="79" spans="2:43" s="3" customFormat="1" ht="15.75" customHeight="1">
      <c r="B79" s="16"/>
      <c r="C79" s="13" t="s">
        <v>13</v>
      </c>
      <c r="L79" s="49" t="str">
        <f>IF($K$7="","",$K$7)</f>
        <v> </v>
      </c>
      <c r="AI79" s="13" t="s">
        <v>15</v>
      </c>
      <c r="AM79" s="50" t="str">
        <f>IF($AN$7="","",$AN$7)</f>
        <v>09 2017</v>
      </c>
      <c r="AQ79" s="17"/>
    </row>
    <row r="80" spans="2:43" s="3" customFormat="1" ht="7.5" customHeight="1">
      <c r="B80" s="16"/>
      <c r="AQ80" s="17"/>
    </row>
    <row r="81" spans="2:56" s="3" customFormat="1" ht="18.75" customHeight="1">
      <c r="B81" s="16"/>
      <c r="C81" s="13" t="s">
        <v>18</v>
      </c>
      <c r="L81" s="11" t="str">
        <f>IF($E$10="","",$E$10)</f>
        <v>Univerzita Karlova v Praze, ÚJOP - Hlavní 390, Mar. Lázně</v>
      </c>
      <c r="AI81" s="13" t="s">
        <v>23</v>
      </c>
      <c r="AM81" s="166" t="str">
        <f>IF($E$16="","",$E$16)</f>
        <v>Ing. arch. Miroslav Míka, MARKANT, Franze Kafky 835. Mariánské Lázně</v>
      </c>
      <c r="AN81" s="154"/>
      <c r="AO81" s="154"/>
      <c r="AP81" s="154"/>
      <c r="AQ81" s="17"/>
      <c r="AS81" s="163" t="s">
        <v>47</v>
      </c>
      <c r="AT81" s="164"/>
      <c r="AU81" s="30"/>
      <c r="AV81" s="30"/>
      <c r="AW81" s="30"/>
      <c r="AX81" s="30"/>
      <c r="AY81" s="30"/>
      <c r="AZ81" s="30"/>
      <c r="BA81" s="30"/>
      <c r="BB81" s="30"/>
      <c r="BC81" s="30"/>
      <c r="BD81" s="31"/>
    </row>
    <row r="82" spans="2:56" s="3" customFormat="1" ht="15.75" customHeight="1">
      <c r="B82" s="16"/>
      <c r="C82" s="13" t="s">
        <v>21</v>
      </c>
      <c r="L82" s="11" t="str">
        <f>IF($E$13="","",$E$13)</f>
        <v>výběrové řízení</v>
      </c>
      <c r="AI82" s="13" t="s">
        <v>25</v>
      </c>
      <c r="AM82" s="166" t="str">
        <f>IF($E$19="","",$E$19)</f>
        <v>Ing. arch. Miroslav Míka, MARKANT, Franze Kafky 835. Mariánské Lázně</v>
      </c>
      <c r="AN82" s="154"/>
      <c r="AO82" s="154"/>
      <c r="AP82" s="154"/>
      <c r="AQ82" s="17"/>
      <c r="AS82" s="165"/>
      <c r="AT82" s="154"/>
      <c r="BD82" s="51"/>
    </row>
    <row r="83" spans="2:56" s="3" customFormat="1" ht="12" customHeight="1">
      <c r="B83" s="16"/>
      <c r="AQ83" s="17"/>
      <c r="AS83" s="165"/>
      <c r="AT83" s="154"/>
      <c r="BD83" s="51"/>
    </row>
    <row r="84" spans="2:57" s="3" customFormat="1" ht="30" customHeight="1">
      <c r="B84" s="16"/>
      <c r="C84" s="171" t="s">
        <v>48</v>
      </c>
      <c r="D84" s="172"/>
      <c r="E84" s="172"/>
      <c r="F84" s="172"/>
      <c r="G84" s="172"/>
      <c r="H84" s="27"/>
      <c r="I84" s="173" t="s">
        <v>49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3" t="s">
        <v>50</v>
      </c>
      <c r="AH84" s="172"/>
      <c r="AI84" s="172"/>
      <c r="AJ84" s="172"/>
      <c r="AK84" s="172"/>
      <c r="AL84" s="172"/>
      <c r="AM84" s="172"/>
      <c r="AN84" s="173" t="s">
        <v>51</v>
      </c>
      <c r="AO84" s="172"/>
      <c r="AP84" s="174"/>
      <c r="AQ84" s="17"/>
      <c r="AS84" s="52" t="s">
        <v>52</v>
      </c>
      <c r="AT84" s="53" t="s">
        <v>53</v>
      </c>
      <c r="AU84" s="53" t="s">
        <v>54</v>
      </c>
      <c r="AV84" s="53" t="s">
        <v>55</v>
      </c>
      <c r="AW84" s="53" t="s">
        <v>56</v>
      </c>
      <c r="AX84" s="53" t="s">
        <v>57</v>
      </c>
      <c r="AY84" s="53" t="s">
        <v>58</v>
      </c>
      <c r="AZ84" s="53" t="s">
        <v>59</v>
      </c>
      <c r="BA84" s="53" t="s">
        <v>60</v>
      </c>
      <c r="BB84" s="53" t="s">
        <v>61</v>
      </c>
      <c r="BC84" s="53" t="s">
        <v>62</v>
      </c>
      <c r="BD84" s="54" t="s">
        <v>63</v>
      </c>
      <c r="BE84" s="55"/>
    </row>
    <row r="85" spans="2:56" s="3" customFormat="1" ht="12" customHeight="1">
      <c r="B85" s="16"/>
      <c r="AQ85" s="17"/>
      <c r="AS85" s="56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1"/>
    </row>
    <row r="86" spans="2:76" s="46" customFormat="1" ht="33" customHeight="1">
      <c r="B86" s="47"/>
      <c r="C86" s="57" t="s">
        <v>64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153">
        <f>'Oprava fasády - položky'!AD26</f>
        <v>0</v>
      </c>
      <c r="AH86" s="162"/>
      <c r="AI86" s="162"/>
      <c r="AJ86" s="162"/>
      <c r="AK86" s="162"/>
      <c r="AL86" s="162"/>
      <c r="AM86" s="162"/>
      <c r="AN86" s="153">
        <f>AG86*1.21</f>
        <v>0</v>
      </c>
      <c r="AO86" s="162"/>
      <c r="AP86" s="162"/>
      <c r="AQ86" s="48"/>
      <c r="AS86" s="58">
        <f>ROUND(SUM($AS$87:$AS$87),2)</f>
        <v>0</v>
      </c>
      <c r="AT86" s="59">
        <f>ROUND(SUM($AV$86:$AW$86),2)</f>
        <v>0</v>
      </c>
      <c r="AU86" s="60" t="e">
        <f>ROUND(SUM($AU$87:$AU$87),5)</f>
        <v>#REF!</v>
      </c>
      <c r="AV86" s="59">
        <f>ROUND($AZ$86*$L$30,2)</f>
        <v>0</v>
      </c>
      <c r="AW86" s="59">
        <f>ROUND($BA$86*$L$31,2)</f>
        <v>0</v>
      </c>
      <c r="AX86" s="59" t="e">
        <f>ROUND($BB$86*$L$30,2)</f>
        <v>#REF!</v>
      </c>
      <c r="AY86" s="59" t="e">
        <f>ROUND($BC$86*$L$31,2)</f>
        <v>#REF!</v>
      </c>
      <c r="AZ86" s="59">
        <f>ROUND(SUM($AZ$87:$AZ$87),2)</f>
        <v>0</v>
      </c>
      <c r="BA86" s="59">
        <f>ROUND(SUM($BA$87:$BA$87),2)</f>
        <v>0</v>
      </c>
      <c r="BB86" s="59" t="e">
        <f>ROUND(SUM($BB$87:$BB$87),2)</f>
        <v>#REF!</v>
      </c>
      <c r="BC86" s="59" t="e">
        <f>ROUND(SUM($BC$87:$BC$87),2)</f>
        <v>#REF!</v>
      </c>
      <c r="BD86" s="61" t="e">
        <f>ROUND(SUM($BD$87:$BD$87),2)</f>
        <v>#REF!</v>
      </c>
      <c r="BS86" s="46" t="s">
        <v>65</v>
      </c>
      <c r="BT86" s="46" t="s">
        <v>66</v>
      </c>
      <c r="BU86" s="62" t="s">
        <v>67</v>
      </c>
      <c r="BV86" s="46" t="s">
        <v>68</v>
      </c>
      <c r="BW86" s="46" t="s">
        <v>69</v>
      </c>
      <c r="BX86" s="46" t="s">
        <v>70</v>
      </c>
    </row>
    <row r="87" spans="1:76" s="63" customFormat="1" ht="28.5" customHeight="1">
      <c r="A87" s="128" t="s">
        <v>0</v>
      </c>
      <c r="B87" s="64"/>
      <c r="C87" s="65"/>
      <c r="D87" s="160"/>
      <c r="E87" s="161"/>
      <c r="F87" s="161"/>
      <c r="G87" s="161"/>
      <c r="H87" s="161"/>
      <c r="I87" s="65"/>
      <c r="J87" s="160" t="s">
        <v>169</v>
      </c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58">
        <f>AG86</f>
        <v>0</v>
      </c>
      <c r="AH87" s="159"/>
      <c r="AI87" s="159"/>
      <c r="AJ87" s="159"/>
      <c r="AK87" s="159"/>
      <c r="AL87" s="159"/>
      <c r="AM87" s="159"/>
      <c r="AN87" s="158">
        <f>AG87*1.21</f>
        <v>0</v>
      </c>
      <c r="AO87" s="159"/>
      <c r="AP87" s="159"/>
      <c r="AQ87" s="66"/>
      <c r="AS87" s="67">
        <f>'Oprava fasády - položky'!$M$27</f>
        <v>0</v>
      </c>
      <c r="AT87" s="68">
        <f>ROUND(SUM($AV$87:$AW$87),2)</f>
        <v>0</v>
      </c>
      <c r="AU87" s="69" t="e">
        <f>'Oprava fasády - položky'!$W$113</f>
        <v>#REF!</v>
      </c>
      <c r="AV87" s="68">
        <f>'Oprava fasády - položky'!$M$31</f>
        <v>0</v>
      </c>
      <c r="AW87" s="68">
        <f>'Oprava fasády - položky'!$M$32</f>
        <v>0</v>
      </c>
      <c r="AX87" s="68">
        <f>'Oprava fasády - položky'!$M$33</f>
        <v>0</v>
      </c>
      <c r="AY87" s="68">
        <f>'Oprava fasády - položky'!$M$34</f>
        <v>0</v>
      </c>
      <c r="AZ87" s="68">
        <f>'Oprava fasády - položky'!$H$31</f>
        <v>0</v>
      </c>
      <c r="BA87" s="68">
        <f>'Oprava fasády - položky'!$H$32</f>
        <v>0</v>
      </c>
      <c r="BB87" s="68" t="e">
        <f>'Oprava fasády - položky'!$H$33</f>
        <v>#REF!</v>
      </c>
      <c r="BC87" s="68" t="e">
        <f>'Oprava fasády - položky'!$H$34</f>
        <v>#REF!</v>
      </c>
      <c r="BD87" s="70" t="e">
        <f>'Oprava fasády - položky'!$H$35</f>
        <v>#REF!</v>
      </c>
      <c r="BT87" s="63" t="s">
        <v>12</v>
      </c>
      <c r="BV87" s="63" t="s">
        <v>68</v>
      </c>
      <c r="BW87" s="63" t="s">
        <v>71</v>
      </c>
      <c r="BX87" s="63" t="s">
        <v>69</v>
      </c>
    </row>
    <row r="88" spans="2:70" ht="14.25" customHeight="1">
      <c r="B88" s="7"/>
      <c r="AQ88" s="8"/>
      <c r="AR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2:49" s="3" customFormat="1" ht="30.75" customHeight="1">
      <c r="B89" s="16"/>
      <c r="C89" s="57" t="s">
        <v>72</v>
      </c>
      <c r="AG89" s="153">
        <f>AK26</f>
        <v>0</v>
      </c>
      <c r="AH89" s="154"/>
      <c r="AI89" s="154"/>
      <c r="AJ89" s="154"/>
      <c r="AK89" s="154"/>
      <c r="AL89" s="154"/>
      <c r="AM89" s="154"/>
      <c r="AN89" s="153">
        <f>AG89*1.21</f>
        <v>0</v>
      </c>
      <c r="AO89" s="153"/>
      <c r="AP89" s="155"/>
      <c r="AQ89" s="17"/>
      <c r="AS89" s="52" t="s">
        <v>73</v>
      </c>
      <c r="AT89" s="53" t="s">
        <v>74</v>
      </c>
      <c r="AU89" s="53" t="s">
        <v>30</v>
      </c>
      <c r="AV89" s="54" t="s">
        <v>53</v>
      </c>
      <c r="AW89" s="55"/>
    </row>
    <row r="90" spans="2:48" s="3" customFormat="1" ht="12" customHeight="1">
      <c r="B90" s="16"/>
      <c r="AQ90" s="17"/>
      <c r="AS90" s="30"/>
      <c r="AT90" s="30"/>
      <c r="AU90" s="30"/>
      <c r="AV90" s="30"/>
    </row>
    <row r="91" spans="2:43" s="3" customFormat="1" ht="30.75" customHeight="1">
      <c r="B91" s="16"/>
      <c r="C91" s="71" t="s">
        <v>75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156">
        <f>ROUND($AG$86+$AG$89,2)</f>
        <v>0</v>
      </c>
      <c r="AH91" s="157"/>
      <c r="AI91" s="157"/>
      <c r="AJ91" s="157"/>
      <c r="AK91" s="157"/>
      <c r="AL91" s="157"/>
      <c r="AM91" s="157"/>
      <c r="AN91" s="156">
        <f>$AN$86+$AN$89</f>
        <v>0</v>
      </c>
      <c r="AO91" s="157"/>
      <c r="AP91" s="157"/>
      <c r="AQ91" s="17"/>
    </row>
    <row r="92" spans="2:43" s="3" customFormat="1" ht="7.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40"/>
    </row>
  </sheetData>
  <sheetProtection/>
  <mergeCells count="43">
    <mergeCell ref="E22:AN22"/>
    <mergeCell ref="AK25:AO25"/>
    <mergeCell ref="AK26:AO26"/>
    <mergeCell ref="C3:AP3"/>
    <mergeCell ref="K4:AO4"/>
    <mergeCell ref="K5:AO5"/>
    <mergeCell ref="L34:O34"/>
    <mergeCell ref="W34:AE34"/>
    <mergeCell ref="AK34:AO34"/>
    <mergeCell ref="AK28:AO28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X36:AB36"/>
    <mergeCell ref="AK36:AO36"/>
    <mergeCell ref="C84:G84"/>
    <mergeCell ref="I84:AF84"/>
    <mergeCell ref="AG84:AM84"/>
    <mergeCell ref="AN84:AP84"/>
    <mergeCell ref="L77:AO77"/>
    <mergeCell ref="AM81:AP81"/>
    <mergeCell ref="C75:AP75"/>
    <mergeCell ref="D87:H87"/>
    <mergeCell ref="J87:AF87"/>
    <mergeCell ref="AG86:AM86"/>
    <mergeCell ref="AN86:AP86"/>
    <mergeCell ref="AS81:AT83"/>
    <mergeCell ref="AM82:AP82"/>
    <mergeCell ref="AG89:AM89"/>
    <mergeCell ref="AN89:AP89"/>
    <mergeCell ref="AG91:AM91"/>
    <mergeCell ref="AN91:AP91"/>
    <mergeCell ref="AN87:AP87"/>
    <mergeCell ref="AG87:AM87"/>
  </mergeCells>
  <hyperlinks>
    <hyperlink ref="A87" location="'05 - Zateplení fasády,okn...'!C2" tooltip="05 - Zateplení fasády,okn..." display="/"/>
  </hyperlinks>
  <printOptions/>
  <pageMargins left="0.5905511811023623" right="0.5905511811023623" top="0.5118110236220472" bottom="0.4724409448818898" header="0" footer="0"/>
  <pageSetup fitToHeight="100" fitToWidth="1" orientation="portrait" paperSize="9" scale="95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M373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C94" sqref="AC9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11.33203125" style="2" customWidth="1"/>
    <col min="10" max="10" width="5.16015625" style="2" customWidth="1"/>
    <col min="11" max="11" width="11.5" style="2" customWidth="1"/>
    <col min="12" max="12" width="7.5" style="2" customWidth="1"/>
    <col min="13" max="14" width="6" style="2" customWidth="1"/>
    <col min="15" max="15" width="2" style="2" customWidth="1"/>
    <col min="16" max="16" width="8.8320312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33" width="10.5" style="1" customWidth="1"/>
    <col min="34" max="34" width="17.5" style="1" customWidth="1"/>
    <col min="35" max="43" width="10.5" style="1" customWidth="1"/>
    <col min="44" max="64" width="10.5" style="2" hidden="1" customWidth="1"/>
    <col min="65" max="16384" width="10.5" style="1" customWidth="1"/>
  </cols>
  <sheetData>
    <row r="1" ht="13.5" customHeight="1"/>
    <row r="2" spans="2:46" ht="7.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T2" s="2" t="s">
        <v>12</v>
      </c>
    </row>
    <row r="3" spans="2:46" ht="37.5" customHeight="1">
      <c r="B3" s="7"/>
      <c r="C3" s="176" t="s">
        <v>76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8"/>
      <c r="T3" s="9" t="s">
        <v>5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T3" s="2" t="s">
        <v>1</v>
      </c>
    </row>
    <row r="4" spans="2:43" ht="7.5" customHeight="1">
      <c r="B4" s="7"/>
      <c r="R4" s="8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26.25" customHeight="1">
      <c r="B5" s="7"/>
      <c r="D5" s="13" t="s">
        <v>8</v>
      </c>
      <c r="F5" s="229" t="str">
        <f>'Rekapitulace stavby'!$K$5</f>
        <v>Oprava fasády objektu BALMORAL, č.p. 390, ulice Hlavní, Mariánské Lázně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R5" s="8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18" s="3" customFormat="1" ht="33.75" customHeight="1">
      <c r="B6" s="16"/>
      <c r="D6" s="12" t="s">
        <v>77</v>
      </c>
      <c r="F6" s="187" t="s">
        <v>169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7"/>
    </row>
    <row r="7" spans="2:18" s="3" customFormat="1" ht="15" customHeight="1">
      <c r="B7" s="16"/>
      <c r="D7" s="13" t="s">
        <v>10</v>
      </c>
      <c r="F7" s="11"/>
      <c r="M7" s="13" t="s">
        <v>11</v>
      </c>
      <c r="O7" s="11"/>
      <c r="R7" s="17"/>
    </row>
    <row r="8" spans="2:18" s="3" customFormat="1" ht="15" customHeight="1">
      <c r="B8" s="16"/>
      <c r="D8" s="13" t="s">
        <v>13</v>
      </c>
      <c r="F8" s="11" t="s">
        <v>14</v>
      </c>
      <c r="M8" s="13" t="s">
        <v>15</v>
      </c>
      <c r="O8" s="218" t="str">
        <f>'Rekapitulace stavby'!$AN$7</f>
        <v>09 2017</v>
      </c>
      <c r="P8" s="154"/>
      <c r="R8" s="17"/>
    </row>
    <row r="9" spans="2:18" s="3" customFormat="1" ht="12" customHeight="1">
      <c r="B9" s="16"/>
      <c r="R9" s="17"/>
    </row>
    <row r="10" spans="2:18" s="3" customFormat="1" ht="15" customHeight="1">
      <c r="B10" s="16"/>
      <c r="D10" s="13" t="s">
        <v>18</v>
      </c>
      <c r="M10" s="13" t="s">
        <v>19</v>
      </c>
      <c r="O10" s="166"/>
      <c r="P10" s="154"/>
      <c r="R10" s="17"/>
    </row>
    <row r="11" spans="2:18" s="3" customFormat="1" ht="18.75" customHeight="1">
      <c r="B11" s="16"/>
      <c r="E11" s="11" t="str">
        <f>'Rekapitulace stavby'!E10</f>
        <v>Univerzita Karlova v Praze, ÚJOP - Hlavní 390, Mar. Lázně</v>
      </c>
      <c r="M11" s="13" t="s">
        <v>20</v>
      </c>
      <c r="O11" s="166"/>
      <c r="P11" s="154"/>
      <c r="R11" s="17"/>
    </row>
    <row r="12" spans="2:18" s="3" customFormat="1" ht="7.5" customHeight="1">
      <c r="B12" s="16"/>
      <c r="R12" s="17"/>
    </row>
    <row r="13" spans="2:18" s="3" customFormat="1" ht="15" customHeight="1">
      <c r="B13" s="16"/>
      <c r="D13" s="13" t="s">
        <v>21</v>
      </c>
      <c r="M13" s="13" t="s">
        <v>19</v>
      </c>
      <c r="O13" s="166"/>
      <c r="P13" s="154"/>
      <c r="R13" s="17"/>
    </row>
    <row r="14" spans="2:18" s="3" customFormat="1" ht="18.75" customHeight="1">
      <c r="B14" s="16"/>
      <c r="E14" s="11" t="s">
        <v>22</v>
      </c>
      <c r="M14" s="13" t="s">
        <v>20</v>
      </c>
      <c r="O14" s="166"/>
      <c r="P14" s="154"/>
      <c r="R14" s="17"/>
    </row>
    <row r="15" spans="2:18" s="3" customFormat="1" ht="7.5" customHeight="1">
      <c r="B15" s="16"/>
      <c r="R15" s="17"/>
    </row>
    <row r="16" spans="2:18" s="3" customFormat="1" ht="15" customHeight="1">
      <c r="B16" s="16"/>
      <c r="D16" s="13" t="s">
        <v>23</v>
      </c>
      <c r="M16" s="13" t="s">
        <v>19</v>
      </c>
      <c r="O16" s="166"/>
      <c r="P16" s="154"/>
      <c r="R16" s="17"/>
    </row>
    <row r="17" spans="2:18" s="3" customFormat="1" ht="18.75" customHeight="1">
      <c r="B17" s="16"/>
      <c r="E17" s="11" t="str">
        <f>'Rekapitulace stavby'!E16</f>
        <v>Ing. arch. Miroslav Míka, MARKANT, Franze Kafky 835. Mariánské Lázně</v>
      </c>
      <c r="M17" s="13" t="s">
        <v>20</v>
      </c>
      <c r="O17" s="166"/>
      <c r="P17" s="154"/>
      <c r="R17" s="17"/>
    </row>
    <row r="18" spans="2:18" s="3" customFormat="1" ht="7.5" customHeight="1">
      <c r="B18" s="16"/>
      <c r="R18" s="17"/>
    </row>
    <row r="19" spans="2:18" s="3" customFormat="1" ht="15" customHeight="1">
      <c r="B19" s="16"/>
      <c r="D19" s="13" t="s">
        <v>25</v>
      </c>
      <c r="M19" s="13" t="s">
        <v>19</v>
      </c>
      <c r="O19" s="166"/>
      <c r="P19" s="154"/>
      <c r="R19" s="17"/>
    </row>
    <row r="20" spans="2:18" s="3" customFormat="1" ht="18.75" customHeight="1">
      <c r="B20" s="16"/>
      <c r="E20" s="11" t="str">
        <f>E17</f>
        <v>Ing. arch. Miroslav Míka, MARKANT, Franze Kafky 835. Mariánské Lázně</v>
      </c>
      <c r="M20" s="13" t="s">
        <v>20</v>
      </c>
      <c r="O20" s="166"/>
      <c r="P20" s="154"/>
      <c r="R20" s="17"/>
    </row>
    <row r="21" spans="2:18" s="3" customFormat="1" ht="7.5" customHeight="1">
      <c r="B21" s="16"/>
      <c r="R21" s="17"/>
    </row>
    <row r="22" spans="2:18" s="3" customFormat="1" ht="15" customHeight="1">
      <c r="B22" s="16"/>
      <c r="D22" s="13" t="s">
        <v>26</v>
      </c>
      <c r="R22" s="17"/>
    </row>
    <row r="23" spans="2:18" s="72" customFormat="1" ht="15.75" customHeight="1">
      <c r="B23" s="73"/>
      <c r="E23" s="182"/>
      <c r="F23" s="230"/>
      <c r="G23" s="230"/>
      <c r="H23" s="230"/>
      <c r="I23" s="230"/>
      <c r="J23" s="230"/>
      <c r="K23" s="230"/>
      <c r="L23" s="230"/>
      <c r="R23" s="74"/>
    </row>
    <row r="24" spans="2:18" s="3" customFormat="1" ht="7.5" customHeight="1">
      <c r="B24" s="16"/>
      <c r="R24" s="17"/>
    </row>
    <row r="25" spans="2:18" s="3" customFormat="1" ht="7.5" customHeight="1">
      <c r="B25" s="1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R25" s="17"/>
    </row>
    <row r="26" spans="2:30" s="3" customFormat="1" ht="15" customHeight="1">
      <c r="B26" s="16"/>
      <c r="D26" s="75" t="s">
        <v>78</v>
      </c>
      <c r="M26" s="186">
        <f>$N$77</f>
        <v>0</v>
      </c>
      <c r="N26" s="154"/>
      <c r="O26" s="154"/>
      <c r="P26" s="154"/>
      <c r="R26" s="17"/>
      <c r="AD26" s="147">
        <f>M26</f>
        <v>0</v>
      </c>
    </row>
    <row r="27" spans="2:30" s="3" customFormat="1" ht="15" customHeight="1">
      <c r="B27" s="16"/>
      <c r="D27" s="15" t="s">
        <v>79</v>
      </c>
      <c r="M27" s="186">
        <v>0</v>
      </c>
      <c r="N27" s="154"/>
      <c r="O27" s="154"/>
      <c r="P27" s="154"/>
      <c r="R27" s="17"/>
      <c r="AD27" s="147">
        <f>M27</f>
        <v>0</v>
      </c>
    </row>
    <row r="28" spans="2:18" s="3" customFormat="1" ht="7.5" customHeight="1">
      <c r="B28" s="16"/>
      <c r="R28" s="17"/>
    </row>
    <row r="29" spans="2:18" s="3" customFormat="1" ht="26.25" customHeight="1">
      <c r="B29" s="16"/>
      <c r="D29" s="76" t="s">
        <v>29</v>
      </c>
      <c r="M29" s="231">
        <f>ROUND($M$26+$M$27,2)</f>
        <v>0</v>
      </c>
      <c r="N29" s="154"/>
      <c r="O29" s="154"/>
      <c r="P29" s="154"/>
      <c r="R29" s="17"/>
    </row>
    <row r="30" spans="2:18" s="3" customFormat="1" ht="7.5" customHeight="1">
      <c r="B30" s="1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R30" s="17"/>
    </row>
    <row r="31" spans="2:18" s="3" customFormat="1" ht="15" customHeight="1">
      <c r="B31" s="16"/>
      <c r="D31" s="21" t="s">
        <v>30</v>
      </c>
      <c r="E31" s="21" t="s">
        <v>31</v>
      </c>
      <c r="F31" s="22">
        <v>0.21</v>
      </c>
      <c r="G31" s="77" t="s">
        <v>32</v>
      </c>
      <c r="H31" s="226">
        <f>M29</f>
        <v>0</v>
      </c>
      <c r="I31" s="154"/>
      <c r="J31" s="154"/>
      <c r="M31" s="226">
        <f>M29/100*21</f>
        <v>0</v>
      </c>
      <c r="N31" s="154"/>
      <c r="O31" s="154"/>
      <c r="P31" s="154"/>
      <c r="R31" s="17"/>
    </row>
    <row r="32" spans="2:18" s="3" customFormat="1" ht="15" customHeight="1">
      <c r="B32" s="16"/>
      <c r="E32" s="21" t="s">
        <v>33</v>
      </c>
      <c r="F32" s="22">
        <v>0.15</v>
      </c>
      <c r="G32" s="77" t="s">
        <v>32</v>
      </c>
      <c r="H32" s="226">
        <v>0</v>
      </c>
      <c r="I32" s="154"/>
      <c r="J32" s="154"/>
      <c r="M32" s="226">
        <v>0</v>
      </c>
      <c r="N32" s="154"/>
      <c r="O32" s="154"/>
      <c r="P32" s="154"/>
      <c r="R32" s="17"/>
    </row>
    <row r="33" spans="2:18" s="3" customFormat="1" ht="15" customHeight="1" hidden="1">
      <c r="B33" s="16"/>
      <c r="E33" s="21" t="s">
        <v>34</v>
      </c>
      <c r="F33" s="22">
        <v>0.21</v>
      </c>
      <c r="G33" s="77" t="s">
        <v>32</v>
      </c>
      <c r="H33" s="226" t="e">
        <f>ROUND((SUM($BG$92:$BG$95)+SUM($BG$113:$BG$346)),2)</f>
        <v>#REF!</v>
      </c>
      <c r="I33" s="154"/>
      <c r="J33" s="154"/>
      <c r="M33" s="226">
        <v>0</v>
      </c>
      <c r="N33" s="154"/>
      <c r="O33" s="154"/>
      <c r="P33" s="154"/>
      <c r="R33" s="17"/>
    </row>
    <row r="34" spans="2:18" s="3" customFormat="1" ht="15" customHeight="1" hidden="1">
      <c r="B34" s="16"/>
      <c r="E34" s="21" t="s">
        <v>35</v>
      </c>
      <c r="F34" s="22">
        <v>0.15</v>
      </c>
      <c r="G34" s="77" t="s">
        <v>32</v>
      </c>
      <c r="H34" s="226" t="e">
        <f>ROUND((SUM($BH$92:$BH$95)+SUM($BH$113:$BH$346)),2)</f>
        <v>#REF!</v>
      </c>
      <c r="I34" s="154"/>
      <c r="J34" s="154"/>
      <c r="M34" s="226">
        <v>0</v>
      </c>
      <c r="N34" s="154"/>
      <c r="O34" s="154"/>
      <c r="P34" s="154"/>
      <c r="R34" s="17"/>
    </row>
    <row r="35" spans="2:18" s="3" customFormat="1" ht="15" customHeight="1" hidden="1">
      <c r="B35" s="16"/>
      <c r="E35" s="21" t="s">
        <v>36</v>
      </c>
      <c r="F35" s="22">
        <v>0</v>
      </c>
      <c r="G35" s="77" t="s">
        <v>32</v>
      </c>
      <c r="H35" s="226" t="e">
        <f>ROUND((SUM($BI$92:$BI$95)+SUM($BI$113:$BI$346)),2)</f>
        <v>#REF!</v>
      </c>
      <c r="I35" s="154"/>
      <c r="J35" s="154"/>
      <c r="M35" s="226">
        <v>0</v>
      </c>
      <c r="N35" s="154"/>
      <c r="O35" s="154"/>
      <c r="P35" s="154"/>
      <c r="R35" s="17"/>
    </row>
    <row r="36" spans="2:18" s="3" customFormat="1" ht="7.5" customHeight="1">
      <c r="B36" s="16"/>
      <c r="R36" s="17"/>
    </row>
    <row r="37" spans="2:18" s="3" customFormat="1" ht="26.25" customHeight="1">
      <c r="B37" s="16"/>
      <c r="C37" s="25"/>
      <c r="D37" s="26" t="s">
        <v>37</v>
      </c>
      <c r="E37" s="27"/>
      <c r="F37" s="27"/>
      <c r="G37" s="78" t="s">
        <v>38</v>
      </c>
      <c r="H37" s="28" t="s">
        <v>39</v>
      </c>
      <c r="I37" s="27"/>
      <c r="J37" s="27"/>
      <c r="K37" s="27"/>
      <c r="L37" s="227">
        <f>SUM($M$29:$M$35)</f>
        <v>0</v>
      </c>
      <c r="M37" s="172"/>
      <c r="N37" s="172"/>
      <c r="O37" s="172"/>
      <c r="P37" s="174"/>
      <c r="Q37" s="25"/>
      <c r="R37" s="17"/>
    </row>
    <row r="38" spans="2:18" ht="14.25" customHeight="1">
      <c r="B38" s="7"/>
      <c r="R38" s="8"/>
    </row>
    <row r="39" spans="2:18" s="3" customFormat="1" ht="15.75" customHeight="1">
      <c r="B39" s="16"/>
      <c r="D39" s="29" t="s">
        <v>40</v>
      </c>
      <c r="E39" s="30"/>
      <c r="F39" s="30"/>
      <c r="G39" s="30"/>
      <c r="H39" s="31"/>
      <c r="J39" s="29" t="s">
        <v>41</v>
      </c>
      <c r="K39" s="30"/>
      <c r="L39" s="30"/>
      <c r="M39" s="30"/>
      <c r="N39" s="30"/>
      <c r="O39" s="30"/>
      <c r="P39" s="31"/>
      <c r="R39" s="17"/>
    </row>
    <row r="40" spans="2:18" ht="14.25" customHeight="1">
      <c r="B40" s="7"/>
      <c r="D40" s="32"/>
      <c r="H40" s="33"/>
      <c r="J40" s="32"/>
      <c r="P40" s="33"/>
      <c r="R40" s="8"/>
    </row>
    <row r="41" spans="2:18" ht="14.25" customHeight="1">
      <c r="B41" s="7"/>
      <c r="D41" s="32"/>
      <c r="H41" s="33"/>
      <c r="J41" s="32"/>
      <c r="P41" s="33"/>
      <c r="R41" s="8"/>
    </row>
    <row r="42" spans="2:18" ht="14.25" customHeight="1">
      <c r="B42" s="7"/>
      <c r="D42" s="32"/>
      <c r="H42" s="33"/>
      <c r="J42" s="32"/>
      <c r="P42" s="33"/>
      <c r="R42" s="8"/>
    </row>
    <row r="43" spans="2:18" ht="14.25" customHeight="1">
      <c r="B43" s="7"/>
      <c r="D43" s="32"/>
      <c r="H43" s="33"/>
      <c r="J43" s="32"/>
      <c r="P43" s="33"/>
      <c r="R43" s="8"/>
    </row>
    <row r="44" spans="2:18" ht="14.25" customHeight="1">
      <c r="B44" s="7"/>
      <c r="D44" s="32"/>
      <c r="H44" s="33"/>
      <c r="J44" s="32"/>
      <c r="P44" s="33"/>
      <c r="R44" s="8"/>
    </row>
    <row r="45" spans="2:18" ht="14.25" customHeight="1">
      <c r="B45" s="7"/>
      <c r="D45" s="32"/>
      <c r="H45" s="33"/>
      <c r="J45" s="32"/>
      <c r="P45" s="33"/>
      <c r="R45" s="8"/>
    </row>
    <row r="46" spans="2:18" ht="14.25" customHeight="1">
      <c r="B46" s="7"/>
      <c r="D46" s="32"/>
      <c r="H46" s="33"/>
      <c r="J46" s="32"/>
      <c r="P46" s="33"/>
      <c r="R46" s="8"/>
    </row>
    <row r="47" spans="2:18" ht="14.25" customHeight="1">
      <c r="B47" s="7"/>
      <c r="D47" s="32"/>
      <c r="H47" s="33"/>
      <c r="J47" s="32"/>
      <c r="P47" s="33"/>
      <c r="R47" s="8"/>
    </row>
    <row r="48" spans="2:18" s="3" customFormat="1" ht="15.75" customHeight="1">
      <c r="B48" s="16"/>
      <c r="D48" s="34" t="s">
        <v>42</v>
      </c>
      <c r="E48" s="35"/>
      <c r="F48" s="35"/>
      <c r="G48" s="36" t="s">
        <v>43</v>
      </c>
      <c r="H48" s="37"/>
      <c r="J48" s="34" t="s">
        <v>42</v>
      </c>
      <c r="K48" s="35"/>
      <c r="L48" s="35"/>
      <c r="M48" s="35"/>
      <c r="N48" s="36" t="s">
        <v>43</v>
      </c>
      <c r="O48" s="35"/>
      <c r="P48" s="37"/>
      <c r="R48" s="17"/>
    </row>
    <row r="49" spans="2:18" ht="14.25" customHeight="1">
      <c r="B49" s="7"/>
      <c r="R49" s="8"/>
    </row>
    <row r="50" spans="2:18" s="3" customFormat="1" ht="15.75" customHeight="1">
      <c r="B50" s="16"/>
      <c r="D50" s="29" t="s">
        <v>44</v>
      </c>
      <c r="E50" s="30"/>
      <c r="F50" s="30"/>
      <c r="G50" s="30"/>
      <c r="H50" s="31"/>
      <c r="J50" s="29" t="s">
        <v>45</v>
      </c>
      <c r="K50" s="30"/>
      <c r="L50" s="30"/>
      <c r="M50" s="30"/>
      <c r="N50" s="30"/>
      <c r="O50" s="30"/>
      <c r="P50" s="31"/>
      <c r="R50" s="17"/>
    </row>
    <row r="51" spans="2:18" ht="14.25" customHeight="1">
      <c r="B51" s="7"/>
      <c r="D51" s="32"/>
      <c r="H51" s="33"/>
      <c r="J51" s="32"/>
      <c r="P51" s="33"/>
      <c r="R51" s="8"/>
    </row>
    <row r="52" spans="2:18" ht="14.25" customHeight="1">
      <c r="B52" s="7"/>
      <c r="D52" s="32"/>
      <c r="H52" s="33"/>
      <c r="J52" s="32"/>
      <c r="P52" s="33"/>
      <c r="R52" s="8"/>
    </row>
    <row r="53" spans="2:18" ht="14.25" customHeight="1">
      <c r="B53" s="7"/>
      <c r="D53" s="32"/>
      <c r="H53" s="33"/>
      <c r="J53" s="32"/>
      <c r="P53" s="33"/>
      <c r="R53" s="8"/>
    </row>
    <row r="54" spans="2:18" ht="14.25" customHeight="1">
      <c r="B54" s="7"/>
      <c r="D54" s="32"/>
      <c r="H54" s="33"/>
      <c r="J54" s="32"/>
      <c r="P54" s="33"/>
      <c r="R54" s="8"/>
    </row>
    <row r="55" spans="2:18" ht="14.25" customHeight="1">
      <c r="B55" s="7"/>
      <c r="D55" s="32"/>
      <c r="H55" s="33"/>
      <c r="J55" s="32"/>
      <c r="P55" s="33"/>
      <c r="R55" s="8"/>
    </row>
    <row r="56" spans="2:18" ht="14.25" customHeight="1">
      <c r="B56" s="7"/>
      <c r="D56" s="32"/>
      <c r="H56" s="33"/>
      <c r="J56" s="32"/>
      <c r="P56" s="33"/>
      <c r="R56" s="8"/>
    </row>
    <row r="57" spans="2:18" ht="14.25" customHeight="1">
      <c r="B57" s="7"/>
      <c r="D57" s="32"/>
      <c r="H57" s="33"/>
      <c r="J57" s="32"/>
      <c r="P57" s="33"/>
      <c r="R57" s="8"/>
    </row>
    <row r="58" spans="2:18" ht="14.25" customHeight="1">
      <c r="B58" s="7"/>
      <c r="D58" s="32"/>
      <c r="H58" s="33"/>
      <c r="J58" s="32"/>
      <c r="P58" s="33"/>
      <c r="R58" s="8"/>
    </row>
    <row r="59" spans="2:18" s="3" customFormat="1" ht="15.75" customHeight="1">
      <c r="B59" s="16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7"/>
    </row>
    <row r="60" spans="2:18" s="3" customFormat="1" ht="1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4" spans="2:18" s="3" customFormat="1" ht="7.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2:18" s="3" customFormat="1" ht="37.5" customHeight="1">
      <c r="B65" s="16"/>
      <c r="C65" s="176" t="s">
        <v>80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7"/>
    </row>
    <row r="66" spans="2:18" s="3" customFormat="1" ht="7.5" customHeight="1">
      <c r="B66" s="16"/>
      <c r="R66" s="17"/>
    </row>
    <row r="67" spans="2:18" s="3" customFormat="1" ht="30.75" customHeight="1">
      <c r="B67" s="16"/>
      <c r="C67" s="13" t="s">
        <v>8</v>
      </c>
      <c r="F67" s="229" t="str">
        <f>$F$5</f>
        <v>Oprava fasády objektu BALMORAL, č.p. 390, ulice Hlavní, Mariánské Lázně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R67" s="17"/>
    </row>
    <row r="68" spans="2:18" s="3" customFormat="1" ht="37.5" customHeight="1">
      <c r="B68" s="16"/>
      <c r="C68" s="46" t="s">
        <v>77</v>
      </c>
      <c r="F68" s="175" t="str">
        <f>$F$6</f>
        <v>Oprava fasády objektu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R68" s="17"/>
    </row>
    <row r="69" spans="2:18" s="3" customFormat="1" ht="7.5" customHeight="1">
      <c r="B69" s="16"/>
      <c r="R69" s="17"/>
    </row>
    <row r="70" spans="2:18" s="3" customFormat="1" ht="18.75" customHeight="1">
      <c r="B70" s="16"/>
      <c r="C70" s="13" t="s">
        <v>13</v>
      </c>
      <c r="F70" s="11" t="str">
        <f>$F$8</f>
        <v> </v>
      </c>
      <c r="K70" s="13" t="s">
        <v>15</v>
      </c>
      <c r="M70" s="218" t="str">
        <f>IF($O$8="","",$O$8)</f>
        <v>09 2017</v>
      </c>
      <c r="N70" s="154"/>
      <c r="O70" s="154"/>
      <c r="P70" s="154"/>
      <c r="R70" s="17"/>
    </row>
    <row r="71" spans="2:18" s="3" customFormat="1" ht="7.5" customHeight="1">
      <c r="B71" s="16"/>
      <c r="R71" s="17"/>
    </row>
    <row r="72" spans="2:18" s="3" customFormat="1" ht="27" customHeight="1">
      <c r="B72" s="16"/>
      <c r="C72" s="13" t="s">
        <v>18</v>
      </c>
      <c r="F72" s="182" t="str">
        <f>$E$11</f>
        <v>Univerzita Karlova v Praze, ÚJOP - Hlavní 390, Mar. Lázně</v>
      </c>
      <c r="G72" s="228"/>
      <c r="H72" s="228"/>
      <c r="I72" s="228"/>
      <c r="K72" s="13" t="s">
        <v>23</v>
      </c>
      <c r="M72" s="166" t="str">
        <f>$E$17</f>
        <v>Ing. arch. Miroslav Míka, MARKANT, Franze Kafky 835. Mariánské Lázně</v>
      </c>
      <c r="N72" s="154"/>
      <c r="O72" s="154"/>
      <c r="P72" s="154"/>
      <c r="Q72" s="154"/>
      <c r="R72" s="17"/>
    </row>
    <row r="73" spans="2:18" s="3" customFormat="1" ht="15" customHeight="1">
      <c r="B73" s="16"/>
      <c r="C73" s="13" t="s">
        <v>21</v>
      </c>
      <c r="F73" s="11" t="str">
        <f>IF($E$14="","",$E$14)</f>
        <v>výběrové řízení</v>
      </c>
      <c r="K73" s="13" t="s">
        <v>25</v>
      </c>
      <c r="M73" s="166" t="str">
        <f>$E$20</f>
        <v>Ing. arch. Miroslav Míka, MARKANT, Franze Kafky 835. Mariánské Lázně</v>
      </c>
      <c r="N73" s="154"/>
      <c r="O73" s="154"/>
      <c r="P73" s="154"/>
      <c r="Q73" s="154"/>
      <c r="R73" s="17"/>
    </row>
    <row r="74" spans="2:18" s="3" customFormat="1" ht="11.25" customHeight="1">
      <c r="B74" s="16"/>
      <c r="R74" s="17"/>
    </row>
    <row r="75" spans="2:18" s="3" customFormat="1" ht="30" customHeight="1">
      <c r="B75" s="16"/>
      <c r="C75" s="222" t="s">
        <v>81</v>
      </c>
      <c r="D75" s="157"/>
      <c r="E75" s="157"/>
      <c r="F75" s="157"/>
      <c r="G75" s="157"/>
      <c r="H75" s="25"/>
      <c r="I75" s="25"/>
      <c r="J75" s="25"/>
      <c r="K75" s="25"/>
      <c r="L75" s="25"/>
      <c r="M75" s="25"/>
      <c r="N75" s="222" t="s">
        <v>82</v>
      </c>
      <c r="O75" s="154"/>
      <c r="P75" s="154"/>
      <c r="Q75" s="154"/>
      <c r="R75" s="17"/>
    </row>
    <row r="76" spans="2:18" s="3" customFormat="1" ht="11.25" customHeight="1">
      <c r="B76" s="16"/>
      <c r="R76" s="17"/>
    </row>
    <row r="77" spans="2:47" s="3" customFormat="1" ht="30" customHeight="1">
      <c r="B77" s="16"/>
      <c r="C77" s="57" t="s">
        <v>83</v>
      </c>
      <c r="N77" s="224">
        <f>N78+N87</f>
        <v>0</v>
      </c>
      <c r="O77" s="225"/>
      <c r="P77" s="225"/>
      <c r="Q77" s="225"/>
      <c r="R77" s="17"/>
      <c r="AU77" s="3" t="s">
        <v>84</v>
      </c>
    </row>
    <row r="78" spans="2:34" s="62" customFormat="1" ht="25.5" customHeight="1">
      <c r="B78" s="79"/>
      <c r="D78" s="80" t="s">
        <v>85</v>
      </c>
      <c r="N78" s="223">
        <f>N114</f>
        <v>0</v>
      </c>
      <c r="O78" s="206"/>
      <c r="P78" s="206"/>
      <c r="Q78" s="206"/>
      <c r="R78" s="81"/>
      <c r="AH78" s="138"/>
    </row>
    <row r="79" spans="2:18" s="75" customFormat="1" ht="21" customHeight="1">
      <c r="B79" s="82"/>
      <c r="D79" s="83" t="str">
        <f>D115</f>
        <v>     1 - Zemní práce</v>
      </c>
      <c r="N79" s="205">
        <f>N115</f>
        <v>0</v>
      </c>
      <c r="O79" s="206"/>
      <c r="P79" s="206"/>
      <c r="Q79" s="206"/>
      <c r="R79" s="84"/>
    </row>
    <row r="80" spans="2:18" s="75" customFormat="1" ht="21" customHeight="1">
      <c r="B80" s="82"/>
      <c r="D80" s="83" t="str">
        <f>D137</f>
        <v>     5 - Komunikace</v>
      </c>
      <c r="N80" s="205">
        <f>N137</f>
        <v>0</v>
      </c>
      <c r="O80" s="206"/>
      <c r="P80" s="206"/>
      <c r="Q80" s="206"/>
      <c r="R80" s="84"/>
    </row>
    <row r="81" spans="2:18" s="75" customFormat="1" ht="21" customHeight="1">
      <c r="B81" s="82"/>
      <c r="D81" s="83" t="str">
        <f>D146</f>
        <v>    62 - Úprava povrchů vnější - vně omítky</v>
      </c>
      <c r="N81" s="205">
        <f>N146</f>
        <v>0</v>
      </c>
      <c r="O81" s="206"/>
      <c r="P81" s="206"/>
      <c r="Q81" s="206"/>
      <c r="R81" s="84"/>
    </row>
    <row r="82" spans="2:18" s="75" customFormat="1" ht="21" customHeight="1">
      <c r="B82" s="82"/>
      <c r="D82" s="83" t="s">
        <v>86</v>
      </c>
      <c r="N82" s="205">
        <f>N252</f>
        <v>0</v>
      </c>
      <c r="O82" s="206"/>
      <c r="P82" s="206"/>
      <c r="Q82" s="206"/>
      <c r="R82" s="84"/>
    </row>
    <row r="83" spans="2:18" s="75" customFormat="1" ht="21" customHeight="1">
      <c r="B83" s="82"/>
      <c r="D83" s="83" t="s">
        <v>87</v>
      </c>
      <c r="N83" s="205">
        <f>N272</f>
        <v>0</v>
      </c>
      <c r="O83" s="206"/>
      <c r="P83" s="206"/>
      <c r="Q83" s="206"/>
      <c r="R83" s="84"/>
    </row>
    <row r="84" spans="2:18" s="75" customFormat="1" ht="21" customHeight="1">
      <c r="B84" s="82"/>
      <c r="D84" s="83" t="str">
        <f>D310</f>
        <v>    97 - Prorážení otvorů a ostatní bourací práce</v>
      </c>
      <c r="N84" s="205">
        <f>N310</f>
        <v>0</v>
      </c>
      <c r="O84" s="206"/>
      <c r="P84" s="206"/>
      <c r="Q84" s="206"/>
      <c r="R84" s="84"/>
    </row>
    <row r="85" spans="2:18" s="75" customFormat="1" ht="21" customHeight="1">
      <c r="B85" s="82"/>
      <c r="D85" s="83" t="s">
        <v>126</v>
      </c>
      <c r="N85" s="205">
        <f>N317</f>
        <v>0</v>
      </c>
      <c r="O85" s="206"/>
      <c r="P85" s="206"/>
      <c r="Q85" s="206"/>
      <c r="R85" s="84"/>
    </row>
    <row r="86" spans="2:18" s="75" customFormat="1" ht="21" customHeight="1">
      <c r="B86" s="82"/>
      <c r="D86" s="83" t="s">
        <v>88</v>
      </c>
      <c r="N86" s="205">
        <f>N319</f>
        <v>0</v>
      </c>
      <c r="O86" s="206"/>
      <c r="P86" s="206"/>
      <c r="Q86" s="206"/>
      <c r="R86" s="84"/>
    </row>
    <row r="87" spans="2:34" s="62" customFormat="1" ht="25.5" customHeight="1">
      <c r="B87" s="79"/>
      <c r="D87" s="80" t="s">
        <v>89</v>
      </c>
      <c r="N87" s="223">
        <f>N324</f>
        <v>0</v>
      </c>
      <c r="O87" s="206"/>
      <c r="P87" s="206"/>
      <c r="Q87" s="206"/>
      <c r="R87" s="81"/>
      <c r="AC87" s="137"/>
      <c r="AH87" s="137"/>
    </row>
    <row r="88" spans="2:18" s="75" customFormat="1" ht="21" customHeight="1">
      <c r="B88" s="82"/>
      <c r="D88" s="83" t="str">
        <f>D325</f>
        <v>    711 - Izolace proti vodě</v>
      </c>
      <c r="N88" s="205">
        <f>N325</f>
        <v>0</v>
      </c>
      <c r="O88" s="206"/>
      <c r="P88" s="206"/>
      <c r="Q88" s="206"/>
      <c r="R88" s="84"/>
    </row>
    <row r="89" spans="2:18" s="75" customFormat="1" ht="21" customHeight="1">
      <c r="B89" s="82"/>
      <c r="D89" s="83" t="s">
        <v>125</v>
      </c>
      <c r="N89" s="205">
        <f>N332</f>
        <v>0</v>
      </c>
      <c r="O89" s="206"/>
      <c r="P89" s="206"/>
      <c r="Q89" s="206"/>
      <c r="R89" s="84"/>
    </row>
    <row r="90" spans="2:18" s="75" customFormat="1" ht="21" customHeight="1">
      <c r="B90" s="82"/>
      <c r="D90" s="83" t="str">
        <f>D347</f>
        <v>    771 - Podlahy z dlaždic</v>
      </c>
      <c r="N90" s="205">
        <f>N347</f>
        <v>0</v>
      </c>
      <c r="O90" s="206"/>
      <c r="P90" s="206"/>
      <c r="Q90" s="206"/>
      <c r="R90" s="84"/>
    </row>
    <row r="91" spans="2:18" s="75" customFormat="1" ht="21" customHeight="1">
      <c r="B91" s="82"/>
      <c r="D91" s="83" t="str">
        <f>D361</f>
        <v>    783 - Nátěry</v>
      </c>
      <c r="N91" s="205">
        <f>N361</f>
        <v>0</v>
      </c>
      <c r="O91" s="206"/>
      <c r="P91" s="206"/>
      <c r="Q91" s="206"/>
      <c r="R91" s="84"/>
    </row>
    <row r="92" spans="2:21" s="3" customFormat="1" ht="30" customHeight="1">
      <c r="B92" s="16"/>
      <c r="C92" s="57" t="s">
        <v>90</v>
      </c>
      <c r="N92" s="153">
        <f>ROUND($N$93+$N$94,2)</f>
        <v>0</v>
      </c>
      <c r="O92" s="154"/>
      <c r="P92" s="154"/>
      <c r="Q92" s="154"/>
      <c r="R92" s="17"/>
      <c r="T92" s="85"/>
      <c r="U92" s="86" t="s">
        <v>30</v>
      </c>
    </row>
    <row r="93" spans="2:62" s="3" customFormat="1" ht="18.75" customHeight="1">
      <c r="B93" s="16"/>
      <c r="D93" s="207" t="s">
        <v>91</v>
      </c>
      <c r="E93" s="154"/>
      <c r="F93" s="154"/>
      <c r="G93" s="154"/>
      <c r="H93" s="154"/>
      <c r="N93" s="205"/>
      <c r="O93" s="154"/>
      <c r="P93" s="154"/>
      <c r="Q93" s="154"/>
      <c r="R93" s="17"/>
      <c r="T93" s="87"/>
      <c r="U93" s="88" t="s">
        <v>33</v>
      </c>
      <c r="AY93" s="3" t="s">
        <v>92</v>
      </c>
      <c r="BE93" s="89">
        <f>IF($U$93="základní",$N$93,0)</f>
        <v>0</v>
      </c>
      <c r="BF93" s="89">
        <f>IF($U$93="snížená",$N$93,0)</f>
        <v>0</v>
      </c>
      <c r="BG93" s="89">
        <f>IF($U$93="zákl. přenesená",$N$93,0)</f>
        <v>0</v>
      </c>
      <c r="BH93" s="89">
        <f>IF($U$93="sníž. přenesená",$N$93,0)</f>
        <v>0</v>
      </c>
      <c r="BI93" s="89">
        <f>IF($U$93="nulová",$N$93,0)</f>
        <v>0</v>
      </c>
      <c r="BJ93" s="3" t="s">
        <v>93</v>
      </c>
    </row>
    <row r="94" spans="2:62" s="3" customFormat="1" ht="18.75" customHeight="1">
      <c r="B94" s="16"/>
      <c r="D94" s="207" t="s">
        <v>94</v>
      </c>
      <c r="E94" s="154"/>
      <c r="F94" s="154"/>
      <c r="G94" s="154"/>
      <c r="H94" s="154"/>
      <c r="N94" s="205"/>
      <c r="O94" s="154"/>
      <c r="P94" s="154"/>
      <c r="Q94" s="154"/>
      <c r="R94" s="17"/>
      <c r="T94" s="90"/>
      <c r="U94" s="91" t="s">
        <v>33</v>
      </c>
      <c r="AY94" s="3" t="s">
        <v>92</v>
      </c>
      <c r="BE94" s="89">
        <f>IF($U$94="základní",$N$94,0)</f>
        <v>0</v>
      </c>
      <c r="BF94" s="89">
        <f>IF($U$94="snížená",$N$94,0)</f>
        <v>0</v>
      </c>
      <c r="BG94" s="89">
        <f>IF($U$94="zákl. přenesená",$N$94,0)</f>
        <v>0</v>
      </c>
      <c r="BH94" s="89">
        <f>IF($U$94="sníž. přenesená",$N$94,0)</f>
        <v>0</v>
      </c>
      <c r="BI94" s="89">
        <f>IF($U$94="nulová",$N$94,0)</f>
        <v>0</v>
      </c>
      <c r="BJ94" s="3" t="s">
        <v>93</v>
      </c>
    </row>
    <row r="95" spans="2:18" s="3" customFormat="1" ht="18.75" customHeight="1">
      <c r="B95" s="16"/>
      <c r="R95" s="17"/>
    </row>
    <row r="96" spans="2:18" s="3" customFormat="1" ht="30" customHeight="1">
      <c r="B96" s="16"/>
      <c r="C96" s="71" t="s">
        <v>75</v>
      </c>
      <c r="D96" s="25"/>
      <c r="E96" s="25"/>
      <c r="F96" s="25"/>
      <c r="G96" s="25"/>
      <c r="H96" s="25"/>
      <c r="I96" s="25"/>
      <c r="J96" s="25"/>
      <c r="K96" s="25"/>
      <c r="L96" s="156">
        <f>N77+N92</f>
        <v>0</v>
      </c>
      <c r="M96" s="157"/>
      <c r="N96" s="157"/>
      <c r="O96" s="157"/>
      <c r="P96" s="157"/>
      <c r="Q96" s="157"/>
      <c r="R96" s="17"/>
    </row>
    <row r="97" spans="2:18" s="3" customFormat="1" ht="7.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101" spans="2:18" s="3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2" spans="2:18" s="3" customFormat="1" ht="37.5" customHeight="1">
      <c r="B102" s="16"/>
      <c r="C102" s="176" t="s">
        <v>95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7"/>
    </row>
    <row r="103" spans="2:18" s="3" customFormat="1" ht="7.5" customHeight="1">
      <c r="B103" s="16"/>
      <c r="R103" s="17"/>
    </row>
    <row r="104" spans="2:18" s="3" customFormat="1" ht="30.75" customHeight="1">
      <c r="B104" s="16"/>
      <c r="C104" s="13" t="s">
        <v>8</v>
      </c>
      <c r="F104" s="229" t="str">
        <f>$F$5</f>
        <v>Oprava fasády objektu BALMORAL, č.p. 390, ulice Hlavní, Mariánské Lázně</v>
      </c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R104" s="17"/>
    </row>
    <row r="105" spans="2:18" s="3" customFormat="1" ht="37.5" customHeight="1">
      <c r="B105" s="16"/>
      <c r="C105" s="46" t="s">
        <v>77</v>
      </c>
      <c r="F105" s="175" t="str">
        <f>$F$6</f>
        <v>Oprava fasády objektu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R105" s="17"/>
    </row>
    <row r="106" spans="2:18" s="3" customFormat="1" ht="7.5" customHeight="1">
      <c r="B106" s="16"/>
      <c r="R106" s="17"/>
    </row>
    <row r="107" spans="2:18" s="3" customFormat="1" ht="18.75" customHeight="1">
      <c r="B107" s="16"/>
      <c r="C107" s="13" t="s">
        <v>13</v>
      </c>
      <c r="F107" s="11" t="str">
        <f>$F$8</f>
        <v> </v>
      </c>
      <c r="K107" s="13" t="s">
        <v>15</v>
      </c>
      <c r="M107" s="218" t="str">
        <f>IF($O$8="","",$O$8)</f>
        <v>09 2017</v>
      </c>
      <c r="N107" s="154"/>
      <c r="O107" s="154"/>
      <c r="P107" s="154"/>
      <c r="R107" s="17"/>
    </row>
    <row r="108" spans="2:18" s="3" customFormat="1" ht="7.5" customHeight="1">
      <c r="B108" s="16"/>
      <c r="R108" s="17"/>
    </row>
    <row r="109" spans="2:18" s="3" customFormat="1" ht="15.75" customHeight="1">
      <c r="B109" s="16"/>
      <c r="C109" s="13" t="s">
        <v>18</v>
      </c>
      <c r="F109" s="11" t="str">
        <f>$E$11</f>
        <v>Univerzita Karlova v Praze, ÚJOP - Hlavní 390, Mar. Lázně</v>
      </c>
      <c r="K109" s="13" t="s">
        <v>23</v>
      </c>
      <c r="M109" s="166" t="str">
        <f>$E$17</f>
        <v>Ing. arch. Miroslav Míka, MARKANT, Franze Kafky 835. Mariánské Lázně</v>
      </c>
      <c r="N109" s="154"/>
      <c r="O109" s="154"/>
      <c r="P109" s="154"/>
      <c r="Q109" s="154"/>
      <c r="R109" s="17"/>
    </row>
    <row r="110" spans="2:18" s="3" customFormat="1" ht="15" customHeight="1">
      <c r="B110" s="16"/>
      <c r="C110" s="13" t="s">
        <v>21</v>
      </c>
      <c r="F110" s="11" t="str">
        <f>IF($E$14="","",$E$14)</f>
        <v>výběrové řízení</v>
      </c>
      <c r="K110" s="13" t="s">
        <v>25</v>
      </c>
      <c r="M110" s="166" t="str">
        <f>$E$20</f>
        <v>Ing. arch. Miroslav Míka, MARKANT, Franze Kafky 835. Mariánské Lázně</v>
      </c>
      <c r="N110" s="154"/>
      <c r="O110" s="154"/>
      <c r="P110" s="154"/>
      <c r="Q110" s="154"/>
      <c r="R110" s="17"/>
    </row>
    <row r="111" spans="2:18" s="3" customFormat="1" ht="11.25" customHeight="1">
      <c r="B111" s="16"/>
      <c r="R111" s="17"/>
    </row>
    <row r="112" spans="2:27" s="92" customFormat="1" ht="30" customHeight="1">
      <c r="B112" s="93"/>
      <c r="C112" s="94" t="s">
        <v>96</v>
      </c>
      <c r="D112" s="95" t="s">
        <v>97</v>
      </c>
      <c r="E112" s="95" t="s">
        <v>48</v>
      </c>
      <c r="F112" s="219" t="s">
        <v>98</v>
      </c>
      <c r="G112" s="220"/>
      <c r="H112" s="220"/>
      <c r="I112" s="220"/>
      <c r="J112" s="95" t="s">
        <v>99</v>
      </c>
      <c r="K112" s="95" t="s">
        <v>100</v>
      </c>
      <c r="L112" s="219" t="s">
        <v>101</v>
      </c>
      <c r="M112" s="220"/>
      <c r="N112" s="219" t="s">
        <v>102</v>
      </c>
      <c r="O112" s="220"/>
      <c r="P112" s="220"/>
      <c r="Q112" s="221"/>
      <c r="R112" s="96"/>
      <c r="T112" s="52" t="s">
        <v>103</v>
      </c>
      <c r="U112" s="53" t="s">
        <v>30</v>
      </c>
      <c r="V112" s="53" t="s">
        <v>104</v>
      </c>
      <c r="W112" s="53" t="s">
        <v>105</v>
      </c>
      <c r="X112" s="53" t="s">
        <v>106</v>
      </c>
      <c r="Y112" s="53" t="s">
        <v>107</v>
      </c>
      <c r="Z112" s="53" t="s">
        <v>108</v>
      </c>
      <c r="AA112" s="54" t="s">
        <v>109</v>
      </c>
    </row>
    <row r="113" spans="2:63" s="3" customFormat="1" ht="30" customHeight="1">
      <c r="B113" s="16"/>
      <c r="C113" s="57" t="s">
        <v>78</v>
      </c>
      <c r="N113" s="216">
        <f>N114+N324</f>
        <v>0</v>
      </c>
      <c r="O113" s="154"/>
      <c r="P113" s="154"/>
      <c r="Q113" s="154"/>
      <c r="R113" s="17"/>
      <c r="T113" s="56"/>
      <c r="U113" s="30"/>
      <c r="V113" s="30"/>
      <c r="W113" s="97" t="e">
        <f>$W$114+$W$324</f>
        <v>#REF!</v>
      </c>
      <c r="X113" s="30"/>
      <c r="Y113" s="97" t="e">
        <f>$Y$114+$Y$324</f>
        <v>#REF!</v>
      </c>
      <c r="Z113" s="30"/>
      <c r="AA113" s="98" t="e">
        <f>$AA$114+$AA$324</f>
        <v>#REF!</v>
      </c>
      <c r="AT113" s="3" t="s">
        <v>65</v>
      </c>
      <c r="AU113" s="3" t="s">
        <v>84</v>
      </c>
      <c r="BK113" s="99" t="e">
        <f>$BK$114+$BK$324</f>
        <v>#REF!</v>
      </c>
    </row>
    <row r="114" spans="2:63" s="100" customFormat="1" ht="37.5" customHeight="1">
      <c r="B114" s="101"/>
      <c r="D114" s="102" t="s">
        <v>85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217">
        <f>N115+N137+N146+N252+N272+N310+N317+N319</f>
        <v>0</v>
      </c>
      <c r="O114" s="209"/>
      <c r="P114" s="209"/>
      <c r="Q114" s="209"/>
      <c r="R114" s="104"/>
      <c r="T114" s="105"/>
      <c r="W114" s="106" t="e">
        <f>#REF!+#REF!+#REF!+$W$146+#REF!+$W$252+$W$272+$W$317+$W$319</f>
        <v>#REF!</v>
      </c>
      <c r="Y114" s="106" t="e">
        <f>#REF!+#REF!+#REF!+$Y$146+#REF!+$Y$252+$Y$272+$Y$317+$Y$319</f>
        <v>#REF!</v>
      </c>
      <c r="AA114" s="107" t="e">
        <f>#REF!+#REF!+#REF!+$AA$146+#REF!+$AA$252+$AA$272+$AA$317+$AA$319</f>
        <v>#REF!</v>
      </c>
      <c r="AR114" s="103" t="s">
        <v>12</v>
      </c>
      <c r="AT114" s="103" t="s">
        <v>65</v>
      </c>
      <c r="AU114" s="103" t="s">
        <v>66</v>
      </c>
      <c r="AY114" s="103" t="s">
        <v>110</v>
      </c>
      <c r="BK114" s="108" t="e">
        <f>#REF!+#REF!+#REF!+$BK$146+#REF!+$BK$252+$BK$272+$BK$317+$BK$319</f>
        <v>#REF!</v>
      </c>
    </row>
    <row r="115" spans="2:63" s="100" customFormat="1" ht="30.75" customHeight="1">
      <c r="B115" s="101"/>
      <c r="D115" s="109" t="s">
        <v>337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208">
        <f>SUM(N116:P136)</f>
        <v>0</v>
      </c>
      <c r="O115" s="209"/>
      <c r="P115" s="209"/>
      <c r="Q115" s="209"/>
      <c r="R115" s="104"/>
      <c r="T115" s="105"/>
      <c r="W115" s="106" t="e">
        <f>SUM($W$179:$W$251)</f>
        <v>#REF!</v>
      </c>
      <c r="Y115" s="106" t="e">
        <f>SUM($Y$179:$Y$251)</f>
        <v>#REF!</v>
      </c>
      <c r="AA115" s="107" t="e">
        <f>SUM($AA$179:$AA$251)</f>
        <v>#REF!</v>
      </c>
      <c r="AR115" s="103" t="s">
        <v>12</v>
      </c>
      <c r="AT115" s="103" t="s">
        <v>65</v>
      </c>
      <c r="AU115" s="103" t="s">
        <v>12</v>
      </c>
      <c r="AY115" s="103" t="s">
        <v>110</v>
      </c>
      <c r="BK115" s="108" t="e">
        <f>SUM($BK$179:$BK$251)</f>
        <v>#REF!</v>
      </c>
    </row>
    <row r="116" spans="2:65" s="3" customFormat="1" ht="15" customHeight="1">
      <c r="B116" s="16"/>
      <c r="C116" s="133">
        <v>1</v>
      </c>
      <c r="D116" s="110" t="s">
        <v>111</v>
      </c>
      <c r="E116" s="130" t="s">
        <v>376</v>
      </c>
      <c r="F116" s="196" t="s">
        <v>377</v>
      </c>
      <c r="G116" s="197"/>
      <c r="H116" s="197"/>
      <c r="I116" s="197"/>
      <c r="J116" s="134" t="s">
        <v>334</v>
      </c>
      <c r="K116" s="113">
        <f>K118</f>
        <v>0.975</v>
      </c>
      <c r="L116" s="203"/>
      <c r="M116" s="197"/>
      <c r="N116" s="203">
        <f>K116*L116</f>
        <v>0</v>
      </c>
      <c r="O116" s="197"/>
      <c r="P116" s="197"/>
      <c r="Q116" s="197"/>
      <c r="R116" s="17"/>
      <c r="T116" s="114"/>
      <c r="U116" s="23" t="s">
        <v>33</v>
      </c>
      <c r="V116" s="115">
        <v>0.51</v>
      </c>
      <c r="W116" s="115" t="e">
        <f>#REF!*#REF!</f>
        <v>#REF!</v>
      </c>
      <c r="X116" s="115">
        <v>0.0273</v>
      </c>
      <c r="Y116" s="115" t="e">
        <f>#REF!*#REF!</f>
        <v>#REF!</v>
      </c>
      <c r="Z116" s="115">
        <v>0</v>
      </c>
      <c r="AA116" s="116" t="e">
        <f>#REF!*#REF!</f>
        <v>#REF!</v>
      </c>
      <c r="AF116" s="3">
        <v>1.38</v>
      </c>
      <c r="AG116" s="3">
        <f>K116*AF116</f>
        <v>1.3455</v>
      </c>
      <c r="AR116" s="3" t="s">
        <v>112</v>
      </c>
      <c r="AT116" s="3" t="s">
        <v>111</v>
      </c>
      <c r="AU116" s="3" t="s">
        <v>93</v>
      </c>
      <c r="AY116" s="3" t="s">
        <v>110</v>
      </c>
      <c r="BE116" s="89" t="e">
        <f>IF(#REF!="základní",#REF!,0)</f>
        <v>#REF!</v>
      </c>
      <c r="BF116" s="89" t="e">
        <f>IF(#REF!="snížená",#REF!,0)</f>
        <v>#REF!</v>
      </c>
      <c r="BG116" s="89" t="e">
        <f>IF(#REF!="zákl. přenesená",#REF!,0)</f>
        <v>#REF!</v>
      </c>
      <c r="BH116" s="89" t="e">
        <f>IF(#REF!="sníž. přenesená",#REF!,0)</f>
        <v>#REF!</v>
      </c>
      <c r="BI116" s="89" t="e">
        <f>IF(#REF!="nulová",#REF!,0)</f>
        <v>#REF!</v>
      </c>
      <c r="BJ116" s="3" t="s">
        <v>93</v>
      </c>
      <c r="BK116" s="89" t="e">
        <f>ROUND(#REF!*#REF!,2)</f>
        <v>#REF!</v>
      </c>
      <c r="BL116" s="3" t="s">
        <v>112</v>
      </c>
      <c r="BM116" s="3" t="s">
        <v>171</v>
      </c>
    </row>
    <row r="117" spans="2:51" s="3" customFormat="1" ht="15" customHeight="1">
      <c r="B117" s="117"/>
      <c r="C117" s="135"/>
      <c r="D117" s="135"/>
      <c r="E117" s="141"/>
      <c r="F117" s="198" t="s">
        <v>375</v>
      </c>
      <c r="G117" s="199"/>
      <c r="H117" s="199"/>
      <c r="I117" s="199"/>
      <c r="J117" s="135"/>
      <c r="K117" s="142"/>
      <c r="L117" s="135"/>
      <c r="M117" s="135"/>
      <c r="N117" s="135"/>
      <c r="O117" s="135"/>
      <c r="P117" s="135"/>
      <c r="Q117" s="135"/>
      <c r="R117" s="119"/>
      <c r="T117" s="120"/>
      <c r="AA117" s="121"/>
      <c r="AT117" s="118" t="s">
        <v>113</v>
      </c>
      <c r="AU117" s="118" t="s">
        <v>93</v>
      </c>
      <c r="AV117" s="118" t="s">
        <v>12</v>
      </c>
      <c r="AW117" s="118" t="s">
        <v>84</v>
      </c>
      <c r="AX117" s="118" t="s">
        <v>66</v>
      </c>
      <c r="AY117" s="118" t="s">
        <v>110</v>
      </c>
    </row>
    <row r="118" spans="2:51" s="3" customFormat="1" ht="15" customHeight="1">
      <c r="B118" s="122"/>
      <c r="C118" s="135"/>
      <c r="D118" s="135"/>
      <c r="E118" s="143"/>
      <c r="F118" s="200" t="s">
        <v>379</v>
      </c>
      <c r="G118" s="200"/>
      <c r="H118" s="200"/>
      <c r="I118" s="200"/>
      <c r="J118" s="135"/>
      <c r="K118" s="144">
        <f>6.5*1*0.15</f>
        <v>0.975</v>
      </c>
      <c r="L118" s="135"/>
      <c r="M118" s="135"/>
      <c r="N118" s="135"/>
      <c r="O118" s="135"/>
      <c r="P118" s="135"/>
      <c r="Q118" s="135"/>
      <c r="R118" s="125"/>
      <c r="T118" s="126"/>
      <c r="AA118" s="127"/>
      <c r="AT118" s="123" t="s">
        <v>113</v>
      </c>
      <c r="AU118" s="123" t="s">
        <v>93</v>
      </c>
      <c r="AV118" s="123" t="s">
        <v>93</v>
      </c>
      <c r="AW118" s="123" t="s">
        <v>84</v>
      </c>
      <c r="AX118" s="123" t="s">
        <v>66</v>
      </c>
      <c r="AY118" s="123" t="s">
        <v>110</v>
      </c>
    </row>
    <row r="119" spans="2:65" s="3" customFormat="1" ht="15" customHeight="1">
      <c r="B119" s="16"/>
      <c r="C119" s="133">
        <v>2</v>
      </c>
      <c r="D119" s="110" t="s">
        <v>111</v>
      </c>
      <c r="E119" s="130" t="s">
        <v>380</v>
      </c>
      <c r="F119" s="196" t="s">
        <v>378</v>
      </c>
      <c r="G119" s="197"/>
      <c r="H119" s="197"/>
      <c r="I119" s="197"/>
      <c r="J119" s="134" t="s">
        <v>334</v>
      </c>
      <c r="K119" s="113">
        <f>K121</f>
        <v>3.7049999999999996</v>
      </c>
      <c r="L119" s="203"/>
      <c r="M119" s="197"/>
      <c r="N119" s="203">
        <f>K119*L119</f>
        <v>0</v>
      </c>
      <c r="O119" s="197"/>
      <c r="P119" s="197"/>
      <c r="Q119" s="197"/>
      <c r="R119" s="17"/>
      <c r="T119" s="114"/>
      <c r="U119" s="23" t="s">
        <v>33</v>
      </c>
      <c r="V119" s="115">
        <v>0.51</v>
      </c>
      <c r="W119" s="115" t="e">
        <f>#REF!*#REF!</f>
        <v>#REF!</v>
      </c>
      <c r="X119" s="115">
        <v>0.0273</v>
      </c>
      <c r="Y119" s="115" t="e">
        <f>#REF!*#REF!</f>
        <v>#REF!</v>
      </c>
      <c r="Z119" s="115">
        <v>0</v>
      </c>
      <c r="AA119" s="116" t="e">
        <f>#REF!*#REF!</f>
        <v>#REF!</v>
      </c>
      <c r="AF119" s="3">
        <v>1.19</v>
      </c>
      <c r="AG119" s="3">
        <f>K119*AF119</f>
        <v>4.408949999999999</v>
      </c>
      <c r="AR119" s="3" t="s">
        <v>112</v>
      </c>
      <c r="AT119" s="3" t="s">
        <v>111</v>
      </c>
      <c r="AU119" s="3" t="s">
        <v>93</v>
      </c>
      <c r="AY119" s="3" t="s">
        <v>110</v>
      </c>
      <c r="BE119" s="89" t="e">
        <f>IF(#REF!="základní",#REF!,0)</f>
        <v>#REF!</v>
      </c>
      <c r="BF119" s="89" t="e">
        <f>IF(#REF!="snížená",#REF!,0)</f>
        <v>#REF!</v>
      </c>
      <c r="BG119" s="89" t="e">
        <f>IF(#REF!="zákl. přenesená",#REF!,0)</f>
        <v>#REF!</v>
      </c>
      <c r="BH119" s="89" t="e">
        <f>IF(#REF!="sníž. přenesená",#REF!,0)</f>
        <v>#REF!</v>
      </c>
      <c r="BI119" s="89" t="e">
        <f>IF(#REF!="nulová",#REF!,0)</f>
        <v>#REF!</v>
      </c>
      <c r="BJ119" s="3" t="s">
        <v>93</v>
      </c>
      <c r="BK119" s="89" t="e">
        <f>ROUND(#REF!*#REF!,2)</f>
        <v>#REF!</v>
      </c>
      <c r="BL119" s="3" t="s">
        <v>112</v>
      </c>
      <c r="BM119" s="3" t="s">
        <v>171</v>
      </c>
    </row>
    <row r="120" spans="2:51" s="3" customFormat="1" ht="15" customHeight="1">
      <c r="B120" s="117"/>
      <c r="C120" s="135"/>
      <c r="D120" s="135"/>
      <c r="E120" s="141"/>
      <c r="F120" s="198" t="s">
        <v>375</v>
      </c>
      <c r="G120" s="199"/>
      <c r="H120" s="199"/>
      <c r="I120" s="199"/>
      <c r="J120" s="135"/>
      <c r="K120" s="142"/>
      <c r="L120" s="135"/>
      <c r="M120" s="135"/>
      <c r="N120" s="135"/>
      <c r="O120" s="135"/>
      <c r="P120" s="135"/>
      <c r="Q120" s="135"/>
      <c r="R120" s="119"/>
      <c r="T120" s="120"/>
      <c r="AA120" s="121"/>
      <c r="AT120" s="118" t="s">
        <v>113</v>
      </c>
      <c r="AU120" s="118" t="s">
        <v>93</v>
      </c>
      <c r="AV120" s="118" t="s">
        <v>12</v>
      </c>
      <c r="AW120" s="118" t="s">
        <v>84</v>
      </c>
      <c r="AX120" s="118" t="s">
        <v>66</v>
      </c>
      <c r="AY120" s="118" t="s">
        <v>110</v>
      </c>
    </row>
    <row r="121" spans="2:51" s="3" customFormat="1" ht="15" customHeight="1">
      <c r="B121" s="122"/>
      <c r="C121" s="135"/>
      <c r="D121" s="135"/>
      <c r="E121" s="143"/>
      <c r="F121" s="200" t="s">
        <v>374</v>
      </c>
      <c r="G121" s="200"/>
      <c r="H121" s="200"/>
      <c r="I121" s="200"/>
      <c r="J121" s="135"/>
      <c r="K121" s="144">
        <f>6.5*3.8*0.15</f>
        <v>3.7049999999999996</v>
      </c>
      <c r="L121" s="135"/>
      <c r="M121" s="135"/>
      <c r="N121" s="135"/>
      <c r="O121" s="135"/>
      <c r="P121" s="135"/>
      <c r="Q121" s="135"/>
      <c r="R121" s="125"/>
      <c r="T121" s="126"/>
      <c r="AA121" s="127"/>
      <c r="AT121" s="123" t="s">
        <v>113</v>
      </c>
      <c r="AU121" s="123" t="s">
        <v>93</v>
      </c>
      <c r="AV121" s="123" t="s">
        <v>93</v>
      </c>
      <c r="AW121" s="123" t="s">
        <v>84</v>
      </c>
      <c r="AX121" s="123" t="s">
        <v>66</v>
      </c>
      <c r="AY121" s="123" t="s">
        <v>110</v>
      </c>
    </row>
    <row r="122" spans="2:65" s="3" customFormat="1" ht="15" customHeight="1">
      <c r="B122" s="16"/>
      <c r="C122" s="133">
        <v>3</v>
      </c>
      <c r="D122" s="110" t="s">
        <v>111</v>
      </c>
      <c r="E122" s="130" t="s">
        <v>328</v>
      </c>
      <c r="F122" s="196" t="s">
        <v>329</v>
      </c>
      <c r="G122" s="197"/>
      <c r="H122" s="197"/>
      <c r="I122" s="197"/>
      <c r="J122" s="134" t="s">
        <v>334</v>
      </c>
      <c r="K122" s="113">
        <f>K124</f>
        <v>18.728</v>
      </c>
      <c r="L122" s="203"/>
      <c r="M122" s="197"/>
      <c r="N122" s="203">
        <f>K122*L122</f>
        <v>0</v>
      </c>
      <c r="O122" s="197"/>
      <c r="P122" s="197"/>
      <c r="Q122" s="197"/>
      <c r="R122" s="17"/>
      <c r="T122" s="114"/>
      <c r="U122" s="23" t="s">
        <v>33</v>
      </c>
      <c r="V122" s="115">
        <v>0.51</v>
      </c>
      <c r="W122" s="115" t="e">
        <f>#REF!*#REF!</f>
        <v>#REF!</v>
      </c>
      <c r="X122" s="115">
        <v>0.0273</v>
      </c>
      <c r="Y122" s="115" t="e">
        <f>#REF!*#REF!</f>
        <v>#REF!</v>
      </c>
      <c r="Z122" s="115">
        <v>0</v>
      </c>
      <c r="AA122" s="116" t="e">
        <f>#REF!*#REF!</f>
        <v>#REF!</v>
      </c>
      <c r="AR122" s="3" t="s">
        <v>112</v>
      </c>
      <c r="AT122" s="3" t="s">
        <v>111</v>
      </c>
      <c r="AU122" s="3" t="s">
        <v>93</v>
      </c>
      <c r="AY122" s="3" t="s">
        <v>110</v>
      </c>
      <c r="BE122" s="89" t="e">
        <f>IF(#REF!="základní",#REF!,0)</f>
        <v>#REF!</v>
      </c>
      <c r="BF122" s="89" t="e">
        <f>IF(#REF!="snížená",#REF!,0)</f>
        <v>#REF!</v>
      </c>
      <c r="BG122" s="89" t="e">
        <f>IF(#REF!="zákl. přenesená",#REF!,0)</f>
        <v>#REF!</v>
      </c>
      <c r="BH122" s="89" t="e">
        <f>IF(#REF!="sníž. přenesená",#REF!,0)</f>
        <v>#REF!</v>
      </c>
      <c r="BI122" s="89" t="e">
        <f>IF(#REF!="nulová",#REF!,0)</f>
        <v>#REF!</v>
      </c>
      <c r="BJ122" s="3" t="s">
        <v>93</v>
      </c>
      <c r="BK122" s="89" t="e">
        <f>ROUND(#REF!*#REF!,2)</f>
        <v>#REF!</v>
      </c>
      <c r="BL122" s="3" t="s">
        <v>112</v>
      </c>
      <c r="BM122" s="3" t="s">
        <v>171</v>
      </c>
    </row>
    <row r="123" spans="2:51" s="3" customFormat="1" ht="30" customHeight="1">
      <c r="B123" s="117"/>
      <c r="C123" s="135"/>
      <c r="D123" s="135"/>
      <c r="E123" s="141"/>
      <c r="F123" s="198" t="s">
        <v>330</v>
      </c>
      <c r="G123" s="199"/>
      <c r="H123" s="199"/>
      <c r="I123" s="199"/>
      <c r="J123" s="135"/>
      <c r="K123" s="142"/>
      <c r="L123" s="135"/>
      <c r="M123" s="135"/>
      <c r="N123" s="135"/>
      <c r="O123" s="135"/>
      <c r="P123" s="135"/>
      <c r="Q123" s="135"/>
      <c r="R123" s="119"/>
      <c r="T123" s="120"/>
      <c r="AA123" s="121"/>
      <c r="AT123" s="118" t="s">
        <v>113</v>
      </c>
      <c r="AU123" s="118" t="s">
        <v>93</v>
      </c>
      <c r="AV123" s="118" t="s">
        <v>12</v>
      </c>
      <c r="AW123" s="118" t="s">
        <v>84</v>
      </c>
      <c r="AX123" s="118" t="s">
        <v>66</v>
      </c>
      <c r="AY123" s="118" t="s">
        <v>110</v>
      </c>
    </row>
    <row r="124" spans="2:51" s="3" customFormat="1" ht="15" customHeight="1">
      <c r="B124" s="122"/>
      <c r="C124" s="135"/>
      <c r="D124" s="135"/>
      <c r="E124" s="143"/>
      <c r="F124" s="200" t="s">
        <v>331</v>
      </c>
      <c r="G124" s="200"/>
      <c r="H124" s="200"/>
      <c r="I124" s="200"/>
      <c r="J124" s="135"/>
      <c r="K124" s="144">
        <f>(23.41*1*1)*0.8</f>
        <v>18.728</v>
      </c>
      <c r="L124" s="135"/>
      <c r="M124" s="135"/>
      <c r="N124" s="135"/>
      <c r="O124" s="135"/>
      <c r="P124" s="135"/>
      <c r="Q124" s="135"/>
      <c r="R124" s="125"/>
      <c r="T124" s="126"/>
      <c r="AA124" s="127"/>
      <c r="AT124" s="123" t="s">
        <v>113</v>
      </c>
      <c r="AU124" s="123" t="s">
        <v>93</v>
      </c>
      <c r="AV124" s="123" t="s">
        <v>93</v>
      </c>
      <c r="AW124" s="123" t="s">
        <v>84</v>
      </c>
      <c r="AX124" s="123" t="s">
        <v>66</v>
      </c>
      <c r="AY124" s="123" t="s">
        <v>110</v>
      </c>
    </row>
    <row r="125" spans="2:65" s="3" customFormat="1" ht="30" customHeight="1">
      <c r="B125" s="16"/>
      <c r="C125" s="133">
        <v>4</v>
      </c>
      <c r="D125" s="110" t="s">
        <v>111</v>
      </c>
      <c r="E125" s="130" t="s">
        <v>332</v>
      </c>
      <c r="F125" s="196" t="s">
        <v>333</v>
      </c>
      <c r="G125" s="197"/>
      <c r="H125" s="197"/>
      <c r="I125" s="197"/>
      <c r="J125" s="134" t="s">
        <v>334</v>
      </c>
      <c r="K125" s="113">
        <f>K127</f>
        <v>4.682</v>
      </c>
      <c r="L125" s="203"/>
      <c r="M125" s="197"/>
      <c r="N125" s="203">
        <f>K125*L125</f>
        <v>0</v>
      </c>
      <c r="O125" s="197"/>
      <c r="P125" s="197"/>
      <c r="Q125" s="197"/>
      <c r="R125" s="17"/>
      <c r="T125" s="114"/>
      <c r="U125" s="23" t="s">
        <v>33</v>
      </c>
      <c r="V125" s="115">
        <v>0.51</v>
      </c>
      <c r="W125" s="115" t="e">
        <f>#REF!*#REF!</f>
        <v>#REF!</v>
      </c>
      <c r="X125" s="115">
        <v>0.0273</v>
      </c>
      <c r="Y125" s="115" t="e">
        <f>#REF!*#REF!</f>
        <v>#REF!</v>
      </c>
      <c r="Z125" s="115">
        <v>0</v>
      </c>
      <c r="AA125" s="116" t="e">
        <f>#REF!*#REF!</f>
        <v>#REF!</v>
      </c>
      <c r="AR125" s="3" t="s">
        <v>112</v>
      </c>
      <c r="AT125" s="3" t="s">
        <v>111</v>
      </c>
      <c r="AU125" s="3" t="s">
        <v>93</v>
      </c>
      <c r="AY125" s="3" t="s">
        <v>110</v>
      </c>
      <c r="BE125" s="89" t="e">
        <f>IF(#REF!="základní",#REF!,0)</f>
        <v>#REF!</v>
      </c>
      <c r="BF125" s="89" t="e">
        <f>IF(#REF!="snížená",#REF!,0)</f>
        <v>#REF!</v>
      </c>
      <c r="BG125" s="89" t="e">
        <f>IF(#REF!="zákl. přenesená",#REF!,0)</f>
        <v>#REF!</v>
      </c>
      <c r="BH125" s="89" t="e">
        <f>IF(#REF!="sníž. přenesená",#REF!,0)</f>
        <v>#REF!</v>
      </c>
      <c r="BI125" s="89" t="e">
        <f>IF(#REF!="nulová",#REF!,0)</f>
        <v>#REF!</v>
      </c>
      <c r="BJ125" s="3" t="s">
        <v>93</v>
      </c>
      <c r="BK125" s="89" t="e">
        <f>ROUND(#REF!*#REF!,2)</f>
        <v>#REF!</v>
      </c>
      <c r="BL125" s="3" t="s">
        <v>112</v>
      </c>
      <c r="BM125" s="3" t="s">
        <v>171</v>
      </c>
    </row>
    <row r="126" spans="2:51" s="3" customFormat="1" ht="30" customHeight="1">
      <c r="B126" s="117"/>
      <c r="C126" s="135"/>
      <c r="D126" s="135"/>
      <c r="E126" s="141"/>
      <c r="F126" s="198" t="s">
        <v>335</v>
      </c>
      <c r="G126" s="199"/>
      <c r="H126" s="199"/>
      <c r="I126" s="199"/>
      <c r="J126" s="135"/>
      <c r="K126" s="142"/>
      <c r="L126" s="135"/>
      <c r="M126" s="135"/>
      <c r="N126" s="135"/>
      <c r="O126" s="135"/>
      <c r="P126" s="135"/>
      <c r="Q126" s="135"/>
      <c r="R126" s="119"/>
      <c r="T126" s="120"/>
      <c r="AA126" s="121"/>
      <c r="AT126" s="118" t="s">
        <v>113</v>
      </c>
      <c r="AU126" s="118" t="s">
        <v>93</v>
      </c>
      <c r="AV126" s="118" t="s">
        <v>12</v>
      </c>
      <c r="AW126" s="118" t="s">
        <v>84</v>
      </c>
      <c r="AX126" s="118" t="s">
        <v>66</v>
      </c>
      <c r="AY126" s="118" t="s">
        <v>110</v>
      </c>
    </row>
    <row r="127" spans="2:51" s="3" customFormat="1" ht="15" customHeight="1">
      <c r="B127" s="122"/>
      <c r="C127" s="135"/>
      <c r="D127" s="135"/>
      <c r="E127" s="143"/>
      <c r="F127" s="200" t="s">
        <v>336</v>
      </c>
      <c r="G127" s="200"/>
      <c r="H127" s="200"/>
      <c r="I127" s="200"/>
      <c r="J127" s="135"/>
      <c r="K127" s="144">
        <f>(23.41*1*1)*0.2</f>
        <v>4.682</v>
      </c>
      <c r="L127" s="135"/>
      <c r="M127" s="135"/>
      <c r="N127" s="135"/>
      <c r="O127" s="135"/>
      <c r="P127" s="135"/>
      <c r="Q127" s="135"/>
      <c r="R127" s="125"/>
      <c r="T127" s="126"/>
      <c r="AA127" s="127"/>
      <c r="AT127" s="123" t="s">
        <v>113</v>
      </c>
      <c r="AU127" s="123" t="s">
        <v>93</v>
      </c>
      <c r="AV127" s="123" t="s">
        <v>93</v>
      </c>
      <c r="AW127" s="123" t="s">
        <v>84</v>
      </c>
      <c r="AX127" s="123" t="s">
        <v>66</v>
      </c>
      <c r="AY127" s="123" t="s">
        <v>110</v>
      </c>
    </row>
    <row r="128" spans="2:65" s="3" customFormat="1" ht="15" customHeight="1">
      <c r="B128" s="16"/>
      <c r="C128" s="133">
        <v>5</v>
      </c>
      <c r="D128" s="110" t="s">
        <v>111</v>
      </c>
      <c r="E128" s="130" t="s">
        <v>338</v>
      </c>
      <c r="F128" s="196" t="s">
        <v>339</v>
      </c>
      <c r="G128" s="197"/>
      <c r="H128" s="197"/>
      <c r="I128" s="197"/>
      <c r="J128" s="134" t="s">
        <v>334</v>
      </c>
      <c r="K128" s="113">
        <f>K122+K125</f>
        <v>23.410000000000004</v>
      </c>
      <c r="L128" s="203"/>
      <c r="M128" s="197"/>
      <c r="N128" s="203">
        <f>K128*L128</f>
        <v>0</v>
      </c>
      <c r="O128" s="197"/>
      <c r="P128" s="197"/>
      <c r="Q128" s="197"/>
      <c r="R128" s="17"/>
      <c r="T128" s="114"/>
      <c r="U128" s="23" t="s">
        <v>33</v>
      </c>
      <c r="V128" s="115">
        <v>0.51</v>
      </c>
      <c r="W128" s="115" t="e">
        <f>#REF!*#REF!</f>
        <v>#REF!</v>
      </c>
      <c r="X128" s="115">
        <v>0.0273</v>
      </c>
      <c r="Y128" s="115" t="e">
        <f>#REF!*#REF!</f>
        <v>#REF!</v>
      </c>
      <c r="Z128" s="115">
        <v>0</v>
      </c>
      <c r="AA128" s="116" t="e">
        <f>#REF!*#REF!</f>
        <v>#REF!</v>
      </c>
      <c r="AR128" s="3" t="s">
        <v>112</v>
      </c>
      <c r="AT128" s="3" t="s">
        <v>111</v>
      </c>
      <c r="AU128" s="3" t="s">
        <v>93</v>
      </c>
      <c r="AY128" s="3" t="s">
        <v>110</v>
      </c>
      <c r="BE128" s="89" t="e">
        <f>IF(#REF!="základní",#REF!,0)</f>
        <v>#REF!</v>
      </c>
      <c r="BF128" s="89" t="e">
        <f>IF(#REF!="snížená",#REF!,0)</f>
        <v>#REF!</v>
      </c>
      <c r="BG128" s="89" t="e">
        <f>IF(#REF!="zákl. přenesená",#REF!,0)</f>
        <v>#REF!</v>
      </c>
      <c r="BH128" s="89" t="e">
        <f>IF(#REF!="sníž. přenesená",#REF!,0)</f>
        <v>#REF!</v>
      </c>
      <c r="BI128" s="89" t="e">
        <f>IF(#REF!="nulová",#REF!,0)</f>
        <v>#REF!</v>
      </c>
      <c r="BJ128" s="3" t="s">
        <v>93</v>
      </c>
      <c r="BK128" s="89" t="e">
        <f>ROUND(#REF!*#REF!,2)</f>
        <v>#REF!</v>
      </c>
      <c r="BL128" s="3" t="s">
        <v>112</v>
      </c>
      <c r="BM128" s="3" t="s">
        <v>171</v>
      </c>
    </row>
    <row r="129" spans="2:65" s="3" customFormat="1" ht="15" customHeight="1">
      <c r="B129" s="16"/>
      <c r="C129" s="133">
        <v>6</v>
      </c>
      <c r="D129" s="110" t="s">
        <v>111</v>
      </c>
      <c r="E129" s="130" t="s">
        <v>340</v>
      </c>
      <c r="F129" s="196" t="s">
        <v>341</v>
      </c>
      <c r="G129" s="197"/>
      <c r="H129" s="197"/>
      <c r="I129" s="197"/>
      <c r="J129" s="134" t="s">
        <v>334</v>
      </c>
      <c r="K129" s="113">
        <f>K128</f>
        <v>23.410000000000004</v>
      </c>
      <c r="L129" s="203"/>
      <c r="M129" s="197"/>
      <c r="N129" s="203">
        <f>K129*L129</f>
        <v>0</v>
      </c>
      <c r="O129" s="197"/>
      <c r="P129" s="197"/>
      <c r="Q129" s="197"/>
      <c r="R129" s="17"/>
      <c r="T129" s="114"/>
      <c r="U129" s="23" t="s">
        <v>33</v>
      </c>
      <c r="V129" s="115">
        <v>0.51</v>
      </c>
      <c r="W129" s="115" t="e">
        <f>#REF!*#REF!</f>
        <v>#REF!</v>
      </c>
      <c r="X129" s="115">
        <v>0.0273</v>
      </c>
      <c r="Y129" s="115" t="e">
        <f>#REF!*#REF!</f>
        <v>#REF!</v>
      </c>
      <c r="Z129" s="115">
        <v>0</v>
      </c>
      <c r="AA129" s="116" t="e">
        <f>#REF!*#REF!</f>
        <v>#REF!</v>
      </c>
      <c r="AR129" s="3" t="s">
        <v>112</v>
      </c>
      <c r="AT129" s="3" t="s">
        <v>111</v>
      </c>
      <c r="AU129" s="3" t="s">
        <v>93</v>
      </c>
      <c r="AY129" s="3" t="s">
        <v>110</v>
      </c>
      <c r="BE129" s="89" t="e">
        <f>IF(#REF!="základní",#REF!,0)</f>
        <v>#REF!</v>
      </c>
      <c r="BF129" s="89" t="e">
        <f>IF(#REF!="snížená",#REF!,0)</f>
        <v>#REF!</v>
      </c>
      <c r="BG129" s="89" t="e">
        <f>IF(#REF!="zákl. přenesená",#REF!,0)</f>
        <v>#REF!</v>
      </c>
      <c r="BH129" s="89" t="e">
        <f>IF(#REF!="sníž. přenesená",#REF!,0)</f>
        <v>#REF!</v>
      </c>
      <c r="BI129" s="89" t="e">
        <f>IF(#REF!="nulová",#REF!,0)</f>
        <v>#REF!</v>
      </c>
      <c r="BJ129" s="3" t="s">
        <v>93</v>
      </c>
      <c r="BK129" s="89" t="e">
        <f>ROUND(#REF!*#REF!,2)</f>
        <v>#REF!</v>
      </c>
      <c r="BL129" s="3" t="s">
        <v>112</v>
      </c>
      <c r="BM129" s="3" t="s">
        <v>171</v>
      </c>
    </row>
    <row r="130" spans="2:65" s="3" customFormat="1" ht="15" customHeight="1">
      <c r="B130" s="16"/>
      <c r="C130" s="133">
        <v>7</v>
      </c>
      <c r="D130" s="110" t="s">
        <v>111</v>
      </c>
      <c r="E130" s="130" t="s">
        <v>342</v>
      </c>
      <c r="F130" s="196" t="s">
        <v>344</v>
      </c>
      <c r="G130" s="197"/>
      <c r="H130" s="197"/>
      <c r="I130" s="197"/>
      <c r="J130" s="134" t="s">
        <v>334</v>
      </c>
      <c r="K130" s="113">
        <f>K128</f>
        <v>23.410000000000004</v>
      </c>
      <c r="L130" s="203"/>
      <c r="M130" s="197"/>
      <c r="N130" s="203">
        <f>K130*L130</f>
        <v>0</v>
      </c>
      <c r="O130" s="197"/>
      <c r="P130" s="197"/>
      <c r="Q130" s="197"/>
      <c r="R130" s="17"/>
      <c r="T130" s="114"/>
      <c r="U130" s="23" t="s">
        <v>33</v>
      </c>
      <c r="V130" s="115">
        <v>0.51</v>
      </c>
      <c r="W130" s="115" t="e">
        <f>#REF!*#REF!</f>
        <v>#REF!</v>
      </c>
      <c r="X130" s="115">
        <v>0.0273</v>
      </c>
      <c r="Y130" s="115" t="e">
        <f>#REF!*#REF!</f>
        <v>#REF!</v>
      </c>
      <c r="Z130" s="115">
        <v>0</v>
      </c>
      <c r="AA130" s="116" t="e">
        <f>#REF!*#REF!</f>
        <v>#REF!</v>
      </c>
      <c r="AR130" s="3" t="s">
        <v>112</v>
      </c>
      <c r="AT130" s="3" t="s">
        <v>111</v>
      </c>
      <c r="AU130" s="3" t="s">
        <v>93</v>
      </c>
      <c r="AY130" s="3" t="s">
        <v>110</v>
      </c>
      <c r="BE130" s="89" t="e">
        <f>IF(#REF!="základní",#REF!,0)</f>
        <v>#REF!</v>
      </c>
      <c r="BF130" s="89" t="e">
        <f>IF(#REF!="snížená",#REF!,0)</f>
        <v>#REF!</v>
      </c>
      <c r="BG130" s="89" t="e">
        <f>IF(#REF!="zákl. přenesená",#REF!,0)</f>
        <v>#REF!</v>
      </c>
      <c r="BH130" s="89" t="e">
        <f>IF(#REF!="sníž. přenesená",#REF!,0)</f>
        <v>#REF!</v>
      </c>
      <c r="BI130" s="89" t="e">
        <f>IF(#REF!="nulová",#REF!,0)</f>
        <v>#REF!</v>
      </c>
      <c r="BJ130" s="3" t="s">
        <v>93</v>
      </c>
      <c r="BK130" s="89" t="e">
        <f>ROUND(#REF!*#REF!,2)</f>
        <v>#REF!</v>
      </c>
      <c r="BL130" s="3" t="s">
        <v>112</v>
      </c>
      <c r="BM130" s="3" t="s">
        <v>171</v>
      </c>
    </row>
    <row r="131" spans="2:51" s="3" customFormat="1" ht="30" customHeight="1">
      <c r="B131" s="117"/>
      <c r="C131" s="135"/>
      <c r="D131" s="135"/>
      <c r="E131" s="141"/>
      <c r="F131" s="198" t="s">
        <v>347</v>
      </c>
      <c r="G131" s="199"/>
      <c r="H131" s="199"/>
      <c r="I131" s="199"/>
      <c r="J131" s="135"/>
      <c r="K131" s="142"/>
      <c r="L131" s="135"/>
      <c r="M131" s="135"/>
      <c r="N131" s="135"/>
      <c r="O131" s="135"/>
      <c r="P131" s="135"/>
      <c r="Q131" s="135"/>
      <c r="R131" s="119"/>
      <c r="T131" s="120"/>
      <c r="AA131" s="121"/>
      <c r="AT131" s="118" t="s">
        <v>113</v>
      </c>
      <c r="AU131" s="118" t="s">
        <v>93</v>
      </c>
      <c r="AV131" s="118" t="s">
        <v>12</v>
      </c>
      <c r="AW131" s="118" t="s">
        <v>84</v>
      </c>
      <c r="AX131" s="118" t="s">
        <v>66</v>
      </c>
      <c r="AY131" s="118" t="s">
        <v>110</v>
      </c>
    </row>
    <row r="132" spans="2:65" s="3" customFormat="1" ht="15" customHeight="1">
      <c r="B132" s="16"/>
      <c r="C132" s="133">
        <v>8</v>
      </c>
      <c r="D132" s="110" t="s">
        <v>111</v>
      </c>
      <c r="E132" s="130" t="s">
        <v>343</v>
      </c>
      <c r="F132" s="196" t="s">
        <v>345</v>
      </c>
      <c r="G132" s="197"/>
      <c r="H132" s="197"/>
      <c r="I132" s="197"/>
      <c r="J132" s="134" t="s">
        <v>334</v>
      </c>
      <c r="K132" s="113">
        <f>K128*16</f>
        <v>374.56000000000006</v>
      </c>
      <c r="L132" s="203"/>
      <c r="M132" s="197"/>
      <c r="N132" s="203">
        <f>K132*L132</f>
        <v>0</v>
      </c>
      <c r="O132" s="197"/>
      <c r="P132" s="197"/>
      <c r="Q132" s="197"/>
      <c r="R132" s="17"/>
      <c r="T132" s="114"/>
      <c r="U132" s="23" t="s">
        <v>33</v>
      </c>
      <c r="V132" s="115">
        <v>0.51</v>
      </c>
      <c r="W132" s="115" t="e">
        <f>#REF!*#REF!</f>
        <v>#REF!</v>
      </c>
      <c r="X132" s="115">
        <v>0.0273</v>
      </c>
      <c r="Y132" s="115" t="e">
        <f>#REF!*#REF!</f>
        <v>#REF!</v>
      </c>
      <c r="Z132" s="115">
        <v>0</v>
      </c>
      <c r="AA132" s="116" t="e">
        <f>#REF!*#REF!</f>
        <v>#REF!</v>
      </c>
      <c r="AR132" s="3" t="s">
        <v>112</v>
      </c>
      <c r="AT132" s="3" t="s">
        <v>111</v>
      </c>
      <c r="AU132" s="3" t="s">
        <v>93</v>
      </c>
      <c r="AY132" s="3" t="s">
        <v>110</v>
      </c>
      <c r="BE132" s="89" t="e">
        <f>IF(#REF!="základní",#REF!,0)</f>
        <v>#REF!</v>
      </c>
      <c r="BF132" s="89" t="e">
        <f>IF(#REF!="snížená",#REF!,0)</f>
        <v>#REF!</v>
      </c>
      <c r="BG132" s="89" t="e">
        <f>IF(#REF!="zákl. přenesená",#REF!,0)</f>
        <v>#REF!</v>
      </c>
      <c r="BH132" s="89" t="e">
        <f>IF(#REF!="sníž. přenesená",#REF!,0)</f>
        <v>#REF!</v>
      </c>
      <c r="BI132" s="89" t="e">
        <f>IF(#REF!="nulová",#REF!,0)</f>
        <v>#REF!</v>
      </c>
      <c r="BJ132" s="3" t="s">
        <v>93</v>
      </c>
      <c r="BK132" s="89" t="e">
        <f>ROUND(#REF!*#REF!,2)</f>
        <v>#REF!</v>
      </c>
      <c r="BL132" s="3" t="s">
        <v>112</v>
      </c>
      <c r="BM132" s="3" t="s">
        <v>171</v>
      </c>
    </row>
    <row r="133" spans="2:51" s="3" customFormat="1" ht="15" customHeight="1">
      <c r="B133" s="117"/>
      <c r="C133" s="135"/>
      <c r="D133" s="135"/>
      <c r="E133" s="141"/>
      <c r="F133" s="198" t="s">
        <v>346</v>
      </c>
      <c r="G133" s="199"/>
      <c r="H133" s="199"/>
      <c r="I133" s="199"/>
      <c r="J133" s="135"/>
      <c r="K133" s="142"/>
      <c r="L133" s="135"/>
      <c r="M133" s="135"/>
      <c r="N133" s="135"/>
      <c r="O133" s="135"/>
      <c r="P133" s="135"/>
      <c r="Q133" s="135"/>
      <c r="R133" s="119"/>
      <c r="T133" s="120"/>
      <c r="AA133" s="121"/>
      <c r="AT133" s="118" t="s">
        <v>113</v>
      </c>
      <c r="AU133" s="118" t="s">
        <v>93</v>
      </c>
      <c r="AV133" s="118" t="s">
        <v>12</v>
      </c>
      <c r="AW133" s="118" t="s">
        <v>84</v>
      </c>
      <c r="AX133" s="118" t="s">
        <v>66</v>
      </c>
      <c r="AY133" s="118" t="s">
        <v>110</v>
      </c>
    </row>
    <row r="134" spans="2:65" s="3" customFormat="1" ht="15" customHeight="1">
      <c r="B134" s="16"/>
      <c r="C134" s="133">
        <v>9</v>
      </c>
      <c r="D134" s="110" t="s">
        <v>111</v>
      </c>
      <c r="E134" s="130" t="s">
        <v>348</v>
      </c>
      <c r="F134" s="196" t="s">
        <v>349</v>
      </c>
      <c r="G134" s="197"/>
      <c r="H134" s="197"/>
      <c r="I134" s="197"/>
      <c r="J134" s="134" t="s">
        <v>114</v>
      </c>
      <c r="K134" s="113">
        <f>K128*2</f>
        <v>46.82000000000001</v>
      </c>
      <c r="L134" s="203"/>
      <c r="M134" s="197"/>
      <c r="N134" s="203">
        <f>K134*L134</f>
        <v>0</v>
      </c>
      <c r="O134" s="197"/>
      <c r="P134" s="197"/>
      <c r="Q134" s="197"/>
      <c r="R134" s="17"/>
      <c r="T134" s="114"/>
      <c r="U134" s="23" t="s">
        <v>33</v>
      </c>
      <c r="V134" s="115">
        <v>0.51</v>
      </c>
      <c r="W134" s="115" t="e">
        <f>#REF!*#REF!</f>
        <v>#REF!</v>
      </c>
      <c r="X134" s="115">
        <v>0.0273</v>
      </c>
      <c r="Y134" s="115" t="e">
        <f>#REF!*#REF!</f>
        <v>#REF!</v>
      </c>
      <c r="Z134" s="115">
        <v>0</v>
      </c>
      <c r="AA134" s="116" t="e">
        <f>#REF!*#REF!</f>
        <v>#REF!</v>
      </c>
      <c r="AR134" s="3" t="s">
        <v>112</v>
      </c>
      <c r="AT134" s="3" t="s">
        <v>111</v>
      </c>
      <c r="AU134" s="3" t="s">
        <v>93</v>
      </c>
      <c r="AY134" s="3" t="s">
        <v>110</v>
      </c>
      <c r="BE134" s="89" t="e">
        <f>IF(#REF!="základní",#REF!,0)</f>
        <v>#REF!</v>
      </c>
      <c r="BF134" s="89" t="e">
        <f>IF(#REF!="snížená",#REF!,0)</f>
        <v>#REF!</v>
      </c>
      <c r="BG134" s="89" t="e">
        <f>IF(#REF!="zákl. přenesená",#REF!,0)</f>
        <v>#REF!</v>
      </c>
      <c r="BH134" s="89" t="e">
        <f>IF(#REF!="sníž. přenesená",#REF!,0)</f>
        <v>#REF!</v>
      </c>
      <c r="BI134" s="89" t="e">
        <f>IF(#REF!="nulová",#REF!,0)</f>
        <v>#REF!</v>
      </c>
      <c r="BJ134" s="3" t="s">
        <v>93</v>
      </c>
      <c r="BK134" s="89" t="e">
        <f>ROUND(#REF!*#REF!,2)</f>
        <v>#REF!</v>
      </c>
      <c r="BL134" s="3" t="s">
        <v>112</v>
      </c>
      <c r="BM134" s="3" t="s">
        <v>171</v>
      </c>
    </row>
    <row r="135" spans="2:65" s="3" customFormat="1" ht="15" customHeight="1">
      <c r="B135" s="16"/>
      <c r="C135" s="133">
        <v>10</v>
      </c>
      <c r="D135" s="110" t="s">
        <v>111</v>
      </c>
      <c r="E135" s="130" t="s">
        <v>350</v>
      </c>
      <c r="F135" s="196" t="s">
        <v>351</v>
      </c>
      <c r="G135" s="197"/>
      <c r="H135" s="197"/>
      <c r="I135" s="197"/>
      <c r="J135" s="134" t="s">
        <v>334</v>
      </c>
      <c r="K135" s="113">
        <f>K128</f>
        <v>23.410000000000004</v>
      </c>
      <c r="L135" s="203"/>
      <c r="M135" s="197"/>
      <c r="N135" s="203">
        <f>K135*L135</f>
        <v>0</v>
      </c>
      <c r="O135" s="197"/>
      <c r="P135" s="197"/>
      <c r="Q135" s="197"/>
      <c r="R135" s="17"/>
      <c r="T135" s="114"/>
      <c r="U135" s="23" t="s">
        <v>33</v>
      </c>
      <c r="V135" s="115">
        <v>0.51</v>
      </c>
      <c r="W135" s="115" t="e">
        <f>#REF!*#REF!</f>
        <v>#REF!</v>
      </c>
      <c r="X135" s="115">
        <v>0.0273</v>
      </c>
      <c r="Y135" s="115" t="e">
        <f>#REF!*#REF!</f>
        <v>#REF!</v>
      </c>
      <c r="Z135" s="115">
        <v>0</v>
      </c>
      <c r="AA135" s="116" t="e">
        <f>#REF!*#REF!</f>
        <v>#REF!</v>
      </c>
      <c r="AR135" s="3" t="s">
        <v>112</v>
      </c>
      <c r="AT135" s="3" t="s">
        <v>111</v>
      </c>
      <c r="AU135" s="3" t="s">
        <v>93</v>
      </c>
      <c r="AY135" s="3" t="s">
        <v>110</v>
      </c>
      <c r="BE135" s="89" t="e">
        <f>IF(#REF!="základní",#REF!,0)</f>
        <v>#REF!</v>
      </c>
      <c r="BF135" s="89" t="e">
        <f>IF(#REF!="snížená",#REF!,0)</f>
        <v>#REF!</v>
      </c>
      <c r="BG135" s="89" t="e">
        <f>IF(#REF!="zákl. přenesená",#REF!,0)</f>
        <v>#REF!</v>
      </c>
      <c r="BH135" s="89" t="e">
        <f>IF(#REF!="sníž. přenesená",#REF!,0)</f>
        <v>#REF!</v>
      </c>
      <c r="BI135" s="89" t="e">
        <f>IF(#REF!="nulová",#REF!,0)</f>
        <v>#REF!</v>
      </c>
      <c r="BJ135" s="3" t="s">
        <v>93</v>
      </c>
      <c r="BK135" s="89" t="e">
        <f>ROUND(#REF!*#REF!,2)</f>
        <v>#REF!</v>
      </c>
      <c r="BL135" s="3" t="s">
        <v>112</v>
      </c>
      <c r="BM135" s="3" t="s">
        <v>171</v>
      </c>
    </row>
    <row r="136" spans="2:65" s="3" customFormat="1" ht="15" customHeight="1">
      <c r="B136" s="16"/>
      <c r="C136" s="133">
        <v>11</v>
      </c>
      <c r="D136" s="110" t="s">
        <v>111</v>
      </c>
      <c r="E136" s="130" t="s">
        <v>352</v>
      </c>
      <c r="F136" s="196" t="s">
        <v>353</v>
      </c>
      <c r="G136" s="197"/>
      <c r="H136" s="197"/>
      <c r="I136" s="197"/>
      <c r="J136" s="134" t="s">
        <v>114</v>
      </c>
      <c r="K136" s="113">
        <f>K128*1.9</f>
        <v>44.479000000000006</v>
      </c>
      <c r="L136" s="203"/>
      <c r="M136" s="197"/>
      <c r="N136" s="203">
        <f>K136*L136</f>
        <v>0</v>
      </c>
      <c r="O136" s="197"/>
      <c r="P136" s="197"/>
      <c r="Q136" s="197"/>
      <c r="R136" s="17"/>
      <c r="T136" s="114"/>
      <c r="U136" s="23" t="s">
        <v>33</v>
      </c>
      <c r="V136" s="115">
        <v>0.51</v>
      </c>
      <c r="W136" s="115" t="e">
        <f>#REF!*#REF!</f>
        <v>#REF!</v>
      </c>
      <c r="X136" s="115">
        <v>0.0273</v>
      </c>
      <c r="Y136" s="115" t="e">
        <f>#REF!*#REF!</f>
        <v>#REF!</v>
      </c>
      <c r="Z136" s="115">
        <v>0</v>
      </c>
      <c r="AA136" s="116" t="e">
        <f>#REF!*#REF!</f>
        <v>#REF!</v>
      </c>
      <c r="AE136" s="129">
        <f>K136</f>
        <v>44.479000000000006</v>
      </c>
      <c r="AR136" s="3" t="s">
        <v>112</v>
      </c>
      <c r="AT136" s="3" t="s">
        <v>111</v>
      </c>
      <c r="AU136" s="3" t="s">
        <v>93</v>
      </c>
      <c r="AY136" s="3" t="s">
        <v>110</v>
      </c>
      <c r="BE136" s="89" t="e">
        <f>IF(#REF!="základní",#REF!,0)</f>
        <v>#REF!</v>
      </c>
      <c r="BF136" s="89" t="e">
        <f>IF(#REF!="snížená",#REF!,0)</f>
        <v>#REF!</v>
      </c>
      <c r="BG136" s="89" t="e">
        <f>IF(#REF!="zákl. přenesená",#REF!,0)</f>
        <v>#REF!</v>
      </c>
      <c r="BH136" s="89" t="e">
        <f>IF(#REF!="sníž. přenesená",#REF!,0)</f>
        <v>#REF!</v>
      </c>
      <c r="BI136" s="89" t="e">
        <f>IF(#REF!="nulová",#REF!,0)</f>
        <v>#REF!</v>
      </c>
      <c r="BJ136" s="3" t="s">
        <v>93</v>
      </c>
      <c r="BK136" s="89" t="e">
        <f>ROUND(#REF!*#REF!,2)</f>
        <v>#REF!</v>
      </c>
      <c r="BL136" s="3" t="s">
        <v>112</v>
      </c>
      <c r="BM136" s="3" t="s">
        <v>171</v>
      </c>
    </row>
    <row r="137" spans="2:63" s="100" customFormat="1" ht="30.75" customHeight="1">
      <c r="B137" s="101"/>
      <c r="D137" s="109" t="s">
        <v>365</v>
      </c>
      <c r="E137" s="109"/>
      <c r="F137" s="109"/>
      <c r="G137" s="109"/>
      <c r="H137" s="109"/>
      <c r="I137" s="109"/>
      <c r="J137" s="109"/>
      <c r="K137" s="109"/>
      <c r="L137" s="109"/>
      <c r="M137" s="109"/>
      <c r="N137" s="208">
        <f>SUM(N138:Q145)</f>
        <v>0</v>
      </c>
      <c r="O137" s="209"/>
      <c r="P137" s="209"/>
      <c r="Q137" s="209"/>
      <c r="R137" s="104"/>
      <c r="T137" s="105"/>
      <c r="W137" s="106" t="e">
        <f>SUM($W$179:$W$251)</f>
        <v>#REF!</v>
      </c>
      <c r="Y137" s="106" t="e">
        <f>SUM($Y$179:$Y$251)</f>
        <v>#REF!</v>
      </c>
      <c r="AA137" s="107" t="e">
        <f>SUM($AA$179:$AA$251)</f>
        <v>#REF!</v>
      </c>
      <c r="AR137" s="103" t="s">
        <v>12</v>
      </c>
      <c r="AT137" s="103" t="s">
        <v>65</v>
      </c>
      <c r="AU137" s="103" t="s">
        <v>12</v>
      </c>
      <c r="AY137" s="103" t="s">
        <v>110</v>
      </c>
      <c r="BK137" s="108" t="e">
        <f>SUM($BK$179:$BK$251)</f>
        <v>#REF!</v>
      </c>
    </row>
    <row r="138" spans="2:65" s="3" customFormat="1" ht="30" customHeight="1">
      <c r="B138" s="16"/>
      <c r="C138" s="133">
        <v>12</v>
      </c>
      <c r="D138" s="110" t="s">
        <v>111</v>
      </c>
      <c r="E138" s="130" t="s">
        <v>369</v>
      </c>
      <c r="F138" s="196" t="s">
        <v>370</v>
      </c>
      <c r="G138" s="197"/>
      <c r="H138" s="197"/>
      <c r="I138" s="197"/>
      <c r="J138" s="134" t="s">
        <v>115</v>
      </c>
      <c r="K138" s="113">
        <f>K140</f>
        <v>31.2</v>
      </c>
      <c r="L138" s="203"/>
      <c r="M138" s="197"/>
      <c r="N138" s="203">
        <f>K138*L138</f>
        <v>0</v>
      </c>
      <c r="O138" s="197"/>
      <c r="P138" s="197"/>
      <c r="Q138" s="197"/>
      <c r="R138" s="17"/>
      <c r="T138" s="114"/>
      <c r="U138" s="23" t="s">
        <v>33</v>
      </c>
      <c r="V138" s="115">
        <v>0.51</v>
      </c>
      <c r="W138" s="115" t="e">
        <f>#REF!*#REF!</f>
        <v>#REF!</v>
      </c>
      <c r="X138" s="115">
        <v>0.0273</v>
      </c>
      <c r="Y138" s="115" t="e">
        <f>#REF!*#REF!</f>
        <v>#REF!</v>
      </c>
      <c r="Z138" s="115">
        <v>0</v>
      </c>
      <c r="AA138" s="116" t="e">
        <f>#REF!*#REF!</f>
        <v>#REF!</v>
      </c>
      <c r="AD138" s="3">
        <v>1.29484</v>
      </c>
      <c r="AE138" s="3">
        <f>K138*AD138</f>
        <v>40.399008</v>
      </c>
      <c r="AR138" s="3" t="s">
        <v>112</v>
      </c>
      <c r="AT138" s="3" t="s">
        <v>111</v>
      </c>
      <c r="AU138" s="3" t="s">
        <v>93</v>
      </c>
      <c r="AY138" s="3" t="s">
        <v>110</v>
      </c>
      <c r="BE138" s="89" t="e">
        <f>IF(#REF!="základní",#REF!,0)</f>
        <v>#REF!</v>
      </c>
      <c r="BF138" s="89" t="e">
        <f>IF(#REF!="snížená",#REF!,0)</f>
        <v>#REF!</v>
      </c>
      <c r="BG138" s="89" t="e">
        <f>IF(#REF!="zákl. přenesená",#REF!,0)</f>
        <v>#REF!</v>
      </c>
      <c r="BH138" s="89" t="e">
        <f>IF(#REF!="sníž. přenesená",#REF!,0)</f>
        <v>#REF!</v>
      </c>
      <c r="BI138" s="89" t="e">
        <f>IF(#REF!="nulová",#REF!,0)</f>
        <v>#REF!</v>
      </c>
      <c r="BJ138" s="3" t="s">
        <v>93</v>
      </c>
      <c r="BK138" s="89" t="e">
        <f>ROUND(#REF!*#REF!,2)</f>
        <v>#REF!</v>
      </c>
      <c r="BL138" s="3" t="s">
        <v>112</v>
      </c>
      <c r="BM138" s="3" t="s">
        <v>171</v>
      </c>
    </row>
    <row r="139" spans="2:51" s="3" customFormat="1" ht="15" customHeight="1">
      <c r="B139" s="117"/>
      <c r="C139" s="135"/>
      <c r="D139" s="135"/>
      <c r="E139" s="141"/>
      <c r="F139" s="198" t="s">
        <v>368</v>
      </c>
      <c r="G139" s="199"/>
      <c r="H139" s="199"/>
      <c r="I139" s="199"/>
      <c r="J139" s="135"/>
      <c r="K139" s="142"/>
      <c r="L139" s="135"/>
      <c r="M139" s="135"/>
      <c r="N139" s="135"/>
      <c r="O139" s="135"/>
      <c r="P139" s="135"/>
      <c r="Q139" s="135"/>
      <c r="R139" s="119"/>
      <c r="T139" s="120"/>
      <c r="AA139" s="121"/>
      <c r="AT139" s="118" t="s">
        <v>113</v>
      </c>
      <c r="AU139" s="118" t="s">
        <v>93</v>
      </c>
      <c r="AV139" s="118" t="s">
        <v>12</v>
      </c>
      <c r="AW139" s="118" t="s">
        <v>84</v>
      </c>
      <c r="AX139" s="118" t="s">
        <v>66</v>
      </c>
      <c r="AY139" s="118" t="s">
        <v>110</v>
      </c>
    </row>
    <row r="140" spans="2:51" s="3" customFormat="1" ht="15" customHeight="1">
      <c r="B140" s="122"/>
      <c r="C140" s="135"/>
      <c r="D140" s="135"/>
      <c r="E140" s="143"/>
      <c r="F140" s="200" t="s">
        <v>371</v>
      </c>
      <c r="G140" s="200"/>
      <c r="H140" s="200"/>
      <c r="I140" s="200"/>
      <c r="J140" s="135"/>
      <c r="K140" s="144">
        <f>6.5*4.8</f>
        <v>31.2</v>
      </c>
      <c r="L140" s="135"/>
      <c r="M140" s="135"/>
      <c r="N140" s="135"/>
      <c r="O140" s="135"/>
      <c r="P140" s="135"/>
      <c r="Q140" s="135"/>
      <c r="R140" s="125"/>
      <c r="T140" s="126"/>
      <c r="AA140" s="127"/>
      <c r="AT140" s="123" t="s">
        <v>113</v>
      </c>
      <c r="AU140" s="123" t="s">
        <v>93</v>
      </c>
      <c r="AV140" s="123" t="s">
        <v>93</v>
      </c>
      <c r="AW140" s="123" t="s">
        <v>84</v>
      </c>
      <c r="AX140" s="123" t="s">
        <v>66</v>
      </c>
      <c r="AY140" s="123" t="s">
        <v>110</v>
      </c>
    </row>
    <row r="141" spans="2:65" s="3" customFormat="1" ht="30" customHeight="1">
      <c r="B141" s="16"/>
      <c r="C141" s="133">
        <v>13</v>
      </c>
      <c r="D141" s="110" t="s">
        <v>111</v>
      </c>
      <c r="E141" s="130" t="s">
        <v>366</v>
      </c>
      <c r="F141" s="196" t="s">
        <v>367</v>
      </c>
      <c r="G141" s="197"/>
      <c r="H141" s="197"/>
      <c r="I141" s="197"/>
      <c r="J141" s="134" t="s">
        <v>118</v>
      </c>
      <c r="K141" s="113">
        <v>6.5</v>
      </c>
      <c r="L141" s="203"/>
      <c r="M141" s="197"/>
      <c r="N141" s="203">
        <f>K141*L141</f>
        <v>0</v>
      </c>
      <c r="O141" s="197"/>
      <c r="P141" s="197"/>
      <c r="Q141" s="197"/>
      <c r="R141" s="17"/>
      <c r="T141" s="114"/>
      <c r="U141" s="23" t="s">
        <v>33</v>
      </c>
      <c r="V141" s="115">
        <v>0.51</v>
      </c>
      <c r="W141" s="115" t="e">
        <f>#REF!*#REF!</f>
        <v>#REF!</v>
      </c>
      <c r="X141" s="115">
        <v>0.0273</v>
      </c>
      <c r="Y141" s="115" t="e">
        <f>#REF!*#REF!</f>
        <v>#REF!</v>
      </c>
      <c r="Z141" s="115">
        <v>0</v>
      </c>
      <c r="AA141" s="116" t="e">
        <f>#REF!*#REF!</f>
        <v>#REF!</v>
      </c>
      <c r="AD141" s="3">
        <v>0.09339</v>
      </c>
      <c r="AE141" s="3">
        <f>K141*AD141</f>
        <v>0.607035</v>
      </c>
      <c r="AR141" s="3" t="s">
        <v>112</v>
      </c>
      <c r="AT141" s="3" t="s">
        <v>111</v>
      </c>
      <c r="AU141" s="3" t="s">
        <v>93</v>
      </c>
      <c r="AY141" s="3" t="s">
        <v>110</v>
      </c>
      <c r="BE141" s="89" t="e">
        <f>IF(#REF!="základní",#REF!,0)</f>
        <v>#REF!</v>
      </c>
      <c r="BF141" s="89" t="e">
        <f>IF(#REF!="snížená",#REF!,0)</f>
        <v>#REF!</v>
      </c>
      <c r="BG141" s="89" t="e">
        <f>IF(#REF!="zákl. přenesená",#REF!,0)</f>
        <v>#REF!</v>
      </c>
      <c r="BH141" s="89" t="e">
        <f>IF(#REF!="sníž. přenesená",#REF!,0)</f>
        <v>#REF!</v>
      </c>
      <c r="BI141" s="89" t="e">
        <f>IF(#REF!="nulová",#REF!,0)</f>
        <v>#REF!</v>
      </c>
      <c r="BJ141" s="3" t="s">
        <v>93</v>
      </c>
      <c r="BK141" s="89" t="e">
        <f>ROUND(#REF!*#REF!,2)</f>
        <v>#REF!</v>
      </c>
      <c r="BL141" s="3" t="s">
        <v>112</v>
      </c>
      <c r="BM141" s="3" t="s">
        <v>171</v>
      </c>
    </row>
    <row r="142" spans="2:51" s="3" customFormat="1" ht="15" customHeight="1">
      <c r="B142" s="117"/>
      <c r="C142" s="135"/>
      <c r="D142" s="135"/>
      <c r="E142" s="141"/>
      <c r="F142" s="198" t="s">
        <v>368</v>
      </c>
      <c r="G142" s="199"/>
      <c r="H142" s="199"/>
      <c r="I142" s="199"/>
      <c r="J142" s="135"/>
      <c r="K142" s="142"/>
      <c r="L142" s="135"/>
      <c r="M142" s="135"/>
      <c r="N142" s="135"/>
      <c r="O142" s="135"/>
      <c r="P142" s="135"/>
      <c r="Q142" s="135"/>
      <c r="R142" s="119"/>
      <c r="T142" s="120"/>
      <c r="AA142" s="121"/>
      <c r="AT142" s="118" t="s">
        <v>113</v>
      </c>
      <c r="AU142" s="118" t="s">
        <v>93</v>
      </c>
      <c r="AV142" s="118" t="s">
        <v>12</v>
      </c>
      <c r="AW142" s="118" t="s">
        <v>84</v>
      </c>
      <c r="AX142" s="118" t="s">
        <v>66</v>
      </c>
      <c r="AY142" s="118" t="s">
        <v>110</v>
      </c>
    </row>
    <row r="143" spans="2:65" s="3" customFormat="1" ht="15" customHeight="1">
      <c r="B143" s="16"/>
      <c r="C143" s="133">
        <v>14</v>
      </c>
      <c r="D143" s="110" t="s">
        <v>111</v>
      </c>
      <c r="E143" s="130" t="s">
        <v>352</v>
      </c>
      <c r="F143" s="196" t="s">
        <v>353</v>
      </c>
      <c r="G143" s="197"/>
      <c r="H143" s="197"/>
      <c r="I143" s="197"/>
      <c r="J143" s="134" t="s">
        <v>114</v>
      </c>
      <c r="K143" s="113">
        <f>K145</f>
        <v>8.892</v>
      </c>
      <c r="L143" s="203"/>
      <c r="M143" s="197"/>
      <c r="N143" s="203">
        <f>K143*L143</f>
        <v>0</v>
      </c>
      <c r="O143" s="197"/>
      <c r="P143" s="197"/>
      <c r="Q143" s="197"/>
      <c r="R143" s="17"/>
      <c r="T143" s="114"/>
      <c r="U143" s="23" t="s">
        <v>33</v>
      </c>
      <c r="V143" s="115">
        <v>0.51</v>
      </c>
      <c r="W143" s="115" t="e">
        <f>#REF!*#REF!</f>
        <v>#REF!</v>
      </c>
      <c r="X143" s="115">
        <v>0.0273</v>
      </c>
      <c r="Y143" s="115" t="e">
        <f>#REF!*#REF!</f>
        <v>#REF!</v>
      </c>
      <c r="Z143" s="115">
        <v>0</v>
      </c>
      <c r="AA143" s="116" t="e">
        <f>#REF!*#REF!</f>
        <v>#REF!</v>
      </c>
      <c r="AE143" s="129">
        <f>K143</f>
        <v>8.892</v>
      </c>
      <c r="AR143" s="3" t="s">
        <v>112</v>
      </c>
      <c r="AT143" s="3" t="s">
        <v>111</v>
      </c>
      <c r="AU143" s="3" t="s">
        <v>93</v>
      </c>
      <c r="AY143" s="3" t="s">
        <v>110</v>
      </c>
      <c r="BE143" s="89" t="e">
        <f>IF(#REF!="základní",#REF!,0)</f>
        <v>#REF!</v>
      </c>
      <c r="BF143" s="89" t="e">
        <f>IF(#REF!="snížená",#REF!,0)</f>
        <v>#REF!</v>
      </c>
      <c r="BG143" s="89" t="e">
        <f>IF(#REF!="zákl. přenesená",#REF!,0)</f>
        <v>#REF!</v>
      </c>
      <c r="BH143" s="89" t="e">
        <f>IF(#REF!="sníž. přenesená",#REF!,0)</f>
        <v>#REF!</v>
      </c>
      <c r="BI143" s="89" t="e">
        <f>IF(#REF!="nulová",#REF!,0)</f>
        <v>#REF!</v>
      </c>
      <c r="BJ143" s="3" t="s">
        <v>93</v>
      </c>
      <c r="BK143" s="89" t="e">
        <f>ROUND(#REF!*#REF!,2)</f>
        <v>#REF!</v>
      </c>
      <c r="BL143" s="3" t="s">
        <v>112</v>
      </c>
      <c r="BM143" s="3" t="s">
        <v>171</v>
      </c>
    </row>
    <row r="144" spans="2:51" s="3" customFormat="1" ht="18.75" customHeight="1">
      <c r="B144" s="117"/>
      <c r="C144" s="135"/>
      <c r="D144" s="135"/>
      <c r="E144" s="141"/>
      <c r="F144" s="198" t="s">
        <v>372</v>
      </c>
      <c r="G144" s="199"/>
      <c r="H144" s="199"/>
      <c r="I144" s="199"/>
      <c r="J144" s="135"/>
      <c r="K144" s="142"/>
      <c r="L144" s="135"/>
      <c r="M144" s="135"/>
      <c r="N144" s="135"/>
      <c r="O144" s="135"/>
      <c r="P144" s="135"/>
      <c r="Q144" s="135"/>
      <c r="R144" s="119"/>
      <c r="T144" s="120"/>
      <c r="AA144" s="121"/>
      <c r="AT144" s="118" t="s">
        <v>113</v>
      </c>
      <c r="AU144" s="118" t="s">
        <v>93</v>
      </c>
      <c r="AV144" s="118" t="s">
        <v>12</v>
      </c>
      <c r="AW144" s="118" t="s">
        <v>84</v>
      </c>
      <c r="AX144" s="118" t="s">
        <v>66</v>
      </c>
      <c r="AY144" s="118" t="s">
        <v>110</v>
      </c>
    </row>
    <row r="145" spans="2:51" s="3" customFormat="1" ht="18.75" customHeight="1">
      <c r="B145" s="117"/>
      <c r="C145" s="135"/>
      <c r="E145" s="118"/>
      <c r="F145" s="200" t="s">
        <v>373</v>
      </c>
      <c r="G145" s="200"/>
      <c r="H145" s="200"/>
      <c r="I145" s="200"/>
      <c r="J145" s="135"/>
      <c r="K145" s="144">
        <f>6.5*4.8*0.15*1.9</f>
        <v>8.892</v>
      </c>
      <c r="R145" s="119"/>
      <c r="T145" s="120"/>
      <c r="AA145" s="121"/>
      <c r="AT145" s="118" t="s">
        <v>113</v>
      </c>
      <c r="AU145" s="118" t="s">
        <v>93</v>
      </c>
      <c r="AV145" s="118" t="s">
        <v>12</v>
      </c>
      <c r="AW145" s="118" t="s">
        <v>84</v>
      </c>
      <c r="AX145" s="118" t="s">
        <v>66</v>
      </c>
      <c r="AY145" s="118" t="s">
        <v>110</v>
      </c>
    </row>
    <row r="146" spans="2:63" s="100" customFormat="1" ht="30.75" customHeight="1">
      <c r="B146" s="101"/>
      <c r="D146" s="109" t="s">
        <v>165</v>
      </c>
      <c r="E146" s="109"/>
      <c r="F146" s="109"/>
      <c r="G146" s="109"/>
      <c r="H146" s="109"/>
      <c r="I146" s="109"/>
      <c r="J146" s="109"/>
      <c r="K146" s="109"/>
      <c r="L146" s="109"/>
      <c r="M146" s="109"/>
      <c r="N146" s="208">
        <f>SUM(N147:Q251)</f>
        <v>0</v>
      </c>
      <c r="O146" s="209"/>
      <c r="P146" s="209"/>
      <c r="Q146" s="209"/>
      <c r="R146" s="104"/>
      <c r="T146" s="105"/>
      <c r="W146" s="106" t="e">
        <f>SUM($W$179:$W$251)</f>
        <v>#REF!</v>
      </c>
      <c r="Y146" s="106" t="e">
        <f>SUM($Y$179:$Y$251)</f>
        <v>#REF!</v>
      </c>
      <c r="AA146" s="107" t="e">
        <f>SUM($AA$179:$AA$251)</f>
        <v>#REF!</v>
      </c>
      <c r="AR146" s="103" t="s">
        <v>12</v>
      </c>
      <c r="AT146" s="103" t="s">
        <v>65</v>
      </c>
      <c r="AU146" s="103" t="s">
        <v>12</v>
      </c>
      <c r="AY146" s="103" t="s">
        <v>110</v>
      </c>
      <c r="BK146" s="108" t="e">
        <f>SUM($BK$179:$BK$251)</f>
        <v>#REF!</v>
      </c>
    </row>
    <row r="147" spans="2:65" s="3" customFormat="1" ht="15" customHeight="1">
      <c r="B147" s="16"/>
      <c r="C147" s="133">
        <v>15</v>
      </c>
      <c r="D147" s="110" t="s">
        <v>111</v>
      </c>
      <c r="E147" s="130" t="s">
        <v>177</v>
      </c>
      <c r="F147" s="196" t="s">
        <v>178</v>
      </c>
      <c r="G147" s="197"/>
      <c r="H147" s="197"/>
      <c r="I147" s="197"/>
      <c r="J147" s="112" t="s">
        <v>115</v>
      </c>
      <c r="K147" s="113">
        <f>K148+K152+K167+K166</f>
        <v>158.57479999999998</v>
      </c>
      <c r="L147" s="203"/>
      <c r="M147" s="197"/>
      <c r="N147" s="203">
        <f>K147*L147</f>
        <v>0</v>
      </c>
      <c r="O147" s="197"/>
      <c r="P147" s="197"/>
      <c r="Q147" s="197"/>
      <c r="R147" s="17"/>
      <c r="T147" s="114"/>
      <c r="U147" s="23" t="s">
        <v>33</v>
      </c>
      <c r="V147" s="115">
        <v>0.51</v>
      </c>
      <c r="W147" s="115" t="e">
        <f>#REF!*#REF!</f>
        <v>#REF!</v>
      </c>
      <c r="X147" s="115">
        <v>0.0273</v>
      </c>
      <c r="Y147" s="115" t="e">
        <f>#REF!*#REF!</f>
        <v>#REF!</v>
      </c>
      <c r="Z147" s="115">
        <v>0</v>
      </c>
      <c r="AA147" s="116" t="e">
        <f>#REF!*#REF!</f>
        <v>#REF!</v>
      </c>
      <c r="AR147" s="3" t="s">
        <v>112</v>
      </c>
      <c r="AT147" s="3" t="s">
        <v>111</v>
      </c>
      <c r="AU147" s="3" t="s">
        <v>93</v>
      </c>
      <c r="AY147" s="3" t="s">
        <v>110</v>
      </c>
      <c r="BE147" s="89" t="e">
        <f>IF(#REF!="základní",#REF!,0)</f>
        <v>#REF!</v>
      </c>
      <c r="BF147" s="89" t="e">
        <f>IF(#REF!="snížená",#REF!,0)</f>
        <v>#REF!</v>
      </c>
      <c r="BG147" s="89" t="e">
        <f>IF(#REF!="zákl. přenesená",#REF!,0)</f>
        <v>#REF!</v>
      </c>
      <c r="BH147" s="89" t="e">
        <f>IF(#REF!="sníž. přenesená",#REF!,0)</f>
        <v>#REF!</v>
      </c>
      <c r="BI147" s="89" t="e">
        <f>IF(#REF!="nulová",#REF!,0)</f>
        <v>#REF!</v>
      </c>
      <c r="BJ147" s="3" t="s">
        <v>93</v>
      </c>
      <c r="BK147" s="89" t="e">
        <f>ROUND(#REF!*#REF!,2)</f>
        <v>#REF!</v>
      </c>
      <c r="BL147" s="3" t="s">
        <v>112</v>
      </c>
      <c r="BM147" s="3" t="s">
        <v>171</v>
      </c>
    </row>
    <row r="148" spans="2:51" s="3" customFormat="1" ht="18.75" customHeight="1">
      <c r="B148" s="117"/>
      <c r="C148" s="135"/>
      <c r="D148" s="135"/>
      <c r="E148" s="141"/>
      <c r="F148" s="198" t="s">
        <v>230</v>
      </c>
      <c r="G148" s="199"/>
      <c r="H148" s="199"/>
      <c r="I148" s="199"/>
      <c r="J148" s="135"/>
      <c r="K148" s="142">
        <f>K149+K151</f>
        <v>46.635999999999996</v>
      </c>
      <c r="L148" s="135"/>
      <c r="M148" s="135"/>
      <c r="N148" s="135"/>
      <c r="O148" s="135"/>
      <c r="P148" s="135"/>
      <c r="Q148" s="135"/>
      <c r="R148" s="119"/>
      <c r="T148" s="120"/>
      <c r="AA148" s="121"/>
      <c r="AT148" s="118" t="s">
        <v>113</v>
      </c>
      <c r="AU148" s="118" t="s">
        <v>93</v>
      </c>
      <c r="AV148" s="118" t="s">
        <v>12</v>
      </c>
      <c r="AW148" s="118" t="s">
        <v>84</v>
      </c>
      <c r="AX148" s="118" t="s">
        <v>66</v>
      </c>
      <c r="AY148" s="118" t="s">
        <v>110</v>
      </c>
    </row>
    <row r="149" spans="2:51" s="3" customFormat="1" ht="30" customHeight="1">
      <c r="B149" s="122"/>
      <c r="C149" s="135"/>
      <c r="D149" s="135"/>
      <c r="E149" s="143"/>
      <c r="F149" s="200" t="s">
        <v>233</v>
      </c>
      <c r="G149" s="200"/>
      <c r="H149" s="200"/>
      <c r="I149" s="200"/>
      <c r="J149" s="135"/>
      <c r="K149" s="144">
        <f>0.95*2.05*8+0.7*2.05*2+1*2.05*2+1.05*2.05*4+0.65*1*2</f>
        <v>32.459999999999994</v>
      </c>
      <c r="L149" s="135"/>
      <c r="M149" s="135"/>
      <c r="N149" s="135"/>
      <c r="O149" s="135"/>
      <c r="P149" s="135"/>
      <c r="Q149" s="135"/>
      <c r="R149" s="125"/>
      <c r="T149" s="126"/>
      <c r="AA149" s="127"/>
      <c r="AT149" s="123" t="s">
        <v>113</v>
      </c>
      <c r="AU149" s="123" t="s">
        <v>93</v>
      </c>
      <c r="AV149" s="123" t="s">
        <v>93</v>
      </c>
      <c r="AW149" s="123" t="s">
        <v>84</v>
      </c>
      <c r="AX149" s="123" t="s">
        <v>66</v>
      </c>
      <c r="AY149" s="123" t="s">
        <v>110</v>
      </c>
    </row>
    <row r="150" spans="2:51" s="3" customFormat="1" ht="15" customHeight="1">
      <c r="B150" s="122"/>
      <c r="C150" s="135"/>
      <c r="D150" s="135"/>
      <c r="E150" s="143"/>
      <c r="F150" s="200" t="s">
        <v>231</v>
      </c>
      <c r="G150" s="200"/>
      <c r="H150" s="200"/>
      <c r="I150" s="200"/>
      <c r="J150" s="135"/>
      <c r="K150" s="144"/>
      <c r="L150" s="135"/>
      <c r="M150" s="135"/>
      <c r="N150" s="135"/>
      <c r="O150" s="135"/>
      <c r="P150" s="135"/>
      <c r="Q150" s="135"/>
      <c r="R150" s="125"/>
      <c r="T150" s="126"/>
      <c r="AA150" s="127"/>
      <c r="AT150" s="123" t="s">
        <v>113</v>
      </c>
      <c r="AU150" s="123" t="s">
        <v>93</v>
      </c>
      <c r="AV150" s="123" t="s">
        <v>93</v>
      </c>
      <c r="AW150" s="123" t="s">
        <v>84</v>
      </c>
      <c r="AX150" s="123" t="s">
        <v>66</v>
      </c>
      <c r="AY150" s="123" t="s">
        <v>110</v>
      </c>
    </row>
    <row r="151" spans="2:51" s="3" customFormat="1" ht="15" customHeight="1">
      <c r="B151" s="122"/>
      <c r="C151" s="135"/>
      <c r="D151" s="135"/>
      <c r="E151" s="143"/>
      <c r="F151" s="200" t="s">
        <v>232</v>
      </c>
      <c r="G151" s="200"/>
      <c r="H151" s="200"/>
      <c r="I151" s="200"/>
      <c r="J151" s="135"/>
      <c r="K151" s="144">
        <f>0.95*2.36+(0.5*2+0.95)*2.04*3</f>
        <v>14.175999999999998</v>
      </c>
      <c r="L151" s="135"/>
      <c r="M151" s="135"/>
      <c r="N151" s="135"/>
      <c r="O151" s="135"/>
      <c r="P151" s="135"/>
      <c r="Q151" s="135"/>
      <c r="R151" s="125"/>
      <c r="T151" s="126"/>
      <c r="AA151" s="127"/>
      <c r="AT151" s="123" t="s">
        <v>113</v>
      </c>
      <c r="AU151" s="123" t="s">
        <v>93</v>
      </c>
      <c r="AV151" s="123" t="s">
        <v>93</v>
      </c>
      <c r="AW151" s="123" t="s">
        <v>84</v>
      </c>
      <c r="AX151" s="123" t="s">
        <v>66</v>
      </c>
      <c r="AY151" s="123" t="s">
        <v>110</v>
      </c>
    </row>
    <row r="152" spans="2:51" s="3" customFormat="1" ht="18.75" customHeight="1">
      <c r="B152" s="117"/>
      <c r="C152" s="135"/>
      <c r="D152" s="135"/>
      <c r="E152" s="141"/>
      <c r="F152" s="198" t="s">
        <v>229</v>
      </c>
      <c r="G152" s="199"/>
      <c r="H152" s="199"/>
      <c r="I152" s="199"/>
      <c r="J152" s="135"/>
      <c r="K152" s="142">
        <f>K154+K156+K158+K160+K162+K164</f>
        <v>69.60329999999999</v>
      </c>
      <c r="L152" s="135"/>
      <c r="M152" s="135"/>
      <c r="N152" s="135"/>
      <c r="O152" s="135"/>
      <c r="P152" s="135"/>
      <c r="Q152" s="135"/>
      <c r="R152" s="119"/>
      <c r="T152" s="120"/>
      <c r="AA152" s="121"/>
      <c r="AT152" s="118" t="s">
        <v>113</v>
      </c>
      <c r="AU152" s="118" t="s">
        <v>93</v>
      </c>
      <c r="AV152" s="118" t="s">
        <v>12</v>
      </c>
      <c r="AW152" s="118" t="s">
        <v>84</v>
      </c>
      <c r="AX152" s="118" t="s">
        <v>66</v>
      </c>
      <c r="AY152" s="118" t="s">
        <v>110</v>
      </c>
    </row>
    <row r="153" spans="2:51" s="3" customFormat="1" ht="18.75" customHeight="1">
      <c r="B153" s="117"/>
      <c r="C153" s="135"/>
      <c r="E153" s="118"/>
      <c r="F153" s="210" t="s">
        <v>172</v>
      </c>
      <c r="G153" s="211"/>
      <c r="H153" s="211"/>
      <c r="I153" s="211"/>
      <c r="K153" s="132"/>
      <c r="R153" s="119"/>
      <c r="T153" s="120"/>
      <c r="AA153" s="121"/>
      <c r="AT153" s="118" t="s">
        <v>113</v>
      </c>
      <c r="AU153" s="118" t="s">
        <v>93</v>
      </c>
      <c r="AV153" s="118" t="s">
        <v>12</v>
      </c>
      <c r="AW153" s="118" t="s">
        <v>84</v>
      </c>
      <c r="AX153" s="118" t="s">
        <v>66</v>
      </c>
      <c r="AY153" s="118" t="s">
        <v>110</v>
      </c>
    </row>
    <row r="154" spans="2:51" s="3" customFormat="1" ht="30" customHeight="1">
      <c r="B154" s="122"/>
      <c r="C154" s="135"/>
      <c r="D154" s="135"/>
      <c r="E154" s="143"/>
      <c r="F154" s="200" t="s">
        <v>234</v>
      </c>
      <c r="G154" s="214"/>
      <c r="H154" s="214"/>
      <c r="I154" s="214"/>
      <c r="J154" s="135"/>
      <c r="K154" s="144">
        <f>(0.51+0.95)*2.16+1*1.08*2+1.31*1.25+1.31*1.56+0.65*1.46+1.3*1.49</f>
        <v>11.8807</v>
      </c>
      <c r="L154" s="135"/>
      <c r="M154" s="135"/>
      <c r="N154" s="135"/>
      <c r="O154" s="135"/>
      <c r="P154" s="135"/>
      <c r="Q154" s="135"/>
      <c r="R154" s="125"/>
      <c r="T154" s="126"/>
      <c r="AA154" s="127"/>
      <c r="AT154" s="123" t="s">
        <v>113</v>
      </c>
      <c r="AU154" s="123" t="s">
        <v>93</v>
      </c>
      <c r="AV154" s="123" t="s">
        <v>93</v>
      </c>
      <c r="AW154" s="123" t="s">
        <v>84</v>
      </c>
      <c r="AX154" s="123" t="s">
        <v>66</v>
      </c>
      <c r="AY154" s="123" t="s">
        <v>110</v>
      </c>
    </row>
    <row r="155" spans="2:51" s="3" customFormat="1" ht="18.75" customHeight="1">
      <c r="B155" s="117"/>
      <c r="C155" s="135"/>
      <c r="E155" s="118"/>
      <c r="F155" s="210" t="s">
        <v>173</v>
      </c>
      <c r="G155" s="211"/>
      <c r="H155" s="211"/>
      <c r="I155" s="211"/>
      <c r="K155" s="132"/>
      <c r="R155" s="119"/>
      <c r="T155" s="120"/>
      <c r="AA155" s="121"/>
      <c r="AT155" s="118" t="s">
        <v>113</v>
      </c>
      <c r="AU155" s="118" t="s">
        <v>93</v>
      </c>
      <c r="AV155" s="118" t="s">
        <v>12</v>
      </c>
      <c r="AW155" s="118" t="s">
        <v>84</v>
      </c>
      <c r="AX155" s="118" t="s">
        <v>66</v>
      </c>
      <c r="AY155" s="118" t="s">
        <v>110</v>
      </c>
    </row>
    <row r="156" spans="2:51" s="3" customFormat="1" ht="30" customHeight="1">
      <c r="B156" s="122"/>
      <c r="C156" s="135"/>
      <c r="D156" s="135"/>
      <c r="E156" s="143"/>
      <c r="F156" s="200" t="s">
        <v>236</v>
      </c>
      <c r="G156" s="214"/>
      <c r="H156" s="214"/>
      <c r="I156" s="214"/>
      <c r="J156" s="135"/>
      <c r="K156" s="144">
        <f>0.51*2.07+0.98*2.75+1*1.06*2+1.31*1.47+1.31*0.36+0.65*1.47+1.8*2.05</f>
        <v>12.913499999999999</v>
      </c>
      <c r="L156" s="135"/>
      <c r="M156" s="135"/>
      <c r="N156" s="135"/>
      <c r="O156" s="135"/>
      <c r="P156" s="135"/>
      <c r="Q156" s="135"/>
      <c r="R156" s="125"/>
      <c r="T156" s="126"/>
      <c r="AA156" s="127"/>
      <c r="AT156" s="123" t="s">
        <v>113</v>
      </c>
      <c r="AU156" s="123" t="s">
        <v>93</v>
      </c>
      <c r="AV156" s="123" t="s">
        <v>93</v>
      </c>
      <c r="AW156" s="123" t="s">
        <v>84</v>
      </c>
      <c r="AX156" s="123" t="s">
        <v>66</v>
      </c>
      <c r="AY156" s="123" t="s">
        <v>110</v>
      </c>
    </row>
    <row r="157" spans="2:51" s="3" customFormat="1" ht="18.75" customHeight="1">
      <c r="B157" s="117"/>
      <c r="C157" s="135"/>
      <c r="E157" s="118"/>
      <c r="F157" s="210" t="s">
        <v>174</v>
      </c>
      <c r="G157" s="211"/>
      <c r="H157" s="211"/>
      <c r="I157" s="211"/>
      <c r="K157" s="132"/>
      <c r="R157" s="119"/>
      <c r="T157" s="120"/>
      <c r="AA157" s="121"/>
      <c r="AT157" s="118" t="s">
        <v>113</v>
      </c>
      <c r="AU157" s="118" t="s">
        <v>93</v>
      </c>
      <c r="AV157" s="118" t="s">
        <v>12</v>
      </c>
      <c r="AW157" s="118" t="s">
        <v>84</v>
      </c>
      <c r="AX157" s="118" t="s">
        <v>66</v>
      </c>
      <c r="AY157" s="118" t="s">
        <v>110</v>
      </c>
    </row>
    <row r="158" spans="2:51" s="3" customFormat="1" ht="30" customHeight="1">
      <c r="B158" s="122"/>
      <c r="C158" s="135"/>
      <c r="D158" s="135"/>
      <c r="E158" s="143"/>
      <c r="F158" s="200" t="s">
        <v>237</v>
      </c>
      <c r="G158" s="214"/>
      <c r="H158" s="214"/>
      <c r="I158" s="214"/>
      <c r="J158" s="135"/>
      <c r="K158" s="144">
        <f>0.57*2.17+0.98*2.8+1.07*1.32+1.31*1.47+1.31*0.36+1*1.1+0.65*1.45+0.75*2.78+(0.65*1.12)*2</f>
        <v>13.374099999999999</v>
      </c>
      <c r="L158" s="135"/>
      <c r="M158" s="135"/>
      <c r="N158" s="135"/>
      <c r="O158" s="135"/>
      <c r="P158" s="135"/>
      <c r="Q158" s="135"/>
      <c r="R158" s="125"/>
      <c r="T158" s="126"/>
      <c r="AA158" s="127"/>
      <c r="AT158" s="123" t="s">
        <v>113</v>
      </c>
      <c r="AU158" s="123" t="s">
        <v>93</v>
      </c>
      <c r="AV158" s="123" t="s">
        <v>93</v>
      </c>
      <c r="AW158" s="123" t="s">
        <v>84</v>
      </c>
      <c r="AX158" s="123" t="s">
        <v>66</v>
      </c>
      <c r="AY158" s="123" t="s">
        <v>110</v>
      </c>
    </row>
    <row r="159" spans="2:51" s="3" customFormat="1" ht="18.75" customHeight="1">
      <c r="B159" s="117"/>
      <c r="C159" s="135"/>
      <c r="E159" s="118"/>
      <c r="F159" s="210" t="s">
        <v>175</v>
      </c>
      <c r="G159" s="211"/>
      <c r="H159" s="211"/>
      <c r="I159" s="211"/>
      <c r="K159" s="132"/>
      <c r="R159" s="119"/>
      <c r="T159" s="120"/>
      <c r="AA159" s="121"/>
      <c r="AT159" s="118" t="s">
        <v>113</v>
      </c>
      <c r="AU159" s="118" t="s">
        <v>93</v>
      </c>
      <c r="AV159" s="118" t="s">
        <v>12</v>
      </c>
      <c r="AW159" s="118" t="s">
        <v>84</v>
      </c>
      <c r="AX159" s="118" t="s">
        <v>66</v>
      </c>
      <c r="AY159" s="118" t="s">
        <v>110</v>
      </c>
    </row>
    <row r="160" spans="2:51" s="3" customFormat="1" ht="30" customHeight="1">
      <c r="B160" s="122"/>
      <c r="C160" s="135"/>
      <c r="D160" s="135"/>
      <c r="E160" s="143"/>
      <c r="F160" s="200" t="s">
        <v>239</v>
      </c>
      <c r="G160" s="214"/>
      <c r="H160" s="214"/>
      <c r="I160" s="214"/>
      <c r="J160" s="135"/>
      <c r="K160" s="144">
        <f>0.57*2.16+0.98*2.75+1.07*1.32+1.31*1.47+1.31*0.36+1*1.1+0.65*1.45+0.75*2.78+(0.65*1.12)*2</f>
        <v>13.319399999999998</v>
      </c>
      <c r="L160" s="135"/>
      <c r="M160" s="135"/>
      <c r="N160" s="135"/>
      <c r="O160" s="135"/>
      <c r="P160" s="135"/>
      <c r="Q160" s="135"/>
      <c r="R160" s="125"/>
      <c r="T160" s="126"/>
      <c r="AA160" s="127"/>
      <c r="AT160" s="123" t="s">
        <v>113</v>
      </c>
      <c r="AU160" s="123" t="s">
        <v>93</v>
      </c>
      <c r="AV160" s="123" t="s">
        <v>93</v>
      </c>
      <c r="AW160" s="123" t="s">
        <v>84</v>
      </c>
      <c r="AX160" s="123" t="s">
        <v>66</v>
      </c>
      <c r="AY160" s="123" t="s">
        <v>110</v>
      </c>
    </row>
    <row r="161" spans="2:51" s="3" customFormat="1" ht="18.75" customHeight="1">
      <c r="B161" s="117"/>
      <c r="C161" s="135"/>
      <c r="E161" s="118"/>
      <c r="F161" s="210" t="s">
        <v>176</v>
      </c>
      <c r="G161" s="211"/>
      <c r="H161" s="211"/>
      <c r="I161" s="211"/>
      <c r="K161" s="132"/>
      <c r="R161" s="119"/>
      <c r="T161" s="120"/>
      <c r="AA161" s="121"/>
      <c r="AT161" s="118" t="s">
        <v>113</v>
      </c>
      <c r="AU161" s="118" t="s">
        <v>93</v>
      </c>
      <c r="AV161" s="118" t="s">
        <v>12</v>
      </c>
      <c r="AW161" s="118" t="s">
        <v>84</v>
      </c>
      <c r="AX161" s="118" t="s">
        <v>66</v>
      </c>
      <c r="AY161" s="118" t="s">
        <v>110</v>
      </c>
    </row>
    <row r="162" spans="2:51" s="3" customFormat="1" ht="30" customHeight="1">
      <c r="B162" s="122"/>
      <c r="C162" s="135"/>
      <c r="D162" s="135"/>
      <c r="E162" s="143"/>
      <c r="F162" s="200" t="s">
        <v>238</v>
      </c>
      <c r="G162" s="214"/>
      <c r="H162" s="214"/>
      <c r="I162" s="214"/>
      <c r="J162" s="135"/>
      <c r="K162" s="144">
        <f>0.57*2.15+0.98*2.75+1.07*1.3+1.31*1.45+1.31*0.36+1*1.1+0.65*1.4+0.75*2.7+(0.65*1.12)*2</f>
        <v>13.173599999999999</v>
      </c>
      <c r="L162" s="135"/>
      <c r="M162" s="135"/>
      <c r="N162" s="135"/>
      <c r="O162" s="135"/>
      <c r="P162" s="135"/>
      <c r="Q162" s="135"/>
      <c r="R162" s="125"/>
      <c r="T162" s="126"/>
      <c r="AA162" s="127"/>
      <c r="AT162" s="123" t="s">
        <v>113</v>
      </c>
      <c r="AU162" s="123" t="s">
        <v>93</v>
      </c>
      <c r="AV162" s="123" t="s">
        <v>93</v>
      </c>
      <c r="AW162" s="123" t="s">
        <v>84</v>
      </c>
      <c r="AX162" s="123" t="s">
        <v>66</v>
      </c>
      <c r="AY162" s="123" t="s">
        <v>110</v>
      </c>
    </row>
    <row r="163" spans="2:51" s="3" customFormat="1" ht="18.75" customHeight="1">
      <c r="B163" s="117"/>
      <c r="C163" s="135"/>
      <c r="E163" s="118"/>
      <c r="F163" s="210" t="s">
        <v>235</v>
      </c>
      <c r="G163" s="211"/>
      <c r="H163" s="211"/>
      <c r="I163" s="211"/>
      <c r="K163" s="132"/>
      <c r="R163" s="119"/>
      <c r="T163" s="120"/>
      <c r="AA163" s="121"/>
      <c r="AT163" s="118" t="s">
        <v>113</v>
      </c>
      <c r="AU163" s="118" t="s">
        <v>93</v>
      </c>
      <c r="AV163" s="118" t="s">
        <v>12</v>
      </c>
      <c r="AW163" s="118" t="s">
        <v>84</v>
      </c>
      <c r="AX163" s="118" t="s">
        <v>66</v>
      </c>
      <c r="AY163" s="118" t="s">
        <v>110</v>
      </c>
    </row>
    <row r="164" spans="2:51" s="3" customFormat="1" ht="12" customHeight="1">
      <c r="B164" s="122"/>
      <c r="C164" s="135"/>
      <c r="D164" s="135"/>
      <c r="E164" s="143"/>
      <c r="F164" s="200" t="s">
        <v>240</v>
      </c>
      <c r="G164" s="214"/>
      <c r="H164" s="214"/>
      <c r="I164" s="214"/>
      <c r="J164" s="135"/>
      <c r="K164" s="144">
        <f>1.31*1.6*2+1*0.75</f>
        <v>4.942</v>
      </c>
      <c r="L164" s="135"/>
      <c r="M164" s="135"/>
      <c r="N164" s="135"/>
      <c r="O164" s="135"/>
      <c r="P164" s="135"/>
      <c r="Q164" s="135"/>
      <c r="R164" s="125"/>
      <c r="T164" s="126"/>
      <c r="AA164" s="127"/>
      <c r="AT164" s="123" t="s">
        <v>113</v>
      </c>
      <c r="AU164" s="123" t="s">
        <v>93</v>
      </c>
      <c r="AV164" s="123" t="s">
        <v>93</v>
      </c>
      <c r="AW164" s="123" t="s">
        <v>84</v>
      </c>
      <c r="AX164" s="123" t="s">
        <v>66</v>
      </c>
      <c r="AY164" s="123" t="s">
        <v>110</v>
      </c>
    </row>
    <row r="165" spans="2:51" s="3" customFormat="1" ht="18.75" customHeight="1">
      <c r="B165" s="117"/>
      <c r="C165" s="135"/>
      <c r="D165" s="135"/>
      <c r="E165" s="141"/>
      <c r="F165" s="198" t="s">
        <v>320</v>
      </c>
      <c r="G165" s="199"/>
      <c r="H165" s="199"/>
      <c r="I165" s="199"/>
      <c r="J165" s="135"/>
      <c r="K165" s="142"/>
      <c r="L165" s="135"/>
      <c r="M165" s="135"/>
      <c r="N165" s="135"/>
      <c r="O165" s="135"/>
      <c r="P165" s="135"/>
      <c r="Q165" s="135"/>
      <c r="R165" s="119"/>
      <c r="T165" s="120"/>
      <c r="AA165" s="121"/>
      <c r="AT165" s="118" t="s">
        <v>113</v>
      </c>
      <c r="AU165" s="118" t="s">
        <v>93</v>
      </c>
      <c r="AV165" s="118" t="s">
        <v>12</v>
      </c>
      <c r="AW165" s="118" t="s">
        <v>84</v>
      </c>
      <c r="AX165" s="118" t="s">
        <v>66</v>
      </c>
      <c r="AY165" s="118" t="s">
        <v>110</v>
      </c>
    </row>
    <row r="166" spans="2:51" s="3" customFormat="1" ht="15" customHeight="1">
      <c r="B166" s="122"/>
      <c r="C166" s="135"/>
      <c r="D166" s="135"/>
      <c r="E166" s="143"/>
      <c r="F166" s="200" t="s">
        <v>321</v>
      </c>
      <c r="G166" s="200"/>
      <c r="H166" s="200"/>
      <c r="I166" s="200"/>
      <c r="J166" s="135"/>
      <c r="K166" s="144">
        <f>2.21*2.9+0.8*2.95*2+2.05*3.33+2.25*2.88</f>
        <v>24.4355</v>
      </c>
      <c r="L166" s="135"/>
      <c r="M166" s="135"/>
      <c r="N166" s="135"/>
      <c r="O166" s="135"/>
      <c r="P166" s="135"/>
      <c r="Q166" s="135"/>
      <c r="R166" s="125"/>
      <c r="T166" s="126"/>
      <c r="AA166" s="127"/>
      <c r="AT166" s="123" t="s">
        <v>113</v>
      </c>
      <c r="AU166" s="123" t="s">
        <v>93</v>
      </c>
      <c r="AV166" s="123" t="s">
        <v>93</v>
      </c>
      <c r="AW166" s="123" t="s">
        <v>84</v>
      </c>
      <c r="AX166" s="123" t="s">
        <v>66</v>
      </c>
      <c r="AY166" s="123" t="s">
        <v>110</v>
      </c>
    </row>
    <row r="167" spans="2:51" s="3" customFormat="1" ht="18.75" customHeight="1">
      <c r="B167" s="117"/>
      <c r="C167" s="135"/>
      <c r="D167" s="135"/>
      <c r="E167" s="141"/>
      <c r="F167" s="192" t="s">
        <v>385</v>
      </c>
      <c r="G167" s="193"/>
      <c r="H167" s="193"/>
      <c r="I167" s="193"/>
      <c r="J167" s="135"/>
      <c r="K167" s="142">
        <f>K168+K171</f>
        <v>17.9</v>
      </c>
      <c r="L167" s="135"/>
      <c r="M167" s="135"/>
      <c r="N167" s="135"/>
      <c r="O167" s="135"/>
      <c r="P167" s="135"/>
      <c r="Q167" s="135"/>
      <c r="R167" s="119"/>
      <c r="T167" s="120"/>
      <c r="AA167" s="121"/>
      <c r="AT167" s="118" t="s">
        <v>113</v>
      </c>
      <c r="AU167" s="118" t="s">
        <v>93</v>
      </c>
      <c r="AV167" s="118" t="s">
        <v>12</v>
      </c>
      <c r="AW167" s="118" t="s">
        <v>84</v>
      </c>
      <c r="AX167" s="118" t="s">
        <v>66</v>
      </c>
      <c r="AY167" s="118" t="s">
        <v>110</v>
      </c>
    </row>
    <row r="168" spans="2:51" s="3" customFormat="1" ht="15" customHeight="1">
      <c r="B168" s="122"/>
      <c r="C168" s="135"/>
      <c r="E168" s="123"/>
      <c r="F168" s="190" t="s">
        <v>387</v>
      </c>
      <c r="G168" s="191"/>
      <c r="H168" s="191"/>
      <c r="I168" s="191"/>
      <c r="K168" s="124">
        <f>3.58*2.5*2</f>
        <v>17.9</v>
      </c>
      <c r="R168" s="125"/>
      <c r="T168" s="126"/>
      <c r="AA168" s="127"/>
      <c r="AT168" s="123" t="s">
        <v>113</v>
      </c>
      <c r="AU168" s="123" t="s">
        <v>93</v>
      </c>
      <c r="AV168" s="123" t="s">
        <v>93</v>
      </c>
      <c r="AW168" s="123" t="s">
        <v>84</v>
      </c>
      <c r="AX168" s="123" t="s">
        <v>66</v>
      </c>
      <c r="AY168" s="123" t="s">
        <v>110</v>
      </c>
    </row>
    <row r="169" spans="2:65" s="3" customFormat="1" ht="15" customHeight="1">
      <c r="B169" s="16"/>
      <c r="C169" s="133">
        <v>16</v>
      </c>
      <c r="D169" s="110" t="s">
        <v>111</v>
      </c>
      <c r="E169" s="130" t="s">
        <v>203</v>
      </c>
      <c r="F169" s="196" t="s">
        <v>204</v>
      </c>
      <c r="G169" s="197"/>
      <c r="H169" s="197"/>
      <c r="I169" s="197"/>
      <c r="J169" s="112" t="s">
        <v>115</v>
      </c>
      <c r="K169" s="113">
        <f>K170+K173</f>
        <v>32.3369</v>
      </c>
      <c r="L169" s="203"/>
      <c r="M169" s="197"/>
      <c r="N169" s="203">
        <f>K169*L169</f>
        <v>0</v>
      </c>
      <c r="O169" s="197"/>
      <c r="P169" s="197"/>
      <c r="Q169" s="197"/>
      <c r="R169" s="17"/>
      <c r="T169" s="114"/>
      <c r="U169" s="23" t="s">
        <v>33</v>
      </c>
      <c r="V169" s="115">
        <v>0.51</v>
      </c>
      <c r="W169" s="115" t="e">
        <f>#REF!*#REF!</f>
        <v>#REF!</v>
      </c>
      <c r="X169" s="115">
        <v>0.0273</v>
      </c>
      <c r="Y169" s="115" t="e">
        <f>#REF!*#REF!</f>
        <v>#REF!</v>
      </c>
      <c r="Z169" s="115">
        <v>0</v>
      </c>
      <c r="AA169" s="116" t="e">
        <f>#REF!*#REF!</f>
        <v>#REF!</v>
      </c>
      <c r="AD169" s="3">
        <v>0.005</v>
      </c>
      <c r="AE169" s="3">
        <f>K169*AD169</f>
        <v>0.1616845</v>
      </c>
      <c r="AR169" s="3" t="s">
        <v>112</v>
      </c>
      <c r="AT169" s="3" t="s">
        <v>111</v>
      </c>
      <c r="AU169" s="3" t="s">
        <v>93</v>
      </c>
      <c r="AY169" s="3" t="s">
        <v>110</v>
      </c>
      <c r="BE169" s="89" t="e">
        <f>IF(#REF!="základní",#REF!,0)</f>
        <v>#REF!</v>
      </c>
      <c r="BF169" s="89" t="e">
        <f>IF(#REF!="snížená",#REF!,0)</f>
        <v>#REF!</v>
      </c>
      <c r="BG169" s="89" t="e">
        <f>IF(#REF!="zákl. přenesená",#REF!,0)</f>
        <v>#REF!</v>
      </c>
      <c r="BH169" s="89" t="e">
        <f>IF(#REF!="sníž. přenesená",#REF!,0)</f>
        <v>#REF!</v>
      </c>
      <c r="BI169" s="89" t="e">
        <f>IF(#REF!="nulová",#REF!,0)</f>
        <v>#REF!</v>
      </c>
      <c r="BJ169" s="3" t="s">
        <v>93</v>
      </c>
      <c r="BK169" s="89" t="e">
        <f>ROUND(#REF!*#REF!,2)</f>
        <v>#REF!</v>
      </c>
      <c r="BL169" s="3" t="s">
        <v>112</v>
      </c>
      <c r="BM169" s="3" t="s">
        <v>171</v>
      </c>
    </row>
    <row r="170" spans="2:51" s="3" customFormat="1" ht="18.75" customHeight="1">
      <c r="B170" s="117"/>
      <c r="C170" s="135"/>
      <c r="D170" s="135"/>
      <c r="E170" s="141"/>
      <c r="F170" s="198" t="s">
        <v>230</v>
      </c>
      <c r="G170" s="199"/>
      <c r="H170" s="199"/>
      <c r="I170" s="199"/>
      <c r="J170" s="135"/>
      <c r="K170" s="142">
        <f>K172</f>
        <v>3.807</v>
      </c>
      <c r="L170" s="135"/>
      <c r="M170" s="135"/>
      <c r="N170" s="135"/>
      <c r="O170" s="135"/>
      <c r="P170" s="135"/>
      <c r="Q170" s="135"/>
      <c r="R170" s="119"/>
      <c r="T170" s="120"/>
      <c r="AA170" s="121"/>
      <c r="AT170" s="118" t="s">
        <v>113</v>
      </c>
      <c r="AU170" s="118" t="s">
        <v>93</v>
      </c>
      <c r="AV170" s="118" t="s">
        <v>12</v>
      </c>
      <c r="AW170" s="118" t="s">
        <v>84</v>
      </c>
      <c r="AX170" s="118" t="s">
        <v>66</v>
      </c>
      <c r="AY170" s="118" t="s">
        <v>110</v>
      </c>
    </row>
    <row r="171" spans="2:51" s="3" customFormat="1" ht="15" customHeight="1">
      <c r="B171" s="122"/>
      <c r="C171" s="135"/>
      <c r="D171" s="135"/>
      <c r="E171" s="143"/>
      <c r="F171" s="200" t="s">
        <v>241</v>
      </c>
      <c r="G171" s="200"/>
      <c r="H171" s="200"/>
      <c r="I171" s="200"/>
      <c r="J171" s="135"/>
      <c r="K171" s="144"/>
      <c r="L171" s="135"/>
      <c r="M171" s="135"/>
      <c r="N171" s="135"/>
      <c r="O171" s="135"/>
      <c r="P171" s="135"/>
      <c r="Q171" s="135"/>
      <c r="R171" s="125"/>
      <c r="T171" s="126"/>
      <c r="AA171" s="127"/>
      <c r="AT171" s="123" t="s">
        <v>113</v>
      </c>
      <c r="AU171" s="123" t="s">
        <v>93</v>
      </c>
      <c r="AV171" s="123" t="s">
        <v>93</v>
      </c>
      <c r="AW171" s="123" t="s">
        <v>84</v>
      </c>
      <c r="AX171" s="123" t="s">
        <v>66</v>
      </c>
      <c r="AY171" s="123" t="s">
        <v>110</v>
      </c>
    </row>
    <row r="172" spans="2:51" s="3" customFormat="1" ht="15" customHeight="1">
      <c r="B172" s="122"/>
      <c r="C172" s="135"/>
      <c r="D172" s="135"/>
      <c r="E172" s="143"/>
      <c r="F172" s="200" t="s">
        <v>242</v>
      </c>
      <c r="G172" s="200"/>
      <c r="H172" s="200"/>
      <c r="I172" s="200"/>
      <c r="J172" s="135"/>
      <c r="K172" s="144">
        <f>2.82*1.35</f>
        <v>3.807</v>
      </c>
      <c r="L172" s="135"/>
      <c r="M172" s="135"/>
      <c r="N172" s="135"/>
      <c r="O172" s="135"/>
      <c r="P172" s="135"/>
      <c r="Q172" s="135"/>
      <c r="R172" s="125"/>
      <c r="T172" s="126"/>
      <c r="AA172" s="127"/>
      <c r="AT172" s="123" t="s">
        <v>113</v>
      </c>
      <c r="AU172" s="123" t="s">
        <v>93</v>
      </c>
      <c r="AV172" s="123" t="s">
        <v>93</v>
      </c>
      <c r="AW172" s="123" t="s">
        <v>84</v>
      </c>
      <c r="AX172" s="123" t="s">
        <v>66</v>
      </c>
      <c r="AY172" s="123" t="s">
        <v>110</v>
      </c>
    </row>
    <row r="173" spans="2:51" s="3" customFormat="1" ht="18.75" customHeight="1">
      <c r="B173" s="117"/>
      <c r="C173" s="135"/>
      <c r="D173" s="135"/>
      <c r="E173" s="141"/>
      <c r="F173" s="198" t="s">
        <v>229</v>
      </c>
      <c r="G173" s="199"/>
      <c r="H173" s="199"/>
      <c r="I173" s="199"/>
      <c r="J173" s="135"/>
      <c r="K173" s="142">
        <f>K174</f>
        <v>28.529899999999998</v>
      </c>
      <c r="L173" s="135"/>
      <c r="M173" s="135"/>
      <c r="N173" s="135"/>
      <c r="O173" s="135"/>
      <c r="P173" s="135"/>
      <c r="Q173" s="135"/>
      <c r="R173" s="119"/>
      <c r="T173" s="120"/>
      <c r="AA173" s="121"/>
      <c r="AT173" s="118" t="s">
        <v>113</v>
      </c>
      <c r="AU173" s="118" t="s">
        <v>93</v>
      </c>
      <c r="AV173" s="118" t="s">
        <v>12</v>
      </c>
      <c r="AW173" s="118" t="s">
        <v>84</v>
      </c>
      <c r="AX173" s="118" t="s">
        <v>66</v>
      </c>
      <c r="AY173" s="118" t="s">
        <v>110</v>
      </c>
    </row>
    <row r="174" spans="2:51" s="3" customFormat="1" ht="18.75" customHeight="1">
      <c r="B174" s="117"/>
      <c r="C174" s="135"/>
      <c r="E174" s="118"/>
      <c r="F174" s="200" t="s">
        <v>243</v>
      </c>
      <c r="G174" s="200"/>
      <c r="H174" s="200"/>
      <c r="I174" s="200"/>
      <c r="J174" s="135"/>
      <c r="K174" s="144">
        <f>2.66*1.24*4+3.815*1.34*3</f>
        <v>28.529899999999998</v>
      </c>
      <c r="R174" s="119"/>
      <c r="T174" s="120"/>
      <c r="AA174" s="121"/>
      <c r="AT174" s="118" t="s">
        <v>113</v>
      </c>
      <c r="AU174" s="118" t="s">
        <v>93</v>
      </c>
      <c r="AV174" s="118" t="s">
        <v>12</v>
      </c>
      <c r="AW174" s="118" t="s">
        <v>84</v>
      </c>
      <c r="AX174" s="118" t="s">
        <v>66</v>
      </c>
      <c r="AY174" s="118" t="s">
        <v>110</v>
      </c>
    </row>
    <row r="175" spans="2:65" s="3" customFormat="1" ht="27" customHeight="1">
      <c r="B175" s="16"/>
      <c r="C175" s="133">
        <v>17</v>
      </c>
      <c r="D175" s="110" t="s">
        <v>111</v>
      </c>
      <c r="E175" s="130" t="s">
        <v>197</v>
      </c>
      <c r="F175" s="196" t="s">
        <v>198</v>
      </c>
      <c r="G175" s="197"/>
      <c r="H175" s="197"/>
      <c r="I175" s="197"/>
      <c r="J175" s="112" t="s">
        <v>115</v>
      </c>
      <c r="K175" s="113">
        <f>K177</f>
        <v>8.410499999999999</v>
      </c>
      <c r="L175" s="203"/>
      <c r="M175" s="197"/>
      <c r="N175" s="203">
        <f>K175*L175</f>
        <v>0</v>
      </c>
      <c r="O175" s="197"/>
      <c r="P175" s="197"/>
      <c r="Q175" s="197"/>
      <c r="R175" s="17"/>
      <c r="T175" s="114"/>
      <c r="U175" s="23" t="s">
        <v>33</v>
      </c>
      <c r="V175" s="115">
        <v>0.33</v>
      </c>
      <c r="W175" s="115" t="e">
        <f>#REF!*#REF!</f>
        <v>#REF!</v>
      </c>
      <c r="X175" s="115">
        <v>0.00489</v>
      </c>
      <c r="Y175" s="115" t="e">
        <f>#REF!*#REF!</f>
        <v>#REF!</v>
      </c>
      <c r="Z175" s="115">
        <v>0</v>
      </c>
      <c r="AA175" s="116" t="e">
        <f>#REF!*#REF!</f>
        <v>#REF!</v>
      </c>
      <c r="AD175" s="3">
        <v>0.055</v>
      </c>
      <c r="AE175" s="3">
        <f>K175*AD175</f>
        <v>0.4625774999999999</v>
      </c>
      <c r="AR175" s="3" t="s">
        <v>112</v>
      </c>
      <c r="AT175" s="3" t="s">
        <v>111</v>
      </c>
      <c r="AU175" s="3" t="s">
        <v>93</v>
      </c>
      <c r="AY175" s="3" t="s">
        <v>110</v>
      </c>
      <c r="BE175" s="89" t="e">
        <f>IF(#REF!="základní",#REF!,0)</f>
        <v>#REF!</v>
      </c>
      <c r="BF175" s="89" t="e">
        <f>IF(#REF!="snížená",#REF!,0)</f>
        <v>#REF!</v>
      </c>
      <c r="BG175" s="89" t="e">
        <f>IF(#REF!="zákl. přenesená",#REF!,0)</f>
        <v>#REF!</v>
      </c>
      <c r="BH175" s="89" t="e">
        <f>IF(#REF!="sníž. přenesená",#REF!,0)</f>
        <v>#REF!</v>
      </c>
      <c r="BI175" s="89" t="e">
        <f>IF(#REF!="nulová",#REF!,0)</f>
        <v>#REF!</v>
      </c>
      <c r="BJ175" s="3" t="s">
        <v>93</v>
      </c>
      <c r="BK175" s="89" t="e">
        <f>ROUND(#REF!*#REF!,2)</f>
        <v>#REF!</v>
      </c>
      <c r="BL175" s="3" t="s">
        <v>112</v>
      </c>
      <c r="BM175" s="3" t="s">
        <v>179</v>
      </c>
    </row>
    <row r="176" spans="2:51" s="3" customFormat="1" ht="15" customHeight="1">
      <c r="B176" s="122"/>
      <c r="C176" s="135"/>
      <c r="E176" s="123"/>
      <c r="F176" s="188" t="s">
        <v>199</v>
      </c>
      <c r="G176" s="189"/>
      <c r="H176" s="189"/>
      <c r="I176" s="189"/>
      <c r="K176" s="124"/>
      <c r="R176" s="125"/>
      <c r="T176" s="126"/>
      <c r="AA176" s="127"/>
      <c r="AT176" s="123" t="s">
        <v>113</v>
      </c>
      <c r="AU176" s="123" t="s">
        <v>93</v>
      </c>
      <c r="AV176" s="123" t="s">
        <v>93</v>
      </c>
      <c r="AW176" s="123" t="s">
        <v>84</v>
      </c>
      <c r="AX176" s="123" t="s">
        <v>66</v>
      </c>
      <c r="AY176" s="123" t="s">
        <v>110</v>
      </c>
    </row>
    <row r="177" spans="2:51" s="3" customFormat="1" ht="18.75" customHeight="1">
      <c r="B177" s="117"/>
      <c r="C177" s="135"/>
      <c r="D177" s="135"/>
      <c r="E177" s="141"/>
      <c r="F177" s="198" t="s">
        <v>229</v>
      </c>
      <c r="G177" s="199"/>
      <c r="H177" s="199"/>
      <c r="I177" s="199"/>
      <c r="J177" s="135"/>
      <c r="K177" s="142">
        <f>K178</f>
        <v>8.410499999999999</v>
      </c>
      <c r="L177" s="135"/>
      <c r="M177" s="135"/>
      <c r="N177" s="135"/>
      <c r="O177" s="135"/>
      <c r="P177" s="135"/>
      <c r="Q177" s="135"/>
      <c r="R177" s="119"/>
      <c r="T177" s="120"/>
      <c r="AA177" s="121"/>
      <c r="AT177" s="118" t="s">
        <v>113</v>
      </c>
      <c r="AU177" s="118" t="s">
        <v>93</v>
      </c>
      <c r="AV177" s="118" t="s">
        <v>12</v>
      </c>
      <c r="AW177" s="118" t="s">
        <v>84</v>
      </c>
      <c r="AX177" s="118" t="s">
        <v>66</v>
      </c>
      <c r="AY177" s="118" t="s">
        <v>110</v>
      </c>
    </row>
    <row r="178" spans="2:51" s="3" customFormat="1" ht="18.75" customHeight="1">
      <c r="B178" s="117"/>
      <c r="C178" s="135"/>
      <c r="E178" s="118"/>
      <c r="F178" s="200" t="s">
        <v>244</v>
      </c>
      <c r="G178" s="200"/>
      <c r="H178" s="200"/>
      <c r="I178" s="200"/>
      <c r="J178" s="135"/>
      <c r="K178" s="144">
        <f>2.66*1.24+3.815*1.34</f>
        <v>8.410499999999999</v>
      </c>
      <c r="R178" s="119"/>
      <c r="T178" s="120"/>
      <c r="AA178" s="121"/>
      <c r="AT178" s="118" t="s">
        <v>113</v>
      </c>
      <c r="AU178" s="118" t="s">
        <v>93</v>
      </c>
      <c r="AV178" s="118" t="s">
        <v>12</v>
      </c>
      <c r="AW178" s="118" t="s">
        <v>84</v>
      </c>
      <c r="AX178" s="118" t="s">
        <v>66</v>
      </c>
      <c r="AY178" s="118" t="s">
        <v>110</v>
      </c>
    </row>
    <row r="179" spans="2:65" s="3" customFormat="1" ht="15.75" customHeight="1">
      <c r="B179" s="16"/>
      <c r="C179" s="133">
        <v>18</v>
      </c>
      <c r="D179" s="110" t="s">
        <v>111</v>
      </c>
      <c r="E179" s="130" t="s">
        <v>127</v>
      </c>
      <c r="F179" s="215" t="s">
        <v>116</v>
      </c>
      <c r="G179" s="197"/>
      <c r="H179" s="197"/>
      <c r="I179" s="197"/>
      <c r="J179" s="112" t="s">
        <v>115</v>
      </c>
      <c r="K179" s="113">
        <f>K180+K197+K216+K220+K218+K222</f>
        <v>1060.9782</v>
      </c>
      <c r="L179" s="203"/>
      <c r="M179" s="197"/>
      <c r="N179" s="203">
        <f>ROUND($L$179*$K$179,2)</f>
        <v>0</v>
      </c>
      <c r="O179" s="197"/>
      <c r="P179" s="197"/>
      <c r="Q179" s="197"/>
      <c r="R179" s="17"/>
      <c r="T179" s="114"/>
      <c r="U179" s="23" t="s">
        <v>33</v>
      </c>
      <c r="V179" s="115">
        <v>0.14</v>
      </c>
      <c r="W179" s="115">
        <f>$V$179*$K$179</f>
        <v>148.53694800000002</v>
      </c>
      <c r="X179" s="115">
        <v>0</v>
      </c>
      <c r="Y179" s="115">
        <f>$X$179*$K$179</f>
        <v>0</v>
      </c>
      <c r="Z179" s="115">
        <v>0</v>
      </c>
      <c r="AA179" s="116">
        <f>$Z$179*$K$179</f>
        <v>0</v>
      </c>
      <c r="AR179" s="3" t="s">
        <v>112</v>
      </c>
      <c r="AT179" s="3" t="s">
        <v>111</v>
      </c>
      <c r="AU179" s="3" t="s">
        <v>93</v>
      </c>
      <c r="AY179" s="3" t="s">
        <v>110</v>
      </c>
      <c r="BE179" s="89">
        <f>IF($U$179="základní",$N$179,0)</f>
        <v>0</v>
      </c>
      <c r="BF179" s="89">
        <f>IF($U$179="snížená",$N$179,0)</f>
        <v>0</v>
      </c>
      <c r="BG179" s="89">
        <f>IF($U$179="zákl. přenesená",$N$179,0)</f>
        <v>0</v>
      </c>
      <c r="BH179" s="89">
        <f>IF($U$179="sníž. přenesená",$N$179,0)</f>
        <v>0</v>
      </c>
      <c r="BI179" s="89">
        <f>IF($U$179="nulová",$N$179,0)</f>
        <v>0</v>
      </c>
      <c r="BJ179" s="3" t="s">
        <v>93</v>
      </c>
      <c r="BK179" s="89">
        <f>ROUND($L$179*$K$179,2)</f>
        <v>0</v>
      </c>
      <c r="BL179" s="3" t="s">
        <v>112</v>
      </c>
      <c r="BM179" s="3" t="s">
        <v>128</v>
      </c>
    </row>
    <row r="180" spans="2:51" s="3" customFormat="1" ht="18.75" customHeight="1">
      <c r="B180" s="117"/>
      <c r="C180" s="135"/>
      <c r="D180" s="135"/>
      <c r="E180" s="141"/>
      <c r="F180" s="198" t="s">
        <v>230</v>
      </c>
      <c r="G180" s="199"/>
      <c r="H180" s="199"/>
      <c r="I180" s="199"/>
      <c r="J180" s="135"/>
      <c r="K180" s="142">
        <f>SUM(K181:K196)</f>
        <v>346.17900000000003</v>
      </c>
      <c r="L180" s="135"/>
      <c r="M180" s="135"/>
      <c r="N180" s="135"/>
      <c r="O180" s="135"/>
      <c r="P180" s="135"/>
      <c r="Q180" s="135"/>
      <c r="R180" s="119"/>
      <c r="T180" s="120"/>
      <c r="AA180" s="121"/>
      <c r="AT180" s="118" t="s">
        <v>113</v>
      </c>
      <c r="AU180" s="118" t="s">
        <v>93</v>
      </c>
      <c r="AV180" s="118" t="s">
        <v>12</v>
      </c>
      <c r="AW180" s="118" t="s">
        <v>84</v>
      </c>
      <c r="AX180" s="118" t="s">
        <v>66</v>
      </c>
      <c r="AY180" s="118" t="s">
        <v>110</v>
      </c>
    </row>
    <row r="181" spans="2:51" s="3" customFormat="1" ht="18.75" customHeight="1">
      <c r="B181" s="117"/>
      <c r="C181" s="135"/>
      <c r="E181" s="118"/>
      <c r="F181" s="210" t="s">
        <v>172</v>
      </c>
      <c r="G181" s="211"/>
      <c r="H181" s="211"/>
      <c r="I181" s="211"/>
      <c r="K181" s="132"/>
      <c r="R181" s="119"/>
      <c r="T181" s="120"/>
      <c r="AA181" s="121"/>
      <c r="AT181" s="118" t="s">
        <v>113</v>
      </c>
      <c r="AU181" s="118" t="s">
        <v>93</v>
      </c>
      <c r="AV181" s="118" t="s">
        <v>12</v>
      </c>
      <c r="AW181" s="118" t="s">
        <v>84</v>
      </c>
      <c r="AX181" s="118" t="s">
        <v>66</v>
      </c>
      <c r="AY181" s="118" t="s">
        <v>110</v>
      </c>
    </row>
    <row r="182" spans="2:51" s="3" customFormat="1" ht="15" customHeight="1">
      <c r="B182" s="122"/>
      <c r="C182" s="135"/>
      <c r="E182" s="123"/>
      <c r="F182" s="190" t="s">
        <v>247</v>
      </c>
      <c r="G182" s="191"/>
      <c r="H182" s="191"/>
      <c r="I182" s="191"/>
      <c r="K182" s="124">
        <f>23.415*1.5</f>
        <v>35.1225</v>
      </c>
      <c r="R182" s="125"/>
      <c r="T182" s="126"/>
      <c r="AA182" s="127"/>
      <c r="AT182" s="123" t="s">
        <v>113</v>
      </c>
      <c r="AU182" s="123" t="s">
        <v>93</v>
      </c>
      <c r="AV182" s="123" t="s">
        <v>93</v>
      </c>
      <c r="AW182" s="123" t="s">
        <v>84</v>
      </c>
      <c r="AX182" s="123" t="s">
        <v>66</v>
      </c>
      <c r="AY182" s="123" t="s">
        <v>110</v>
      </c>
    </row>
    <row r="183" spans="2:51" s="3" customFormat="1" ht="18.75" customHeight="1">
      <c r="B183" s="117"/>
      <c r="C183" s="135"/>
      <c r="E183" s="118"/>
      <c r="F183" s="210" t="s">
        <v>173</v>
      </c>
      <c r="G183" s="211"/>
      <c r="H183" s="211"/>
      <c r="I183" s="211"/>
      <c r="K183" s="132"/>
      <c r="R183" s="119"/>
      <c r="T183" s="120"/>
      <c r="AA183" s="121"/>
      <c r="AT183" s="118" t="s">
        <v>113</v>
      </c>
      <c r="AU183" s="118" t="s">
        <v>93</v>
      </c>
      <c r="AV183" s="118" t="s">
        <v>12</v>
      </c>
      <c r="AW183" s="118" t="s">
        <v>84</v>
      </c>
      <c r="AX183" s="118" t="s">
        <v>66</v>
      </c>
      <c r="AY183" s="118" t="s">
        <v>110</v>
      </c>
    </row>
    <row r="184" spans="2:51" s="3" customFormat="1" ht="15" customHeight="1">
      <c r="B184" s="122"/>
      <c r="C184" s="135"/>
      <c r="E184" s="123"/>
      <c r="F184" s="190" t="s">
        <v>248</v>
      </c>
      <c r="G184" s="191"/>
      <c r="H184" s="191"/>
      <c r="I184" s="191"/>
      <c r="K184" s="124">
        <f>(14.115+0.405*2)*4</f>
        <v>59.7</v>
      </c>
      <c r="R184" s="125"/>
      <c r="T184" s="126"/>
      <c r="AA184" s="127"/>
      <c r="AT184" s="123" t="s">
        <v>113</v>
      </c>
      <c r="AU184" s="123" t="s">
        <v>93</v>
      </c>
      <c r="AV184" s="123" t="s">
        <v>93</v>
      </c>
      <c r="AW184" s="123" t="s">
        <v>84</v>
      </c>
      <c r="AX184" s="123" t="s">
        <v>66</v>
      </c>
      <c r="AY184" s="123" t="s">
        <v>110</v>
      </c>
    </row>
    <row r="185" spans="2:51" s="3" customFormat="1" ht="18.75" customHeight="1">
      <c r="B185" s="117"/>
      <c r="C185" s="135"/>
      <c r="E185" s="118"/>
      <c r="F185" s="210" t="s">
        <v>174</v>
      </c>
      <c r="G185" s="211"/>
      <c r="H185" s="211"/>
      <c r="I185" s="211"/>
      <c r="K185" s="132"/>
      <c r="R185" s="119"/>
      <c r="T185" s="120"/>
      <c r="AA185" s="121"/>
      <c r="AT185" s="118" t="s">
        <v>113</v>
      </c>
      <c r="AU185" s="118" t="s">
        <v>93</v>
      </c>
      <c r="AV185" s="118" t="s">
        <v>12</v>
      </c>
      <c r="AW185" s="118" t="s">
        <v>84</v>
      </c>
      <c r="AX185" s="118" t="s">
        <v>66</v>
      </c>
      <c r="AY185" s="118" t="s">
        <v>110</v>
      </c>
    </row>
    <row r="186" spans="2:51" s="3" customFormat="1" ht="15" customHeight="1">
      <c r="B186" s="122"/>
      <c r="C186" s="135"/>
      <c r="E186" s="123"/>
      <c r="F186" s="190" t="s">
        <v>248</v>
      </c>
      <c r="G186" s="191"/>
      <c r="H186" s="191"/>
      <c r="I186" s="191"/>
      <c r="K186" s="124">
        <f>(14.115+0.405*2)*4</f>
        <v>59.7</v>
      </c>
      <c r="R186" s="125"/>
      <c r="T186" s="126"/>
      <c r="AA186" s="127"/>
      <c r="AT186" s="123" t="s">
        <v>113</v>
      </c>
      <c r="AU186" s="123" t="s">
        <v>93</v>
      </c>
      <c r="AV186" s="123" t="s">
        <v>93</v>
      </c>
      <c r="AW186" s="123" t="s">
        <v>84</v>
      </c>
      <c r="AX186" s="123" t="s">
        <v>66</v>
      </c>
      <c r="AY186" s="123" t="s">
        <v>110</v>
      </c>
    </row>
    <row r="187" spans="2:51" s="3" customFormat="1" ht="18.75" customHeight="1">
      <c r="B187" s="117"/>
      <c r="C187" s="135"/>
      <c r="E187" s="118"/>
      <c r="F187" s="210" t="s">
        <v>175</v>
      </c>
      <c r="G187" s="211"/>
      <c r="H187" s="211"/>
      <c r="I187" s="211"/>
      <c r="K187" s="132"/>
      <c r="R187" s="119"/>
      <c r="T187" s="120"/>
      <c r="AA187" s="121"/>
      <c r="AT187" s="118" t="s">
        <v>113</v>
      </c>
      <c r="AU187" s="118" t="s">
        <v>93</v>
      </c>
      <c r="AV187" s="118" t="s">
        <v>12</v>
      </c>
      <c r="AW187" s="118" t="s">
        <v>84</v>
      </c>
      <c r="AX187" s="118" t="s">
        <v>66</v>
      </c>
      <c r="AY187" s="118" t="s">
        <v>110</v>
      </c>
    </row>
    <row r="188" spans="2:51" s="3" customFormat="1" ht="15" customHeight="1">
      <c r="B188" s="122"/>
      <c r="C188" s="135"/>
      <c r="E188" s="123"/>
      <c r="F188" s="190" t="s">
        <v>248</v>
      </c>
      <c r="G188" s="191"/>
      <c r="H188" s="191"/>
      <c r="I188" s="191"/>
      <c r="K188" s="124">
        <f>(14.115+0.405*2)*4</f>
        <v>59.7</v>
      </c>
      <c r="R188" s="125"/>
      <c r="T188" s="126"/>
      <c r="AA188" s="127"/>
      <c r="AT188" s="123" t="s">
        <v>113</v>
      </c>
      <c r="AU188" s="123" t="s">
        <v>93</v>
      </c>
      <c r="AV188" s="123" t="s">
        <v>93</v>
      </c>
      <c r="AW188" s="123" t="s">
        <v>84</v>
      </c>
      <c r="AX188" s="123" t="s">
        <v>66</v>
      </c>
      <c r="AY188" s="123" t="s">
        <v>110</v>
      </c>
    </row>
    <row r="189" spans="2:51" s="3" customFormat="1" ht="18.75" customHeight="1">
      <c r="B189" s="117"/>
      <c r="C189" s="135"/>
      <c r="E189" s="118"/>
      <c r="F189" s="210" t="s">
        <v>176</v>
      </c>
      <c r="G189" s="211"/>
      <c r="H189" s="211"/>
      <c r="I189" s="211"/>
      <c r="K189" s="132"/>
      <c r="R189" s="119"/>
      <c r="T189" s="120"/>
      <c r="AA189" s="121"/>
      <c r="AT189" s="118" t="s">
        <v>113</v>
      </c>
      <c r="AU189" s="118" t="s">
        <v>93</v>
      </c>
      <c r="AV189" s="118" t="s">
        <v>12</v>
      </c>
      <c r="AW189" s="118" t="s">
        <v>84</v>
      </c>
      <c r="AX189" s="118" t="s">
        <v>66</v>
      </c>
      <c r="AY189" s="118" t="s">
        <v>110</v>
      </c>
    </row>
    <row r="190" spans="2:51" s="3" customFormat="1" ht="15" customHeight="1">
      <c r="B190" s="122"/>
      <c r="C190" s="135"/>
      <c r="E190" s="123"/>
      <c r="F190" s="190" t="s">
        <v>248</v>
      </c>
      <c r="G190" s="191"/>
      <c r="H190" s="191"/>
      <c r="I190" s="191"/>
      <c r="K190" s="124">
        <f>(14.115+0.405*2)*4</f>
        <v>59.7</v>
      </c>
      <c r="R190" s="125"/>
      <c r="T190" s="126"/>
      <c r="AA190" s="127"/>
      <c r="AT190" s="123" t="s">
        <v>113</v>
      </c>
      <c r="AU190" s="123" t="s">
        <v>93</v>
      </c>
      <c r="AV190" s="123" t="s">
        <v>93</v>
      </c>
      <c r="AW190" s="123" t="s">
        <v>84</v>
      </c>
      <c r="AX190" s="123" t="s">
        <v>66</v>
      </c>
      <c r="AY190" s="123" t="s">
        <v>110</v>
      </c>
    </row>
    <row r="191" spans="2:51" s="3" customFormat="1" ht="18.75" customHeight="1">
      <c r="B191" s="117"/>
      <c r="C191" s="135"/>
      <c r="E191" s="118"/>
      <c r="F191" s="210" t="s">
        <v>235</v>
      </c>
      <c r="G191" s="211"/>
      <c r="H191" s="211"/>
      <c r="I191" s="211"/>
      <c r="K191" s="132"/>
      <c r="R191" s="119"/>
      <c r="T191" s="120"/>
      <c r="AA191" s="121"/>
      <c r="AT191" s="118" t="s">
        <v>113</v>
      </c>
      <c r="AU191" s="118" t="s">
        <v>93</v>
      </c>
      <c r="AV191" s="118" t="s">
        <v>12</v>
      </c>
      <c r="AW191" s="118" t="s">
        <v>84</v>
      </c>
      <c r="AX191" s="118" t="s">
        <v>66</v>
      </c>
      <c r="AY191" s="118" t="s">
        <v>110</v>
      </c>
    </row>
    <row r="192" spans="2:51" s="3" customFormat="1" ht="12" customHeight="1">
      <c r="B192" s="122"/>
      <c r="C192" s="135"/>
      <c r="D192" s="135"/>
      <c r="E192" s="143"/>
      <c r="F192" s="200" t="s">
        <v>250</v>
      </c>
      <c r="G192" s="214"/>
      <c r="H192" s="214"/>
      <c r="I192" s="214"/>
      <c r="J192" s="135"/>
      <c r="K192" s="144">
        <f>3.36*3+(2*3/2)*2</f>
        <v>16.08</v>
      </c>
      <c r="L192" s="135"/>
      <c r="M192" s="135"/>
      <c r="N192" s="135"/>
      <c r="O192" s="135"/>
      <c r="P192" s="135"/>
      <c r="Q192" s="135"/>
      <c r="R192" s="125"/>
      <c r="T192" s="126"/>
      <c r="AA192" s="127"/>
      <c r="AT192" s="123" t="s">
        <v>113</v>
      </c>
      <c r="AU192" s="123" t="s">
        <v>93</v>
      </c>
      <c r="AV192" s="123" t="s">
        <v>93</v>
      </c>
      <c r="AW192" s="123" t="s">
        <v>84</v>
      </c>
      <c r="AX192" s="123" t="s">
        <v>66</v>
      </c>
      <c r="AY192" s="123" t="s">
        <v>110</v>
      </c>
    </row>
    <row r="193" spans="2:51" s="3" customFormat="1" ht="15" customHeight="1">
      <c r="B193" s="122"/>
      <c r="C193" s="135"/>
      <c r="D193" s="135"/>
      <c r="E193" s="143"/>
      <c r="F193" s="200" t="s">
        <v>245</v>
      </c>
      <c r="G193" s="200"/>
      <c r="H193" s="200"/>
      <c r="I193" s="200"/>
      <c r="J193" s="135"/>
      <c r="K193" s="144">
        <f>K149*-1</f>
        <v>-32.459999999999994</v>
      </c>
      <c r="L193" s="135"/>
      <c r="M193" s="135"/>
      <c r="N193" s="135"/>
      <c r="O193" s="135"/>
      <c r="P193" s="135"/>
      <c r="Q193" s="135"/>
      <c r="R193" s="125"/>
      <c r="T193" s="126"/>
      <c r="AA193" s="127"/>
      <c r="AT193" s="123" t="s">
        <v>113</v>
      </c>
      <c r="AU193" s="123" t="s">
        <v>93</v>
      </c>
      <c r="AV193" s="123" t="s">
        <v>93</v>
      </c>
      <c r="AW193" s="123" t="s">
        <v>84</v>
      </c>
      <c r="AX193" s="123" t="s">
        <v>66</v>
      </c>
      <c r="AY193" s="123" t="s">
        <v>110</v>
      </c>
    </row>
    <row r="194" spans="2:51" s="3" customFormat="1" ht="15" customHeight="1">
      <c r="B194" s="122"/>
      <c r="C194" s="135"/>
      <c r="D194" s="135"/>
      <c r="E194" s="143"/>
      <c r="F194" s="200" t="s">
        <v>231</v>
      </c>
      <c r="G194" s="200"/>
      <c r="H194" s="200"/>
      <c r="I194" s="200"/>
      <c r="J194" s="135"/>
      <c r="K194" s="144"/>
      <c r="L194" s="135"/>
      <c r="M194" s="135"/>
      <c r="N194" s="135"/>
      <c r="O194" s="135"/>
      <c r="P194" s="135"/>
      <c r="Q194" s="135"/>
      <c r="R194" s="125"/>
      <c r="T194" s="126"/>
      <c r="AA194" s="127"/>
      <c r="AT194" s="123" t="s">
        <v>113</v>
      </c>
      <c r="AU194" s="123" t="s">
        <v>93</v>
      </c>
      <c r="AV194" s="123" t="s">
        <v>93</v>
      </c>
      <c r="AW194" s="123" t="s">
        <v>84</v>
      </c>
      <c r="AX194" s="123" t="s">
        <v>66</v>
      </c>
      <c r="AY194" s="123" t="s">
        <v>110</v>
      </c>
    </row>
    <row r="195" spans="2:51" s="3" customFormat="1" ht="15" customHeight="1">
      <c r="B195" s="122"/>
      <c r="C195" s="135"/>
      <c r="E195" s="123"/>
      <c r="F195" s="190" t="s">
        <v>249</v>
      </c>
      <c r="G195" s="191"/>
      <c r="H195" s="191"/>
      <c r="I195" s="191"/>
      <c r="K195" s="124">
        <f>4.45*4+(4.45+1.35*2)*4*2+4.45*4.5+4.45*3.5/2</f>
        <v>102.8125</v>
      </c>
      <c r="R195" s="125"/>
      <c r="T195" s="126"/>
      <c r="AA195" s="127"/>
      <c r="AT195" s="123" t="s">
        <v>113</v>
      </c>
      <c r="AU195" s="123" t="s">
        <v>93</v>
      </c>
      <c r="AV195" s="123" t="s">
        <v>93</v>
      </c>
      <c r="AW195" s="123" t="s">
        <v>84</v>
      </c>
      <c r="AX195" s="123" t="s">
        <v>66</v>
      </c>
      <c r="AY195" s="123" t="s">
        <v>110</v>
      </c>
    </row>
    <row r="196" spans="2:51" s="3" customFormat="1" ht="15" customHeight="1">
      <c r="B196" s="122"/>
      <c r="C196" s="135"/>
      <c r="D196" s="135"/>
      <c r="E196" s="143"/>
      <c r="F196" s="200" t="s">
        <v>245</v>
      </c>
      <c r="G196" s="200"/>
      <c r="H196" s="200"/>
      <c r="I196" s="200"/>
      <c r="J196" s="135"/>
      <c r="K196" s="144">
        <f>K151*-1</f>
        <v>-14.175999999999998</v>
      </c>
      <c r="L196" s="135"/>
      <c r="M196" s="135"/>
      <c r="N196" s="135"/>
      <c r="O196" s="135"/>
      <c r="P196" s="135"/>
      <c r="Q196" s="135"/>
      <c r="R196" s="125"/>
      <c r="T196" s="126"/>
      <c r="AA196" s="127"/>
      <c r="AT196" s="123" t="s">
        <v>113</v>
      </c>
      <c r="AU196" s="123" t="s">
        <v>93</v>
      </c>
      <c r="AV196" s="123" t="s">
        <v>93</v>
      </c>
      <c r="AW196" s="123" t="s">
        <v>84</v>
      </c>
      <c r="AX196" s="123" t="s">
        <v>66</v>
      </c>
      <c r="AY196" s="123" t="s">
        <v>110</v>
      </c>
    </row>
    <row r="197" spans="2:51" s="3" customFormat="1" ht="18.75" customHeight="1">
      <c r="B197" s="117"/>
      <c r="C197" s="135"/>
      <c r="D197" s="135"/>
      <c r="E197" s="141"/>
      <c r="F197" s="198" t="s">
        <v>229</v>
      </c>
      <c r="G197" s="199"/>
      <c r="H197" s="199"/>
      <c r="I197" s="199"/>
      <c r="J197" s="135"/>
      <c r="K197" s="142">
        <f>SUM(K198:K215)</f>
        <v>474.7917000000001</v>
      </c>
      <c r="L197" s="135"/>
      <c r="M197" s="135"/>
      <c r="N197" s="135"/>
      <c r="O197" s="135"/>
      <c r="P197" s="135"/>
      <c r="Q197" s="135"/>
      <c r="R197" s="119"/>
      <c r="T197" s="120"/>
      <c r="AA197" s="121"/>
      <c r="AT197" s="118" t="s">
        <v>113</v>
      </c>
      <c r="AU197" s="118" t="s">
        <v>93</v>
      </c>
      <c r="AV197" s="118" t="s">
        <v>12</v>
      </c>
      <c r="AW197" s="118" t="s">
        <v>84</v>
      </c>
      <c r="AX197" s="118" t="s">
        <v>66</v>
      </c>
      <c r="AY197" s="118" t="s">
        <v>110</v>
      </c>
    </row>
    <row r="198" spans="2:51" s="3" customFormat="1" ht="18.75" customHeight="1">
      <c r="B198" s="117"/>
      <c r="C198" s="135"/>
      <c r="E198" s="118"/>
      <c r="F198" s="210" t="s">
        <v>172</v>
      </c>
      <c r="G198" s="211"/>
      <c r="H198" s="211"/>
      <c r="I198" s="211"/>
      <c r="K198" s="132"/>
      <c r="R198" s="119"/>
      <c r="T198" s="120"/>
      <c r="AA198" s="121"/>
      <c r="AT198" s="118" t="s">
        <v>113</v>
      </c>
      <c r="AU198" s="118" t="s">
        <v>93</v>
      </c>
      <c r="AV198" s="118" t="s">
        <v>12</v>
      </c>
      <c r="AW198" s="118" t="s">
        <v>84</v>
      </c>
      <c r="AX198" s="118" t="s">
        <v>66</v>
      </c>
      <c r="AY198" s="118" t="s">
        <v>110</v>
      </c>
    </row>
    <row r="199" spans="2:51" s="3" customFormat="1" ht="15" customHeight="1">
      <c r="B199" s="122"/>
      <c r="C199" s="135"/>
      <c r="E199" s="123"/>
      <c r="F199" s="190" t="s">
        <v>246</v>
      </c>
      <c r="G199" s="191"/>
      <c r="H199" s="191"/>
      <c r="I199" s="191"/>
      <c r="K199" s="124">
        <f>(1.51+4.23+0.425+11.67+7.875+1.5+3.375/2)*4</f>
        <v>115.59</v>
      </c>
      <c r="R199" s="125"/>
      <c r="T199" s="126"/>
      <c r="AA199" s="127"/>
      <c r="AT199" s="123" t="s">
        <v>113</v>
      </c>
      <c r="AU199" s="123" t="s">
        <v>93</v>
      </c>
      <c r="AV199" s="123" t="s">
        <v>93</v>
      </c>
      <c r="AW199" s="123" t="s">
        <v>84</v>
      </c>
      <c r="AX199" s="123" t="s">
        <v>66</v>
      </c>
      <c r="AY199" s="123" t="s">
        <v>110</v>
      </c>
    </row>
    <row r="200" spans="2:51" s="3" customFormat="1" ht="30" customHeight="1">
      <c r="B200" s="122"/>
      <c r="C200" s="135"/>
      <c r="D200" s="135"/>
      <c r="E200" s="143"/>
      <c r="F200" s="200" t="s">
        <v>234</v>
      </c>
      <c r="G200" s="214"/>
      <c r="H200" s="214"/>
      <c r="I200" s="214"/>
      <c r="J200" s="135"/>
      <c r="K200" s="144">
        <f>K154*-1</f>
        <v>-11.8807</v>
      </c>
      <c r="L200" s="135"/>
      <c r="M200" s="135"/>
      <c r="N200" s="135"/>
      <c r="O200" s="135"/>
      <c r="P200" s="135"/>
      <c r="Q200" s="135"/>
      <c r="R200" s="125"/>
      <c r="T200" s="126"/>
      <c r="AA200" s="127"/>
      <c r="AT200" s="123" t="s">
        <v>113</v>
      </c>
      <c r="AU200" s="123" t="s">
        <v>93</v>
      </c>
      <c r="AV200" s="123" t="s">
        <v>93</v>
      </c>
      <c r="AW200" s="123" t="s">
        <v>84</v>
      </c>
      <c r="AX200" s="123" t="s">
        <v>66</v>
      </c>
      <c r="AY200" s="123" t="s">
        <v>110</v>
      </c>
    </row>
    <row r="201" spans="2:51" s="3" customFormat="1" ht="18.75" customHeight="1">
      <c r="B201" s="117"/>
      <c r="C201" s="135"/>
      <c r="E201" s="118"/>
      <c r="F201" s="210" t="s">
        <v>173</v>
      </c>
      <c r="G201" s="211"/>
      <c r="H201" s="211"/>
      <c r="I201" s="211"/>
      <c r="K201" s="132"/>
      <c r="R201" s="119"/>
      <c r="T201" s="120"/>
      <c r="AA201" s="121"/>
      <c r="AT201" s="118" t="s">
        <v>113</v>
      </c>
      <c r="AU201" s="118" t="s">
        <v>93</v>
      </c>
      <c r="AV201" s="118" t="s">
        <v>12</v>
      </c>
      <c r="AW201" s="118" t="s">
        <v>84</v>
      </c>
      <c r="AX201" s="118" t="s">
        <v>66</v>
      </c>
      <c r="AY201" s="118" t="s">
        <v>110</v>
      </c>
    </row>
    <row r="202" spans="2:51" s="3" customFormat="1" ht="15" customHeight="1">
      <c r="B202" s="122"/>
      <c r="C202" s="135"/>
      <c r="E202" s="123"/>
      <c r="F202" s="190" t="s">
        <v>251</v>
      </c>
      <c r="G202" s="191"/>
      <c r="H202" s="191"/>
      <c r="I202" s="191"/>
      <c r="K202" s="124">
        <f>(1.51+4.23+0.425+11.67+7.875)*4</f>
        <v>102.84</v>
      </c>
      <c r="R202" s="125"/>
      <c r="T202" s="126"/>
      <c r="AA202" s="127"/>
      <c r="AT202" s="123" t="s">
        <v>113</v>
      </c>
      <c r="AU202" s="123" t="s">
        <v>93</v>
      </c>
      <c r="AV202" s="123" t="s">
        <v>93</v>
      </c>
      <c r="AW202" s="123" t="s">
        <v>84</v>
      </c>
      <c r="AX202" s="123" t="s">
        <v>66</v>
      </c>
      <c r="AY202" s="123" t="s">
        <v>110</v>
      </c>
    </row>
    <row r="203" spans="2:51" s="3" customFormat="1" ht="30" customHeight="1">
      <c r="B203" s="122"/>
      <c r="C203" s="135"/>
      <c r="D203" s="135"/>
      <c r="E203" s="143"/>
      <c r="F203" s="200" t="s">
        <v>236</v>
      </c>
      <c r="G203" s="214"/>
      <c r="H203" s="214"/>
      <c r="I203" s="214"/>
      <c r="J203" s="135"/>
      <c r="K203" s="144">
        <f>K156*-1</f>
        <v>-12.913499999999999</v>
      </c>
      <c r="L203" s="135"/>
      <c r="M203" s="135"/>
      <c r="N203" s="135"/>
      <c r="O203" s="135"/>
      <c r="P203" s="135"/>
      <c r="Q203" s="135"/>
      <c r="R203" s="125"/>
      <c r="T203" s="126"/>
      <c r="AA203" s="127"/>
      <c r="AT203" s="123" t="s">
        <v>113</v>
      </c>
      <c r="AU203" s="123" t="s">
        <v>93</v>
      </c>
      <c r="AV203" s="123" t="s">
        <v>93</v>
      </c>
      <c r="AW203" s="123" t="s">
        <v>84</v>
      </c>
      <c r="AX203" s="123" t="s">
        <v>66</v>
      </c>
      <c r="AY203" s="123" t="s">
        <v>110</v>
      </c>
    </row>
    <row r="204" spans="2:51" s="3" customFormat="1" ht="18.75" customHeight="1">
      <c r="B204" s="117"/>
      <c r="C204" s="135"/>
      <c r="E204" s="118"/>
      <c r="F204" s="210" t="s">
        <v>174</v>
      </c>
      <c r="G204" s="211"/>
      <c r="H204" s="211"/>
      <c r="I204" s="211"/>
      <c r="K204" s="132"/>
      <c r="R204" s="119"/>
      <c r="T204" s="120"/>
      <c r="AA204" s="121"/>
      <c r="AT204" s="118" t="s">
        <v>113</v>
      </c>
      <c r="AU204" s="118" t="s">
        <v>93</v>
      </c>
      <c r="AV204" s="118" t="s">
        <v>12</v>
      </c>
      <c r="AW204" s="118" t="s">
        <v>84</v>
      </c>
      <c r="AX204" s="118" t="s">
        <v>66</v>
      </c>
      <c r="AY204" s="118" t="s">
        <v>110</v>
      </c>
    </row>
    <row r="205" spans="2:51" s="3" customFormat="1" ht="15" customHeight="1">
      <c r="B205" s="122"/>
      <c r="C205" s="135"/>
      <c r="E205" s="123"/>
      <c r="F205" s="190" t="s">
        <v>251</v>
      </c>
      <c r="G205" s="191"/>
      <c r="H205" s="191"/>
      <c r="I205" s="191"/>
      <c r="K205" s="124">
        <f>(1.51+4.23+0.425+11.67+7.875)*4</f>
        <v>102.84</v>
      </c>
      <c r="R205" s="125"/>
      <c r="T205" s="126"/>
      <c r="AA205" s="127"/>
      <c r="AT205" s="123" t="s">
        <v>113</v>
      </c>
      <c r="AU205" s="123" t="s">
        <v>93</v>
      </c>
      <c r="AV205" s="123" t="s">
        <v>93</v>
      </c>
      <c r="AW205" s="123" t="s">
        <v>84</v>
      </c>
      <c r="AX205" s="123" t="s">
        <v>66</v>
      </c>
      <c r="AY205" s="123" t="s">
        <v>110</v>
      </c>
    </row>
    <row r="206" spans="2:51" s="3" customFormat="1" ht="30" customHeight="1">
      <c r="B206" s="122"/>
      <c r="C206" s="135"/>
      <c r="D206" s="135"/>
      <c r="E206" s="143"/>
      <c r="F206" s="200" t="s">
        <v>237</v>
      </c>
      <c r="G206" s="214"/>
      <c r="H206" s="214"/>
      <c r="I206" s="214"/>
      <c r="J206" s="135"/>
      <c r="K206" s="144">
        <f>K158*-1</f>
        <v>-13.374099999999999</v>
      </c>
      <c r="L206" s="135"/>
      <c r="M206" s="135"/>
      <c r="N206" s="135"/>
      <c r="O206" s="135"/>
      <c r="P206" s="135"/>
      <c r="Q206" s="135"/>
      <c r="R206" s="125"/>
      <c r="T206" s="126"/>
      <c r="AA206" s="127"/>
      <c r="AT206" s="123" t="s">
        <v>113</v>
      </c>
      <c r="AU206" s="123" t="s">
        <v>93</v>
      </c>
      <c r="AV206" s="123" t="s">
        <v>93</v>
      </c>
      <c r="AW206" s="123" t="s">
        <v>84</v>
      </c>
      <c r="AX206" s="123" t="s">
        <v>66</v>
      </c>
      <c r="AY206" s="123" t="s">
        <v>110</v>
      </c>
    </row>
    <row r="207" spans="2:51" s="3" customFormat="1" ht="18.75" customHeight="1">
      <c r="B207" s="117"/>
      <c r="C207" s="135"/>
      <c r="E207" s="118"/>
      <c r="F207" s="210" t="s">
        <v>175</v>
      </c>
      <c r="G207" s="211"/>
      <c r="H207" s="211"/>
      <c r="I207" s="211"/>
      <c r="K207" s="132"/>
      <c r="R207" s="119"/>
      <c r="T207" s="120"/>
      <c r="AA207" s="121"/>
      <c r="AT207" s="118" t="s">
        <v>113</v>
      </c>
      <c r="AU207" s="118" t="s">
        <v>93</v>
      </c>
      <c r="AV207" s="118" t="s">
        <v>12</v>
      </c>
      <c r="AW207" s="118" t="s">
        <v>84</v>
      </c>
      <c r="AX207" s="118" t="s">
        <v>66</v>
      </c>
      <c r="AY207" s="118" t="s">
        <v>110</v>
      </c>
    </row>
    <row r="208" spans="2:51" s="3" customFormat="1" ht="15" customHeight="1">
      <c r="B208" s="122"/>
      <c r="C208" s="135"/>
      <c r="E208" s="123"/>
      <c r="F208" s="190" t="s">
        <v>251</v>
      </c>
      <c r="G208" s="191"/>
      <c r="H208" s="191"/>
      <c r="I208" s="191"/>
      <c r="K208" s="124">
        <f>(1.51+4.23+0.425+11.67+7.875)*4</f>
        <v>102.84</v>
      </c>
      <c r="R208" s="125"/>
      <c r="T208" s="126"/>
      <c r="AA208" s="127"/>
      <c r="AT208" s="123" t="s">
        <v>113</v>
      </c>
      <c r="AU208" s="123" t="s">
        <v>93</v>
      </c>
      <c r="AV208" s="123" t="s">
        <v>93</v>
      </c>
      <c r="AW208" s="123" t="s">
        <v>84</v>
      </c>
      <c r="AX208" s="123" t="s">
        <v>66</v>
      </c>
      <c r="AY208" s="123" t="s">
        <v>110</v>
      </c>
    </row>
    <row r="209" spans="2:51" s="3" customFormat="1" ht="30" customHeight="1">
      <c r="B209" s="122"/>
      <c r="C209" s="135"/>
      <c r="D209" s="135"/>
      <c r="E209" s="143"/>
      <c r="F209" s="200" t="s">
        <v>239</v>
      </c>
      <c r="G209" s="214"/>
      <c r="H209" s="214"/>
      <c r="I209" s="214"/>
      <c r="J209" s="135"/>
      <c r="K209" s="144">
        <f>K160*-1</f>
        <v>-13.319399999999998</v>
      </c>
      <c r="L209" s="135"/>
      <c r="M209" s="135"/>
      <c r="N209" s="135"/>
      <c r="O209" s="135"/>
      <c r="P209" s="135"/>
      <c r="Q209" s="135"/>
      <c r="R209" s="125"/>
      <c r="T209" s="126"/>
      <c r="AA209" s="127"/>
      <c r="AT209" s="123" t="s">
        <v>113</v>
      </c>
      <c r="AU209" s="123" t="s">
        <v>93</v>
      </c>
      <c r="AV209" s="123" t="s">
        <v>93</v>
      </c>
      <c r="AW209" s="123" t="s">
        <v>84</v>
      </c>
      <c r="AX209" s="123" t="s">
        <v>66</v>
      </c>
      <c r="AY209" s="123" t="s">
        <v>110</v>
      </c>
    </row>
    <row r="210" spans="2:51" s="3" customFormat="1" ht="18.75" customHeight="1">
      <c r="B210" s="117"/>
      <c r="C210" s="135"/>
      <c r="E210" s="118"/>
      <c r="F210" s="210" t="s">
        <v>176</v>
      </c>
      <c r="G210" s="211"/>
      <c r="H210" s="211"/>
      <c r="I210" s="211"/>
      <c r="K210" s="132"/>
      <c r="R210" s="119"/>
      <c r="T210" s="120"/>
      <c r="AA210" s="121"/>
      <c r="AT210" s="118" t="s">
        <v>113</v>
      </c>
      <c r="AU210" s="118" t="s">
        <v>93</v>
      </c>
      <c r="AV210" s="118" t="s">
        <v>12</v>
      </c>
      <c r="AW210" s="118" t="s">
        <v>84</v>
      </c>
      <c r="AX210" s="118" t="s">
        <v>66</v>
      </c>
      <c r="AY210" s="118" t="s">
        <v>110</v>
      </c>
    </row>
    <row r="211" spans="2:51" s="3" customFormat="1" ht="15" customHeight="1">
      <c r="B211" s="122"/>
      <c r="C211" s="135"/>
      <c r="E211" s="123"/>
      <c r="F211" s="190" t="s">
        <v>253</v>
      </c>
      <c r="G211" s="191"/>
      <c r="H211" s="191"/>
      <c r="I211" s="191"/>
      <c r="K211" s="124">
        <f>(1.51+0.425+11.67+7.875)*4</f>
        <v>85.92</v>
      </c>
      <c r="R211" s="125"/>
      <c r="T211" s="126"/>
      <c r="AA211" s="127"/>
      <c r="AT211" s="123" t="s">
        <v>113</v>
      </c>
      <c r="AU211" s="123" t="s">
        <v>93</v>
      </c>
      <c r="AV211" s="123" t="s">
        <v>93</v>
      </c>
      <c r="AW211" s="123" t="s">
        <v>84</v>
      </c>
      <c r="AX211" s="123" t="s">
        <v>66</v>
      </c>
      <c r="AY211" s="123" t="s">
        <v>110</v>
      </c>
    </row>
    <row r="212" spans="2:51" s="3" customFormat="1" ht="30" customHeight="1">
      <c r="B212" s="122"/>
      <c r="C212" s="135"/>
      <c r="D212" s="135"/>
      <c r="E212" s="143"/>
      <c r="F212" s="200" t="s">
        <v>238</v>
      </c>
      <c r="G212" s="214"/>
      <c r="H212" s="214"/>
      <c r="I212" s="214"/>
      <c r="J212" s="135"/>
      <c r="K212" s="144">
        <f>K162*-1</f>
        <v>-13.173599999999999</v>
      </c>
      <c r="L212" s="135"/>
      <c r="M212" s="135"/>
      <c r="N212" s="135"/>
      <c r="O212" s="135"/>
      <c r="P212" s="135"/>
      <c r="Q212" s="135"/>
      <c r="R212" s="125"/>
      <c r="T212" s="126"/>
      <c r="AA212" s="127"/>
      <c r="AT212" s="123" t="s">
        <v>113</v>
      </c>
      <c r="AU212" s="123" t="s">
        <v>93</v>
      </c>
      <c r="AV212" s="123" t="s">
        <v>93</v>
      </c>
      <c r="AW212" s="123" t="s">
        <v>84</v>
      </c>
      <c r="AX212" s="123" t="s">
        <v>66</v>
      </c>
      <c r="AY212" s="123" t="s">
        <v>110</v>
      </c>
    </row>
    <row r="213" spans="2:51" s="3" customFormat="1" ht="18.75" customHeight="1">
      <c r="B213" s="117"/>
      <c r="C213" s="135"/>
      <c r="E213" s="118"/>
      <c r="F213" s="210" t="s">
        <v>235</v>
      </c>
      <c r="G213" s="211"/>
      <c r="H213" s="211"/>
      <c r="I213" s="211"/>
      <c r="K213" s="132"/>
      <c r="R213" s="119"/>
      <c r="T213" s="120"/>
      <c r="AA213" s="121"/>
      <c r="AT213" s="118" t="s">
        <v>113</v>
      </c>
      <c r="AU213" s="118" t="s">
        <v>93</v>
      </c>
      <c r="AV213" s="118" t="s">
        <v>12</v>
      </c>
      <c r="AW213" s="118" t="s">
        <v>84</v>
      </c>
      <c r="AX213" s="118" t="s">
        <v>66</v>
      </c>
      <c r="AY213" s="118" t="s">
        <v>110</v>
      </c>
    </row>
    <row r="214" spans="2:51" s="3" customFormat="1" ht="15" customHeight="1">
      <c r="B214" s="122"/>
      <c r="C214" s="135"/>
      <c r="E214" s="123"/>
      <c r="F214" s="190" t="s">
        <v>252</v>
      </c>
      <c r="G214" s="191"/>
      <c r="H214" s="191"/>
      <c r="I214" s="191"/>
      <c r="K214" s="124">
        <f>11.455*3</f>
        <v>34.365</v>
      </c>
      <c r="R214" s="125"/>
      <c r="T214" s="126"/>
      <c r="AA214" s="127"/>
      <c r="AT214" s="123" t="s">
        <v>113</v>
      </c>
      <c r="AU214" s="123" t="s">
        <v>93</v>
      </c>
      <c r="AV214" s="123" t="s">
        <v>93</v>
      </c>
      <c r="AW214" s="123" t="s">
        <v>84</v>
      </c>
      <c r="AX214" s="123" t="s">
        <v>66</v>
      </c>
      <c r="AY214" s="123" t="s">
        <v>110</v>
      </c>
    </row>
    <row r="215" spans="2:51" s="3" customFormat="1" ht="12" customHeight="1">
      <c r="B215" s="122"/>
      <c r="C215" s="135"/>
      <c r="D215" s="135"/>
      <c r="E215" s="143"/>
      <c r="F215" s="200" t="s">
        <v>240</v>
      </c>
      <c r="G215" s="214"/>
      <c r="H215" s="214"/>
      <c r="I215" s="214"/>
      <c r="J215" s="135"/>
      <c r="K215" s="144">
        <f>K164*-1</f>
        <v>-4.942</v>
      </c>
      <c r="L215" s="135"/>
      <c r="M215" s="135"/>
      <c r="N215" s="135"/>
      <c r="O215" s="135"/>
      <c r="P215" s="135"/>
      <c r="Q215" s="135"/>
      <c r="R215" s="125"/>
      <c r="T215" s="126"/>
      <c r="AA215" s="127"/>
      <c r="AT215" s="123" t="s">
        <v>113</v>
      </c>
      <c r="AU215" s="123" t="s">
        <v>93</v>
      </c>
      <c r="AV215" s="123" t="s">
        <v>93</v>
      </c>
      <c r="AW215" s="123" t="s">
        <v>84</v>
      </c>
      <c r="AX215" s="123" t="s">
        <v>66</v>
      </c>
      <c r="AY215" s="123" t="s">
        <v>110</v>
      </c>
    </row>
    <row r="216" spans="2:51" s="3" customFormat="1" ht="18.75" customHeight="1">
      <c r="B216" s="117"/>
      <c r="C216" s="135"/>
      <c r="D216" s="135"/>
      <c r="E216" s="141"/>
      <c r="F216" s="192" t="s">
        <v>320</v>
      </c>
      <c r="G216" s="193"/>
      <c r="H216" s="193"/>
      <c r="I216" s="193"/>
      <c r="J216" s="135"/>
      <c r="K216" s="142">
        <f>K217</f>
        <v>79.9</v>
      </c>
      <c r="L216" s="135"/>
      <c r="M216" s="135"/>
      <c r="N216" s="135"/>
      <c r="O216" s="135"/>
      <c r="P216" s="135"/>
      <c r="Q216" s="135"/>
      <c r="R216" s="119"/>
      <c r="T216" s="120"/>
      <c r="AA216" s="121"/>
      <c r="AT216" s="118" t="s">
        <v>113</v>
      </c>
      <c r="AU216" s="118" t="s">
        <v>93</v>
      </c>
      <c r="AV216" s="118" t="s">
        <v>12</v>
      </c>
      <c r="AW216" s="118" t="s">
        <v>84</v>
      </c>
      <c r="AX216" s="118" t="s">
        <v>66</v>
      </c>
      <c r="AY216" s="118" t="s">
        <v>110</v>
      </c>
    </row>
    <row r="217" spans="2:51" s="3" customFormat="1" ht="15" customHeight="1">
      <c r="B217" s="117"/>
      <c r="C217" s="135"/>
      <c r="E217" s="118"/>
      <c r="F217" s="210" t="s">
        <v>322</v>
      </c>
      <c r="G217" s="211"/>
      <c r="H217" s="211"/>
      <c r="I217" s="211"/>
      <c r="J217" s="140"/>
      <c r="K217" s="139">
        <f>(1.56+6.67+1.88*2+3.09+3.065+1.83)*4</f>
        <v>79.9</v>
      </c>
      <c r="R217" s="119"/>
      <c r="T217" s="120"/>
      <c r="AA217" s="121"/>
      <c r="AT217" s="118" t="s">
        <v>113</v>
      </c>
      <c r="AU217" s="118" t="s">
        <v>93</v>
      </c>
      <c r="AV217" s="118" t="s">
        <v>12</v>
      </c>
      <c r="AW217" s="118" t="s">
        <v>84</v>
      </c>
      <c r="AX217" s="118" t="s">
        <v>66</v>
      </c>
      <c r="AY217" s="118" t="s">
        <v>110</v>
      </c>
    </row>
    <row r="218" spans="2:51" s="3" customFormat="1" ht="18.75" customHeight="1">
      <c r="B218" s="117"/>
      <c r="C218" s="135"/>
      <c r="D218" s="135"/>
      <c r="E218" s="141"/>
      <c r="F218" s="192" t="s">
        <v>385</v>
      </c>
      <c r="G218" s="193"/>
      <c r="H218" s="193"/>
      <c r="I218" s="193"/>
      <c r="J218" s="135"/>
      <c r="K218" s="142">
        <f>K219</f>
        <v>48.714</v>
      </c>
      <c r="L218" s="135"/>
      <c r="M218" s="135"/>
      <c r="N218" s="135"/>
      <c r="O218" s="135"/>
      <c r="P218" s="135"/>
      <c r="Q218" s="135"/>
      <c r="R218" s="119"/>
      <c r="T218" s="120"/>
      <c r="AA218" s="121"/>
      <c r="AT218" s="118" t="s">
        <v>113</v>
      </c>
      <c r="AU218" s="118" t="s">
        <v>93</v>
      </c>
      <c r="AV218" s="118" t="s">
        <v>12</v>
      </c>
      <c r="AW218" s="118" t="s">
        <v>84</v>
      </c>
      <c r="AX218" s="118" t="s">
        <v>66</v>
      </c>
      <c r="AY218" s="118" t="s">
        <v>110</v>
      </c>
    </row>
    <row r="219" spans="2:51" s="3" customFormat="1" ht="15" customHeight="1">
      <c r="B219" s="122"/>
      <c r="C219" s="135"/>
      <c r="E219" s="123"/>
      <c r="F219" s="190" t="s">
        <v>386</v>
      </c>
      <c r="G219" s="191"/>
      <c r="H219" s="191"/>
      <c r="I219" s="191"/>
      <c r="K219" s="124">
        <f>10.59*4.6</f>
        <v>48.714</v>
      </c>
      <c r="R219" s="125"/>
      <c r="T219" s="126"/>
      <c r="AA219" s="127"/>
      <c r="AT219" s="123" t="s">
        <v>113</v>
      </c>
      <c r="AU219" s="123" t="s">
        <v>93</v>
      </c>
      <c r="AV219" s="123" t="s">
        <v>93</v>
      </c>
      <c r="AW219" s="123" t="s">
        <v>84</v>
      </c>
      <c r="AX219" s="123" t="s">
        <v>66</v>
      </c>
      <c r="AY219" s="123" t="s">
        <v>110</v>
      </c>
    </row>
    <row r="220" spans="2:51" s="3" customFormat="1" ht="18.75" customHeight="1">
      <c r="B220" s="117"/>
      <c r="C220" s="135"/>
      <c r="E220" s="118"/>
      <c r="F220" s="194" t="s">
        <v>258</v>
      </c>
      <c r="G220" s="195"/>
      <c r="H220" s="195"/>
      <c r="I220" s="195"/>
      <c r="K220" s="139">
        <f>K221</f>
        <v>35.1255</v>
      </c>
      <c r="R220" s="119"/>
      <c r="T220" s="120"/>
      <c r="AA220" s="121"/>
      <c r="AT220" s="118" t="s">
        <v>113</v>
      </c>
      <c r="AU220" s="118" t="s">
        <v>93</v>
      </c>
      <c r="AV220" s="118" t="s">
        <v>12</v>
      </c>
      <c r="AW220" s="118" t="s">
        <v>84</v>
      </c>
      <c r="AX220" s="118" t="s">
        <v>66</v>
      </c>
      <c r="AY220" s="118" t="s">
        <v>110</v>
      </c>
    </row>
    <row r="221" spans="2:51" s="3" customFormat="1" ht="15" customHeight="1">
      <c r="B221" s="122"/>
      <c r="C221" s="135"/>
      <c r="E221" s="123"/>
      <c r="F221" s="190" t="s">
        <v>294</v>
      </c>
      <c r="G221" s="191"/>
      <c r="H221" s="191"/>
      <c r="I221" s="191"/>
      <c r="K221" s="124">
        <f>23.417*1.5</f>
        <v>35.1255</v>
      </c>
      <c r="R221" s="125"/>
      <c r="T221" s="126"/>
      <c r="AA221" s="127"/>
      <c r="AT221" s="123" t="s">
        <v>113</v>
      </c>
      <c r="AU221" s="123" t="s">
        <v>93</v>
      </c>
      <c r="AV221" s="123" t="s">
        <v>93</v>
      </c>
      <c r="AW221" s="123" t="s">
        <v>84</v>
      </c>
      <c r="AX221" s="123" t="s">
        <v>66</v>
      </c>
      <c r="AY221" s="123" t="s">
        <v>110</v>
      </c>
    </row>
    <row r="222" spans="2:51" s="3" customFormat="1" ht="18.75" customHeight="1">
      <c r="B222" s="117"/>
      <c r="C222" s="135"/>
      <c r="E222" s="118"/>
      <c r="F222" s="194" t="s">
        <v>388</v>
      </c>
      <c r="G222" s="195"/>
      <c r="H222" s="195"/>
      <c r="I222" s="195"/>
      <c r="K222" s="148">
        <f>K223</f>
        <v>76.26799999999999</v>
      </c>
      <c r="R222" s="119"/>
      <c r="T222" s="120"/>
      <c r="AA222" s="121"/>
      <c r="AT222" s="118" t="s">
        <v>113</v>
      </c>
      <c r="AU222" s="118" t="s">
        <v>93</v>
      </c>
      <c r="AV222" s="118" t="s">
        <v>12</v>
      </c>
      <c r="AW222" s="118" t="s">
        <v>84</v>
      </c>
      <c r="AX222" s="118" t="s">
        <v>66</v>
      </c>
      <c r="AY222" s="118" t="s">
        <v>110</v>
      </c>
    </row>
    <row r="223" spans="2:51" s="3" customFormat="1" ht="15" customHeight="1">
      <c r="B223" s="122"/>
      <c r="C223" s="135"/>
      <c r="E223" s="123"/>
      <c r="F223" s="190" t="s">
        <v>389</v>
      </c>
      <c r="G223" s="191"/>
      <c r="H223" s="191"/>
      <c r="I223" s="191"/>
      <c r="K223" s="124">
        <f>16.58*4.6</f>
        <v>76.26799999999999</v>
      </c>
      <c r="R223" s="125"/>
      <c r="T223" s="126"/>
      <c r="AA223" s="127"/>
      <c r="AT223" s="123" t="s">
        <v>113</v>
      </c>
      <c r="AU223" s="123" t="s">
        <v>93</v>
      </c>
      <c r="AV223" s="123" t="s">
        <v>93</v>
      </c>
      <c r="AW223" s="123" t="s">
        <v>84</v>
      </c>
      <c r="AX223" s="123" t="s">
        <v>66</v>
      </c>
      <c r="AY223" s="123" t="s">
        <v>110</v>
      </c>
    </row>
    <row r="224" spans="2:65" s="3" customFormat="1" ht="15.75" customHeight="1">
      <c r="B224" s="16"/>
      <c r="C224" s="133">
        <v>19</v>
      </c>
      <c r="D224" s="110" t="s">
        <v>111</v>
      </c>
      <c r="E224" s="111" t="s">
        <v>129</v>
      </c>
      <c r="F224" s="196" t="s">
        <v>390</v>
      </c>
      <c r="G224" s="197"/>
      <c r="H224" s="197"/>
      <c r="I224" s="197"/>
      <c r="J224" s="112" t="s">
        <v>115</v>
      </c>
      <c r="K224" s="113">
        <f>K179*2</f>
        <v>2121.9564</v>
      </c>
      <c r="L224" s="203"/>
      <c r="M224" s="197"/>
      <c r="N224" s="203">
        <f>ROUND($L$224*$K$224,2)</f>
        <v>0</v>
      </c>
      <c r="O224" s="197"/>
      <c r="P224" s="197"/>
      <c r="Q224" s="197"/>
      <c r="R224" s="17"/>
      <c r="T224" s="114"/>
      <c r="U224" s="23" t="s">
        <v>33</v>
      </c>
      <c r="V224" s="115">
        <v>0.074</v>
      </c>
      <c r="W224" s="115">
        <f>$V$224*$K$224</f>
        <v>157.0247736</v>
      </c>
      <c r="X224" s="115">
        <v>0.00047</v>
      </c>
      <c r="Y224" s="115">
        <f>$X$224*$K$224</f>
        <v>0.997319508</v>
      </c>
      <c r="Z224" s="115">
        <v>0</v>
      </c>
      <c r="AA224" s="116">
        <f>$Z$224*$K$224</f>
        <v>0</v>
      </c>
      <c r="AD224" s="3">
        <v>0.0015</v>
      </c>
      <c r="AE224" s="3">
        <f>K224*AD224</f>
        <v>3.1829346000000003</v>
      </c>
      <c r="AR224" s="3" t="s">
        <v>112</v>
      </c>
      <c r="AT224" s="3" t="s">
        <v>111</v>
      </c>
      <c r="AU224" s="3" t="s">
        <v>93</v>
      </c>
      <c r="AY224" s="3" t="s">
        <v>110</v>
      </c>
      <c r="BE224" s="89">
        <f>IF($U$224="základní",$N$224,0)</f>
        <v>0</v>
      </c>
      <c r="BF224" s="89">
        <f>IF($U$224="snížená",$N$224,0)</f>
        <v>0</v>
      </c>
      <c r="BG224" s="89">
        <f>IF($U$224="zákl. přenesená",$N$224,0)</f>
        <v>0</v>
      </c>
      <c r="BH224" s="89">
        <f>IF($U$224="sníž. přenesená",$N$224,0)</f>
        <v>0</v>
      </c>
      <c r="BI224" s="89">
        <f>IF($U$224="nulová",$N$224,0)</f>
        <v>0</v>
      </c>
      <c r="BJ224" s="3" t="s">
        <v>93</v>
      </c>
      <c r="BK224" s="89">
        <f>ROUND($L$224*$K$224,2)</f>
        <v>0</v>
      </c>
      <c r="BL224" s="3" t="s">
        <v>112</v>
      </c>
      <c r="BM224" s="3" t="s">
        <v>130</v>
      </c>
    </row>
    <row r="225" spans="2:65" s="3" customFormat="1" ht="15.75" customHeight="1">
      <c r="B225" s="16"/>
      <c r="C225" s="133">
        <v>20</v>
      </c>
      <c r="D225" s="110" t="s">
        <v>111</v>
      </c>
      <c r="E225" s="130" t="s">
        <v>180</v>
      </c>
      <c r="F225" s="196" t="s">
        <v>181</v>
      </c>
      <c r="G225" s="197"/>
      <c r="H225" s="197"/>
      <c r="I225" s="197"/>
      <c r="J225" s="112" t="s">
        <v>115</v>
      </c>
      <c r="K225" s="113">
        <f>K179</f>
        <v>1060.9782</v>
      </c>
      <c r="L225" s="203"/>
      <c r="M225" s="197"/>
      <c r="N225" s="203">
        <f>K225*L225</f>
        <v>0</v>
      </c>
      <c r="O225" s="197"/>
      <c r="P225" s="197"/>
      <c r="Q225" s="197"/>
      <c r="R225" s="17"/>
      <c r="T225" s="114"/>
      <c r="U225" s="23" t="s">
        <v>33</v>
      </c>
      <c r="V225" s="115">
        <v>0.074</v>
      </c>
      <c r="W225" s="115">
        <f>$V$224*$K$224</f>
        <v>157.0247736</v>
      </c>
      <c r="X225" s="115">
        <v>0.00047</v>
      </c>
      <c r="Y225" s="115">
        <f>$X$224*$K$224</f>
        <v>0.997319508</v>
      </c>
      <c r="Z225" s="115">
        <v>0</v>
      </c>
      <c r="AA225" s="116">
        <f>$Z$224*$K$224</f>
        <v>0</v>
      </c>
      <c r="AD225" s="3">
        <v>0.005</v>
      </c>
      <c r="AE225" s="3">
        <f>K225*AD225</f>
        <v>5.3048910000000005</v>
      </c>
      <c r="AR225" s="3" t="s">
        <v>112</v>
      </c>
      <c r="AT225" s="3" t="s">
        <v>111</v>
      </c>
      <c r="AU225" s="3" t="s">
        <v>93</v>
      </c>
      <c r="AY225" s="3" t="s">
        <v>110</v>
      </c>
      <c r="BE225" s="89">
        <f>IF($U$224="základní",$N$224,0)</f>
        <v>0</v>
      </c>
      <c r="BF225" s="89">
        <f>IF($U$224="snížená",$N$224,0)</f>
        <v>0</v>
      </c>
      <c r="BG225" s="89">
        <f>IF($U$224="zákl. přenesená",$N$224,0)</f>
        <v>0</v>
      </c>
      <c r="BH225" s="89">
        <f>IF($U$224="sníž. přenesená",$N$224,0)</f>
        <v>0</v>
      </c>
      <c r="BI225" s="89">
        <f>IF($U$224="nulová",$N$224,0)</f>
        <v>0</v>
      </c>
      <c r="BJ225" s="3" t="s">
        <v>93</v>
      </c>
      <c r="BK225" s="89">
        <f>ROUND($L$224*$K$224,2)</f>
        <v>0</v>
      </c>
      <c r="BL225" s="3" t="s">
        <v>112</v>
      </c>
      <c r="BM225" s="3" t="s">
        <v>130</v>
      </c>
    </row>
    <row r="226" spans="2:65" s="3" customFormat="1" ht="27" customHeight="1">
      <c r="B226" s="16"/>
      <c r="C226" s="133">
        <v>21</v>
      </c>
      <c r="D226" s="110" t="s">
        <v>111</v>
      </c>
      <c r="E226" s="145" t="s">
        <v>326</v>
      </c>
      <c r="F226" s="232" t="s">
        <v>327</v>
      </c>
      <c r="G226" s="233"/>
      <c r="H226" s="233"/>
      <c r="I226" s="234"/>
      <c r="J226" s="112" t="s">
        <v>115</v>
      </c>
      <c r="K226" s="113">
        <f>K216</f>
        <v>79.9</v>
      </c>
      <c r="L226" s="235"/>
      <c r="M226" s="236"/>
      <c r="N226" s="237">
        <f>K226*L226</f>
        <v>0</v>
      </c>
      <c r="O226" s="238"/>
      <c r="P226" s="238"/>
      <c r="Q226" s="239"/>
      <c r="R226" s="17"/>
      <c r="T226" s="114"/>
      <c r="U226" s="23" t="s">
        <v>33</v>
      </c>
      <c r="V226" s="115">
        <v>3.741</v>
      </c>
      <c r="W226" s="115">
        <f>$V$228*$K$228</f>
        <v>2939.8581162000005</v>
      </c>
      <c r="X226" s="115">
        <v>0.05152</v>
      </c>
      <c r="Y226" s="115">
        <f>$X$228*$K$228</f>
        <v>40.48689926400001</v>
      </c>
      <c r="Z226" s="115">
        <v>0</v>
      </c>
      <c r="AA226" s="116">
        <f>$Z$228*$K$228</f>
        <v>0</v>
      </c>
      <c r="AD226" s="129">
        <v>0.02982</v>
      </c>
      <c r="AE226" s="3">
        <f>K226*AD226</f>
        <v>2.382618</v>
      </c>
      <c r="AR226" s="3" t="s">
        <v>112</v>
      </c>
      <c r="AT226" s="3" t="s">
        <v>111</v>
      </c>
      <c r="AU226" s="3" t="s">
        <v>93</v>
      </c>
      <c r="AY226" s="3" t="s">
        <v>110</v>
      </c>
      <c r="BE226" s="89">
        <f>IF($U$228="základní",$N$228,0)</f>
        <v>0</v>
      </c>
      <c r="BF226" s="89">
        <f>IF($U$228="snížená",$N$228,0)</f>
        <v>0</v>
      </c>
      <c r="BG226" s="89">
        <f>IF($U$228="zákl. přenesená",$N$228,0)</f>
        <v>0</v>
      </c>
      <c r="BH226" s="89">
        <f>IF($U$228="sníž. přenesená",$N$228,0)</f>
        <v>0</v>
      </c>
      <c r="BI226" s="89">
        <f>IF($U$228="nulová",$N$228,0)</f>
        <v>0</v>
      </c>
      <c r="BJ226" s="3" t="s">
        <v>93</v>
      </c>
      <c r="BK226" s="89">
        <f>ROUND($L$228*$K$228,2)</f>
        <v>0</v>
      </c>
      <c r="BL226" s="3" t="s">
        <v>112</v>
      </c>
      <c r="BM226" s="3" t="s">
        <v>131</v>
      </c>
    </row>
    <row r="227" spans="2:51" s="3" customFormat="1" ht="18.75" customHeight="1">
      <c r="B227" s="117"/>
      <c r="C227" s="135"/>
      <c r="E227" s="118"/>
      <c r="F227" s="240" t="str">
        <f>F216</f>
        <v>spojovací "krček"</v>
      </c>
      <c r="G227" s="240"/>
      <c r="H227" s="240"/>
      <c r="I227" s="240"/>
      <c r="K227" s="139"/>
      <c r="R227" s="119"/>
      <c r="T227" s="120"/>
      <c r="AA227" s="121"/>
      <c r="AT227" s="118" t="s">
        <v>113</v>
      </c>
      <c r="AU227" s="118" t="s">
        <v>93</v>
      </c>
      <c r="AV227" s="118" t="s">
        <v>12</v>
      </c>
      <c r="AW227" s="118" t="s">
        <v>84</v>
      </c>
      <c r="AX227" s="118" t="s">
        <v>66</v>
      </c>
      <c r="AY227" s="118" t="s">
        <v>110</v>
      </c>
    </row>
    <row r="228" spans="2:65" s="3" customFormat="1" ht="27" customHeight="1">
      <c r="B228" s="16"/>
      <c r="C228" s="133">
        <v>22</v>
      </c>
      <c r="D228" s="110" t="s">
        <v>111</v>
      </c>
      <c r="E228" s="130" t="s">
        <v>254</v>
      </c>
      <c r="F228" s="201" t="s">
        <v>255</v>
      </c>
      <c r="G228" s="202"/>
      <c r="H228" s="202"/>
      <c r="I228" s="202"/>
      <c r="J228" s="112" t="s">
        <v>115</v>
      </c>
      <c r="K228" s="113">
        <f>SUM(K229:K230)</f>
        <v>785.8482000000001</v>
      </c>
      <c r="L228" s="203"/>
      <c r="M228" s="197"/>
      <c r="N228" s="203">
        <f>L228*K228</f>
        <v>0</v>
      </c>
      <c r="O228" s="197"/>
      <c r="P228" s="197"/>
      <c r="Q228" s="197"/>
      <c r="R228" s="17"/>
      <c r="T228" s="114"/>
      <c r="U228" s="23" t="s">
        <v>33</v>
      </c>
      <c r="V228" s="115">
        <v>3.741</v>
      </c>
      <c r="W228" s="115">
        <f>$V$228*$K$228</f>
        <v>2939.8581162000005</v>
      </c>
      <c r="X228" s="115">
        <v>0.05152</v>
      </c>
      <c r="Y228" s="115">
        <f>$X$228*$K$228</f>
        <v>40.48689926400001</v>
      </c>
      <c r="Z228" s="115">
        <v>0</v>
      </c>
      <c r="AA228" s="116">
        <f>$Z$228*$K$228</f>
        <v>0</v>
      </c>
      <c r="AD228" s="129">
        <v>0.016</v>
      </c>
      <c r="AE228" s="3">
        <f>K228*AD228</f>
        <v>12.573571200000002</v>
      </c>
      <c r="AR228" s="3" t="s">
        <v>112</v>
      </c>
      <c r="AT228" s="3" t="s">
        <v>111</v>
      </c>
      <c r="AU228" s="3" t="s">
        <v>93</v>
      </c>
      <c r="AY228" s="3" t="s">
        <v>110</v>
      </c>
      <c r="BE228" s="89">
        <f>IF($U$228="základní",$N$228,0)</f>
        <v>0</v>
      </c>
      <c r="BF228" s="89">
        <f>IF($U$228="snížená",$N$228,0)</f>
        <v>0</v>
      </c>
      <c r="BG228" s="89">
        <f>IF($U$228="zákl. přenesená",$N$228,0)</f>
        <v>0</v>
      </c>
      <c r="BH228" s="89">
        <f>IF($U$228="sníž. přenesená",$N$228,0)</f>
        <v>0</v>
      </c>
      <c r="BI228" s="89">
        <f>IF($U$228="nulová",$N$228,0)</f>
        <v>0</v>
      </c>
      <c r="BJ228" s="3" t="s">
        <v>93</v>
      </c>
      <c r="BK228" s="89">
        <f>ROUND($L$228*$K$228,2)</f>
        <v>0</v>
      </c>
      <c r="BL228" s="3" t="s">
        <v>112</v>
      </c>
      <c r="BM228" s="3" t="s">
        <v>131</v>
      </c>
    </row>
    <row r="229" spans="2:51" s="3" customFormat="1" ht="15" customHeight="1">
      <c r="B229" s="122"/>
      <c r="C229" s="135"/>
      <c r="E229" s="123"/>
      <c r="F229" s="190" t="s">
        <v>256</v>
      </c>
      <c r="G229" s="191"/>
      <c r="H229" s="191"/>
      <c r="I229" s="191"/>
      <c r="K229" s="124">
        <f>K180-K182</f>
        <v>311.0565</v>
      </c>
      <c r="R229" s="125"/>
      <c r="T229" s="126"/>
      <c r="AA229" s="127"/>
      <c r="AT229" s="123" t="s">
        <v>113</v>
      </c>
      <c r="AU229" s="123" t="s">
        <v>93</v>
      </c>
      <c r="AV229" s="123" t="s">
        <v>93</v>
      </c>
      <c r="AW229" s="123" t="s">
        <v>84</v>
      </c>
      <c r="AX229" s="123" t="s">
        <v>66</v>
      </c>
      <c r="AY229" s="123" t="s">
        <v>110</v>
      </c>
    </row>
    <row r="230" spans="2:51" s="3" customFormat="1" ht="15" customHeight="1">
      <c r="B230" s="122"/>
      <c r="C230" s="135"/>
      <c r="E230" s="123"/>
      <c r="F230" s="190" t="s">
        <v>257</v>
      </c>
      <c r="G230" s="191"/>
      <c r="H230" s="191"/>
      <c r="I230" s="191"/>
      <c r="K230" s="124">
        <f>K197</f>
        <v>474.7917000000001</v>
      </c>
      <c r="R230" s="125"/>
      <c r="T230" s="126"/>
      <c r="AA230" s="127"/>
      <c r="AT230" s="123" t="s">
        <v>113</v>
      </c>
      <c r="AU230" s="123" t="s">
        <v>93</v>
      </c>
      <c r="AV230" s="123" t="s">
        <v>93</v>
      </c>
      <c r="AW230" s="123" t="s">
        <v>84</v>
      </c>
      <c r="AX230" s="123" t="s">
        <v>66</v>
      </c>
      <c r="AY230" s="123" t="s">
        <v>110</v>
      </c>
    </row>
    <row r="231" spans="2:65" s="3" customFormat="1" ht="15" customHeight="1">
      <c r="B231" s="16"/>
      <c r="C231" s="133">
        <v>23</v>
      </c>
      <c r="D231" s="110" t="s">
        <v>111</v>
      </c>
      <c r="E231" s="145" t="s">
        <v>355</v>
      </c>
      <c r="F231" s="201" t="s">
        <v>356</v>
      </c>
      <c r="G231" s="202"/>
      <c r="H231" s="202"/>
      <c r="I231" s="202"/>
      <c r="J231" s="112" t="s">
        <v>115</v>
      </c>
      <c r="K231" s="113">
        <f>K233</f>
        <v>58.542500000000004</v>
      </c>
      <c r="L231" s="203"/>
      <c r="M231" s="197"/>
      <c r="N231" s="203">
        <f>K231*L231</f>
        <v>0</v>
      </c>
      <c r="O231" s="197"/>
      <c r="P231" s="197"/>
      <c r="Q231" s="197"/>
      <c r="R231" s="17"/>
      <c r="T231" s="114"/>
      <c r="U231" s="23" t="s">
        <v>33</v>
      </c>
      <c r="V231" s="115">
        <v>3.741</v>
      </c>
      <c r="W231" s="115">
        <f>$V$228*$K$228</f>
        <v>2939.8581162000005</v>
      </c>
      <c r="X231" s="115">
        <v>0.05152</v>
      </c>
      <c r="Y231" s="115">
        <f>$X$228*$K$228</f>
        <v>40.48689926400001</v>
      </c>
      <c r="Z231" s="115">
        <v>0</v>
      </c>
      <c r="AA231" s="116">
        <f>$Z$228*$K$228</f>
        <v>0</v>
      </c>
      <c r="AD231" s="129">
        <v>0.014</v>
      </c>
      <c r="AE231" s="3">
        <f>K231*AD231</f>
        <v>0.8195950000000001</v>
      </c>
      <c r="AR231" s="3" t="s">
        <v>112</v>
      </c>
      <c r="AT231" s="3" t="s">
        <v>111</v>
      </c>
      <c r="AU231" s="3" t="s">
        <v>93</v>
      </c>
      <c r="AY231" s="3" t="s">
        <v>110</v>
      </c>
      <c r="BE231" s="89">
        <f>IF($U$228="základní",$N$228,0)</f>
        <v>0</v>
      </c>
      <c r="BF231" s="89">
        <f>IF($U$228="snížená",$N$228,0)</f>
        <v>0</v>
      </c>
      <c r="BG231" s="89">
        <f>IF($U$228="zákl. přenesená",$N$228,0)</f>
        <v>0</v>
      </c>
      <c r="BH231" s="89">
        <f>IF($U$228="sníž. přenesená",$N$228,0)</f>
        <v>0</v>
      </c>
      <c r="BI231" s="89">
        <f>IF($U$228="nulová",$N$228,0)</f>
        <v>0</v>
      </c>
      <c r="BJ231" s="3" t="s">
        <v>93</v>
      </c>
      <c r="BK231" s="89">
        <f>ROUND($L$228*$K$228,2)</f>
        <v>0</v>
      </c>
      <c r="BL231" s="3" t="s">
        <v>112</v>
      </c>
      <c r="BM231" s="3" t="s">
        <v>131</v>
      </c>
    </row>
    <row r="232" spans="2:51" s="3" customFormat="1" ht="18.75" customHeight="1">
      <c r="B232" s="117"/>
      <c r="C232" s="135"/>
      <c r="E232" s="118"/>
      <c r="F232" s="194" t="s">
        <v>258</v>
      </c>
      <c r="G232" s="195"/>
      <c r="H232" s="195"/>
      <c r="I232" s="195"/>
      <c r="K232" s="139"/>
      <c r="R232" s="119"/>
      <c r="T232" s="120"/>
      <c r="AA232" s="121"/>
      <c r="AT232" s="118" t="s">
        <v>113</v>
      </c>
      <c r="AU232" s="118" t="s">
        <v>93</v>
      </c>
      <c r="AV232" s="118" t="s">
        <v>12</v>
      </c>
      <c r="AW232" s="118" t="s">
        <v>84</v>
      </c>
      <c r="AX232" s="118" t="s">
        <v>66</v>
      </c>
      <c r="AY232" s="118" t="s">
        <v>110</v>
      </c>
    </row>
    <row r="233" spans="2:51" s="3" customFormat="1" ht="15" customHeight="1">
      <c r="B233" s="122"/>
      <c r="C233" s="135"/>
      <c r="E233" s="123"/>
      <c r="F233" s="190" t="s">
        <v>354</v>
      </c>
      <c r="G233" s="191"/>
      <c r="H233" s="191"/>
      <c r="I233" s="191"/>
      <c r="K233" s="124">
        <f>23.417*2.5</f>
        <v>58.542500000000004</v>
      </c>
      <c r="R233" s="125"/>
      <c r="T233" s="126"/>
      <c r="AA233" s="127"/>
      <c r="AT233" s="123" t="s">
        <v>113</v>
      </c>
      <c r="AU233" s="123" t="s">
        <v>93</v>
      </c>
      <c r="AV233" s="123" t="s">
        <v>93</v>
      </c>
      <c r="AW233" s="123" t="s">
        <v>84</v>
      </c>
      <c r="AX233" s="123" t="s">
        <v>66</v>
      </c>
      <c r="AY233" s="123" t="s">
        <v>110</v>
      </c>
    </row>
    <row r="234" spans="2:65" s="3" customFormat="1" ht="27" customHeight="1">
      <c r="B234" s="16"/>
      <c r="C234" s="133">
        <v>24</v>
      </c>
      <c r="D234" s="110" t="s">
        <v>111</v>
      </c>
      <c r="E234" s="145" t="s">
        <v>359</v>
      </c>
      <c r="F234" s="201" t="s">
        <v>360</v>
      </c>
      <c r="G234" s="202"/>
      <c r="H234" s="202"/>
      <c r="I234" s="202"/>
      <c r="J234" s="112" t="s">
        <v>115</v>
      </c>
      <c r="K234" s="113">
        <f>K236</f>
        <v>58.542500000000004</v>
      </c>
      <c r="L234" s="203"/>
      <c r="M234" s="197"/>
      <c r="N234" s="203">
        <f>K234*L234</f>
        <v>0</v>
      </c>
      <c r="O234" s="197"/>
      <c r="P234" s="197"/>
      <c r="Q234" s="197"/>
      <c r="R234" s="17"/>
      <c r="T234" s="114"/>
      <c r="U234" s="23" t="s">
        <v>33</v>
      </c>
      <c r="V234" s="115">
        <v>3.741</v>
      </c>
      <c r="W234" s="115">
        <f>$V$228*$K$228</f>
        <v>2939.8581162000005</v>
      </c>
      <c r="X234" s="115">
        <v>0.05152</v>
      </c>
      <c r="Y234" s="115">
        <f>$X$228*$K$228</f>
        <v>40.48689926400001</v>
      </c>
      <c r="Z234" s="115">
        <v>0</v>
      </c>
      <c r="AA234" s="116">
        <f>$Z$228*$K$228</f>
        <v>0</v>
      </c>
      <c r="AD234" s="129">
        <v>0.014</v>
      </c>
      <c r="AE234" s="3">
        <f>K234*AD234</f>
        <v>0.8195950000000001</v>
      </c>
      <c r="AR234" s="3" t="s">
        <v>112</v>
      </c>
      <c r="AT234" s="3" t="s">
        <v>111</v>
      </c>
      <c r="AU234" s="3" t="s">
        <v>93</v>
      </c>
      <c r="AY234" s="3" t="s">
        <v>110</v>
      </c>
      <c r="BE234" s="89">
        <f>IF($U$228="základní",$N$228,0)</f>
        <v>0</v>
      </c>
      <c r="BF234" s="89">
        <f>IF($U$228="snížená",$N$228,0)</f>
        <v>0</v>
      </c>
      <c r="BG234" s="89">
        <f>IF($U$228="zákl. přenesená",$N$228,0)</f>
        <v>0</v>
      </c>
      <c r="BH234" s="89">
        <f>IF($U$228="sníž. přenesená",$N$228,0)</f>
        <v>0</v>
      </c>
      <c r="BI234" s="89">
        <f>IF($U$228="nulová",$N$228,0)</f>
        <v>0</v>
      </c>
      <c r="BJ234" s="3" t="s">
        <v>93</v>
      </c>
      <c r="BK234" s="89">
        <f>ROUND($L$228*$K$228,2)</f>
        <v>0</v>
      </c>
      <c r="BL234" s="3" t="s">
        <v>112</v>
      </c>
      <c r="BM234" s="3" t="s">
        <v>131</v>
      </c>
    </row>
    <row r="235" spans="2:51" s="3" customFormat="1" ht="18.75" customHeight="1">
      <c r="B235" s="117"/>
      <c r="C235" s="135"/>
      <c r="E235" s="118"/>
      <c r="F235" s="194" t="s">
        <v>258</v>
      </c>
      <c r="G235" s="195"/>
      <c r="H235" s="195"/>
      <c r="I235" s="195"/>
      <c r="K235" s="139"/>
      <c r="R235" s="119"/>
      <c r="T235" s="120"/>
      <c r="AA235" s="121"/>
      <c r="AT235" s="118" t="s">
        <v>113</v>
      </c>
      <c r="AU235" s="118" t="s">
        <v>93</v>
      </c>
      <c r="AV235" s="118" t="s">
        <v>12</v>
      </c>
      <c r="AW235" s="118" t="s">
        <v>84</v>
      </c>
      <c r="AX235" s="118" t="s">
        <v>66</v>
      </c>
      <c r="AY235" s="118" t="s">
        <v>110</v>
      </c>
    </row>
    <row r="236" spans="2:51" s="3" customFormat="1" ht="15" customHeight="1">
      <c r="B236" s="122"/>
      <c r="C236" s="135"/>
      <c r="E236" s="123"/>
      <c r="F236" s="190" t="s">
        <v>354</v>
      </c>
      <c r="G236" s="191"/>
      <c r="H236" s="191"/>
      <c r="I236" s="191"/>
      <c r="K236" s="124">
        <f>23.417*2.5</f>
        <v>58.542500000000004</v>
      </c>
      <c r="R236" s="125"/>
      <c r="T236" s="126"/>
      <c r="AA236" s="127"/>
      <c r="AT236" s="123" t="s">
        <v>113</v>
      </c>
      <c r="AU236" s="123" t="s">
        <v>93</v>
      </c>
      <c r="AV236" s="123" t="s">
        <v>93</v>
      </c>
      <c r="AW236" s="123" t="s">
        <v>84</v>
      </c>
      <c r="AX236" s="123" t="s">
        <v>66</v>
      </c>
      <c r="AY236" s="123" t="s">
        <v>110</v>
      </c>
    </row>
    <row r="237" spans="2:65" s="3" customFormat="1" ht="27" customHeight="1">
      <c r="B237" s="16"/>
      <c r="C237" s="133">
        <v>25</v>
      </c>
      <c r="D237" s="110" t="s">
        <v>111</v>
      </c>
      <c r="E237" s="145" t="s">
        <v>357</v>
      </c>
      <c r="F237" s="201" t="s">
        <v>358</v>
      </c>
      <c r="G237" s="202"/>
      <c r="H237" s="202"/>
      <c r="I237" s="202"/>
      <c r="J237" s="112" t="s">
        <v>115</v>
      </c>
      <c r="K237" s="113">
        <f>K239</f>
        <v>35.1255</v>
      </c>
      <c r="L237" s="203"/>
      <c r="M237" s="197"/>
      <c r="N237" s="203">
        <f>K237*L237</f>
        <v>0</v>
      </c>
      <c r="O237" s="197"/>
      <c r="P237" s="197"/>
      <c r="Q237" s="197"/>
      <c r="R237" s="17"/>
      <c r="T237" s="114"/>
      <c r="U237" s="23" t="s">
        <v>33</v>
      </c>
      <c r="V237" s="115">
        <v>3.741</v>
      </c>
      <c r="W237" s="115">
        <f>$V$228*$K$228</f>
        <v>2939.8581162000005</v>
      </c>
      <c r="X237" s="115">
        <v>0.05152</v>
      </c>
      <c r="Y237" s="115">
        <f>$X$228*$K$228</f>
        <v>40.48689926400001</v>
      </c>
      <c r="Z237" s="115">
        <v>0</v>
      </c>
      <c r="AA237" s="116">
        <f>$Z$228*$K$228</f>
        <v>0</v>
      </c>
      <c r="AD237" s="129">
        <v>0.014</v>
      </c>
      <c r="AE237" s="3">
        <f>K237*AD237</f>
        <v>0.49175700000000006</v>
      </c>
      <c r="AR237" s="3" t="s">
        <v>112</v>
      </c>
      <c r="AT237" s="3" t="s">
        <v>111</v>
      </c>
      <c r="AU237" s="3" t="s">
        <v>93</v>
      </c>
      <c r="AY237" s="3" t="s">
        <v>110</v>
      </c>
      <c r="BE237" s="89">
        <f>IF($U$228="základní",$N$228,0)</f>
        <v>0</v>
      </c>
      <c r="BF237" s="89">
        <f>IF($U$228="snížená",$N$228,0)</f>
        <v>0</v>
      </c>
      <c r="BG237" s="89">
        <f>IF($U$228="zákl. přenesená",$N$228,0)</f>
        <v>0</v>
      </c>
      <c r="BH237" s="89">
        <f>IF($U$228="sníž. přenesená",$N$228,0)</f>
        <v>0</v>
      </c>
      <c r="BI237" s="89">
        <f>IF($U$228="nulová",$N$228,0)</f>
        <v>0</v>
      </c>
      <c r="BJ237" s="3" t="s">
        <v>93</v>
      </c>
      <c r="BK237" s="89">
        <f>ROUND($L$228*$K$228,2)</f>
        <v>0</v>
      </c>
      <c r="BL237" s="3" t="s">
        <v>112</v>
      </c>
      <c r="BM237" s="3" t="s">
        <v>131</v>
      </c>
    </row>
    <row r="238" spans="2:51" s="3" customFormat="1" ht="18.75" customHeight="1">
      <c r="B238" s="117"/>
      <c r="C238" s="135"/>
      <c r="E238" s="118"/>
      <c r="F238" s="194" t="s">
        <v>258</v>
      </c>
      <c r="G238" s="195"/>
      <c r="H238" s="195"/>
      <c r="I238" s="195"/>
      <c r="K238" s="139"/>
      <c r="R238" s="119"/>
      <c r="T238" s="120"/>
      <c r="AA238" s="121"/>
      <c r="AT238" s="118" t="s">
        <v>113</v>
      </c>
      <c r="AU238" s="118" t="s">
        <v>93</v>
      </c>
      <c r="AV238" s="118" t="s">
        <v>12</v>
      </c>
      <c r="AW238" s="118" t="s">
        <v>84</v>
      </c>
      <c r="AX238" s="118" t="s">
        <v>66</v>
      </c>
      <c r="AY238" s="118" t="s">
        <v>110</v>
      </c>
    </row>
    <row r="239" spans="2:51" s="3" customFormat="1" ht="15" customHeight="1">
      <c r="B239" s="122"/>
      <c r="C239" s="135"/>
      <c r="E239" s="123"/>
      <c r="F239" s="190" t="s">
        <v>294</v>
      </c>
      <c r="G239" s="191"/>
      <c r="H239" s="191"/>
      <c r="I239" s="191"/>
      <c r="K239" s="124">
        <f>23.417*1.5</f>
        <v>35.1255</v>
      </c>
      <c r="R239" s="125"/>
      <c r="T239" s="126"/>
      <c r="AA239" s="127"/>
      <c r="AT239" s="123" t="s">
        <v>113</v>
      </c>
      <c r="AU239" s="123" t="s">
        <v>93</v>
      </c>
      <c r="AV239" s="123" t="s">
        <v>93</v>
      </c>
      <c r="AW239" s="123" t="s">
        <v>84</v>
      </c>
      <c r="AX239" s="123" t="s">
        <v>66</v>
      </c>
      <c r="AY239" s="123" t="s">
        <v>110</v>
      </c>
    </row>
    <row r="240" spans="2:65" s="3" customFormat="1" ht="15" customHeight="1">
      <c r="B240" s="16"/>
      <c r="C240" s="133">
        <v>26</v>
      </c>
      <c r="D240" s="110" t="s">
        <v>111</v>
      </c>
      <c r="E240" s="130" t="s">
        <v>225</v>
      </c>
      <c r="F240" s="196" t="s">
        <v>224</v>
      </c>
      <c r="G240" s="197"/>
      <c r="H240" s="197"/>
      <c r="I240" s="197"/>
      <c r="J240" s="134" t="s">
        <v>115</v>
      </c>
      <c r="K240" s="113">
        <f>K242</f>
        <v>23.994000000000003</v>
      </c>
      <c r="L240" s="204"/>
      <c r="M240" s="197"/>
      <c r="N240" s="203">
        <f>K240*L240</f>
        <v>0</v>
      </c>
      <c r="O240" s="197"/>
      <c r="P240" s="197"/>
      <c r="Q240" s="197"/>
      <c r="R240" s="17"/>
      <c r="T240" s="114"/>
      <c r="U240" s="23" t="s">
        <v>33</v>
      </c>
      <c r="V240" s="115">
        <v>0.313</v>
      </c>
      <c r="W240" s="115">
        <f>'[1]Oprava fasády - položky'!$V$256*'[1]Oprava fasády - položky'!$K$256</f>
        <v>9.39</v>
      </c>
      <c r="X240" s="115">
        <v>0.00064</v>
      </c>
      <c r="Y240" s="115">
        <f>'[1]Oprava fasády - položky'!$X$256*'[1]Oprava fasády - položky'!$K$256</f>
        <v>0.019200000000000002</v>
      </c>
      <c r="Z240" s="115">
        <v>0</v>
      </c>
      <c r="AA240" s="116">
        <f>'[1]Oprava fasády - položky'!$Z$256*'[1]Oprava fasády - položky'!$K$256</f>
        <v>0</v>
      </c>
      <c r="AD240" s="3">
        <v>0.00066</v>
      </c>
      <c r="AE240" s="3">
        <f>K240*AD240</f>
        <v>0.015836040000000003</v>
      </c>
      <c r="AR240" s="3" t="s">
        <v>117</v>
      </c>
      <c r="AT240" s="3" t="s">
        <v>111</v>
      </c>
      <c r="AU240" s="3" t="s">
        <v>93</v>
      </c>
      <c r="AY240" s="3" t="s">
        <v>110</v>
      </c>
      <c r="BE240" s="89">
        <f>IF('[1]Oprava fasády - položky'!$U$256="základní",'[1]Oprava fasády - položky'!$N$256,0)</f>
        <v>0</v>
      </c>
      <c r="BF240" s="89">
        <f>IF('[1]Oprava fasády - položky'!$U$256="snížená",'[1]Oprava fasády - položky'!$N$256,0)</f>
        <v>9472.5</v>
      </c>
      <c r="BG240" s="89">
        <f>IF('[1]Oprava fasády - položky'!$U$256="zákl. přenesená",'[1]Oprava fasády - položky'!$N$256,0)</f>
        <v>0</v>
      </c>
      <c r="BH240" s="89">
        <f>IF('[1]Oprava fasády - položky'!$U$256="sníž. přenesená",'[1]Oprava fasády - položky'!$N$256,0)</f>
        <v>0</v>
      </c>
      <c r="BI240" s="89">
        <f>IF('[1]Oprava fasády - položky'!$U$256="nulová",'[1]Oprava fasády - položky'!$N$256,0)</f>
        <v>0</v>
      </c>
      <c r="BJ240" s="3" t="s">
        <v>93</v>
      </c>
      <c r="BK240" s="89">
        <f>ROUND('[1]Oprava fasády - položky'!$L$256*'[1]Oprava fasády - položky'!$K$256,2)</f>
        <v>9472.5</v>
      </c>
      <c r="BL240" s="3" t="s">
        <v>117</v>
      </c>
      <c r="BM240" s="3" t="s">
        <v>160</v>
      </c>
    </row>
    <row r="241" spans="2:51" s="3" customFormat="1" ht="18.75" customHeight="1">
      <c r="B241" s="117"/>
      <c r="C241" s="135"/>
      <c r="D241" s="135"/>
      <c r="E241" s="141"/>
      <c r="F241" s="198" t="s">
        <v>320</v>
      </c>
      <c r="G241" s="199"/>
      <c r="H241" s="199"/>
      <c r="I241" s="199"/>
      <c r="J241" s="135"/>
      <c r="K241" s="142"/>
      <c r="L241" s="135"/>
      <c r="M241" s="135"/>
      <c r="N241" s="135"/>
      <c r="O241" s="135"/>
      <c r="P241" s="135"/>
      <c r="Q241" s="135"/>
      <c r="R241" s="119"/>
      <c r="T241" s="120"/>
      <c r="AA241" s="121"/>
      <c r="AT241" s="118" t="s">
        <v>113</v>
      </c>
      <c r="AU241" s="118" t="s">
        <v>93</v>
      </c>
      <c r="AV241" s="118" t="s">
        <v>12</v>
      </c>
      <c r="AW241" s="118" t="s">
        <v>84</v>
      </c>
      <c r="AX241" s="118" t="s">
        <v>66</v>
      </c>
      <c r="AY241" s="118" t="s">
        <v>110</v>
      </c>
    </row>
    <row r="242" spans="2:51" s="3" customFormat="1" ht="30" customHeight="1">
      <c r="B242" s="117"/>
      <c r="C242" s="135"/>
      <c r="E242" s="118"/>
      <c r="F242" s="210" t="s">
        <v>295</v>
      </c>
      <c r="G242" s="211"/>
      <c r="H242" s="211"/>
      <c r="I242" s="211"/>
      <c r="J242" s="140"/>
      <c r="K242" s="139">
        <f>(1.56+6.67+2.65*2+3.065+1.83)*1.2+(0.52*2+1.05*2)*0.6</f>
        <v>23.994000000000003</v>
      </c>
      <c r="R242" s="119"/>
      <c r="T242" s="120"/>
      <c r="AA242" s="121"/>
      <c r="AT242" s="118" t="s">
        <v>113</v>
      </c>
      <c r="AU242" s="118" t="s">
        <v>93</v>
      </c>
      <c r="AV242" s="118" t="s">
        <v>12</v>
      </c>
      <c r="AW242" s="118" t="s">
        <v>84</v>
      </c>
      <c r="AX242" s="118" t="s">
        <v>66</v>
      </c>
      <c r="AY242" s="118" t="s">
        <v>110</v>
      </c>
    </row>
    <row r="243" spans="2:65" s="3" customFormat="1" ht="30" customHeight="1">
      <c r="B243" s="16"/>
      <c r="C243" s="133">
        <v>27</v>
      </c>
      <c r="D243" s="110" t="s">
        <v>111</v>
      </c>
      <c r="E243" s="130" t="s">
        <v>226</v>
      </c>
      <c r="F243" s="196" t="s">
        <v>227</v>
      </c>
      <c r="G243" s="197"/>
      <c r="H243" s="197"/>
      <c r="I243" s="197"/>
      <c r="J243" s="134" t="s">
        <v>115</v>
      </c>
      <c r="K243" s="113">
        <f>K245</f>
        <v>4.798800000000001</v>
      </c>
      <c r="L243" s="204"/>
      <c r="M243" s="197"/>
      <c r="N243" s="203">
        <f>K243*L243</f>
        <v>0</v>
      </c>
      <c r="O243" s="197"/>
      <c r="P243" s="197"/>
      <c r="Q243" s="197"/>
      <c r="R243" s="17"/>
      <c r="T243" s="114"/>
      <c r="U243" s="23" t="s">
        <v>33</v>
      </c>
      <c r="V243" s="115">
        <v>0.313</v>
      </c>
      <c r="W243" s="115">
        <f>'[1]Oprava fasády - položky'!$V$256*'[1]Oprava fasády - položky'!$K$256</f>
        <v>9.39</v>
      </c>
      <c r="X243" s="115">
        <v>0.00064</v>
      </c>
      <c r="Y243" s="115">
        <f>'[1]Oprava fasády - položky'!$X$256*'[1]Oprava fasády - položky'!$K$256</f>
        <v>0.019200000000000002</v>
      </c>
      <c r="Z243" s="115">
        <v>0</v>
      </c>
      <c r="AA243" s="116">
        <f>'[1]Oprava fasády - položky'!$Z$256*'[1]Oprava fasády - položky'!$K$256</f>
        <v>0</v>
      </c>
      <c r="AD243" s="3">
        <v>0.00066</v>
      </c>
      <c r="AE243" s="3">
        <f>K243*AD243</f>
        <v>0.0031672080000000003</v>
      </c>
      <c r="AR243" s="3" t="s">
        <v>117</v>
      </c>
      <c r="AT243" s="3" t="s">
        <v>111</v>
      </c>
      <c r="AU243" s="3" t="s">
        <v>93</v>
      </c>
      <c r="AY243" s="3" t="s">
        <v>110</v>
      </c>
      <c r="BE243" s="89">
        <f>IF('[1]Oprava fasády - položky'!$U$256="základní",'[1]Oprava fasády - položky'!$N$256,0)</f>
        <v>0</v>
      </c>
      <c r="BF243" s="89">
        <f>IF('[1]Oprava fasády - položky'!$U$256="snížená",'[1]Oprava fasády - položky'!$N$256,0)</f>
        <v>9472.5</v>
      </c>
      <c r="BG243" s="89">
        <f>IF('[1]Oprava fasády - položky'!$U$256="zákl. přenesená",'[1]Oprava fasády - položky'!$N$256,0)</f>
        <v>0</v>
      </c>
      <c r="BH243" s="89">
        <f>IF('[1]Oprava fasády - položky'!$U$256="sníž. přenesená",'[1]Oprava fasády - položky'!$N$256,0)</f>
        <v>0</v>
      </c>
      <c r="BI243" s="89">
        <f>IF('[1]Oprava fasády - položky'!$U$256="nulová",'[1]Oprava fasády - položky'!$N$256,0)</f>
        <v>0</v>
      </c>
      <c r="BJ243" s="3" t="s">
        <v>93</v>
      </c>
      <c r="BK243" s="89">
        <f>ROUND('[1]Oprava fasády - položky'!$L$256*'[1]Oprava fasády - položky'!$K$256,2)</f>
        <v>9472.5</v>
      </c>
      <c r="BL243" s="3" t="s">
        <v>117</v>
      </c>
      <c r="BM243" s="3" t="s">
        <v>160</v>
      </c>
    </row>
    <row r="244" spans="2:51" s="3" customFormat="1" ht="18.75" customHeight="1">
      <c r="B244" s="117"/>
      <c r="C244" s="135"/>
      <c r="D244" s="135"/>
      <c r="E244" s="141"/>
      <c r="F244" s="198" t="s">
        <v>320</v>
      </c>
      <c r="G244" s="199"/>
      <c r="H244" s="199"/>
      <c r="I244" s="199"/>
      <c r="J244" s="135"/>
      <c r="K244" s="142"/>
      <c r="L244" s="135"/>
      <c r="M244" s="135"/>
      <c r="N244" s="135"/>
      <c r="O244" s="135"/>
      <c r="P244" s="135"/>
      <c r="Q244" s="135"/>
      <c r="R244" s="119"/>
      <c r="T244" s="120"/>
      <c r="AA244" s="121"/>
      <c r="AT244" s="118" t="s">
        <v>113</v>
      </c>
      <c r="AU244" s="118" t="s">
        <v>93</v>
      </c>
      <c r="AV244" s="118" t="s">
        <v>12</v>
      </c>
      <c r="AW244" s="118" t="s">
        <v>84</v>
      </c>
      <c r="AX244" s="118" t="s">
        <v>66</v>
      </c>
      <c r="AY244" s="118" t="s">
        <v>110</v>
      </c>
    </row>
    <row r="245" spans="2:51" s="3" customFormat="1" ht="15" customHeight="1">
      <c r="B245" s="117"/>
      <c r="C245" s="135"/>
      <c r="E245" s="118"/>
      <c r="F245" s="210" t="s">
        <v>296</v>
      </c>
      <c r="G245" s="211"/>
      <c r="H245" s="211"/>
      <c r="I245" s="211"/>
      <c r="J245" s="140"/>
      <c r="K245" s="139">
        <f>K240*0.2</f>
        <v>4.798800000000001</v>
      </c>
      <c r="R245" s="119"/>
      <c r="T245" s="120"/>
      <c r="AA245" s="121"/>
      <c r="AT245" s="118" t="s">
        <v>113</v>
      </c>
      <c r="AU245" s="118" t="s">
        <v>93</v>
      </c>
      <c r="AV245" s="118" t="s">
        <v>12</v>
      </c>
      <c r="AW245" s="118" t="s">
        <v>84</v>
      </c>
      <c r="AX245" s="118" t="s">
        <v>66</v>
      </c>
      <c r="AY245" s="118" t="s">
        <v>110</v>
      </c>
    </row>
    <row r="246" spans="2:65" s="3" customFormat="1" ht="30" customHeight="1">
      <c r="B246" s="16"/>
      <c r="C246" s="133">
        <v>28</v>
      </c>
      <c r="D246" s="110" t="s">
        <v>111</v>
      </c>
      <c r="E246" s="130" t="s">
        <v>381</v>
      </c>
      <c r="F246" s="196" t="s">
        <v>382</v>
      </c>
      <c r="G246" s="197"/>
      <c r="H246" s="197"/>
      <c r="I246" s="197"/>
      <c r="J246" s="134" t="s">
        <v>115</v>
      </c>
      <c r="K246" s="113">
        <v>3.2</v>
      </c>
      <c r="L246" s="204"/>
      <c r="M246" s="197"/>
      <c r="N246" s="203">
        <f>K246*L246</f>
        <v>0</v>
      </c>
      <c r="O246" s="197"/>
      <c r="P246" s="197"/>
      <c r="Q246" s="197"/>
      <c r="R246" s="17"/>
      <c r="T246" s="114"/>
      <c r="U246" s="23" t="s">
        <v>33</v>
      </c>
      <c r="V246" s="115">
        <v>0.313</v>
      </c>
      <c r="W246" s="115">
        <f>'[1]Oprava fasády - položky'!$V$256*'[1]Oprava fasády - položky'!$K$256</f>
        <v>9.39</v>
      </c>
      <c r="X246" s="115">
        <v>0.00064</v>
      </c>
      <c r="Y246" s="115">
        <f>'[1]Oprava fasády - položky'!$X$256*'[1]Oprava fasády - položky'!$K$256</f>
        <v>0.019200000000000002</v>
      </c>
      <c r="Z246" s="115">
        <v>0</v>
      </c>
      <c r="AA246" s="116">
        <f>'[1]Oprava fasády - položky'!$Z$256*'[1]Oprava fasády - položky'!$K$256</f>
        <v>0</v>
      </c>
      <c r="AD246" s="3">
        <v>0.00066</v>
      </c>
      <c r="AE246" s="3">
        <f>K246*AD246</f>
        <v>0.002112</v>
      </c>
      <c r="AR246" s="3" t="s">
        <v>117</v>
      </c>
      <c r="AT246" s="3" t="s">
        <v>111</v>
      </c>
      <c r="AU246" s="3" t="s">
        <v>93</v>
      </c>
      <c r="AY246" s="3" t="s">
        <v>110</v>
      </c>
      <c r="BE246" s="89">
        <f>IF('[1]Oprava fasády - položky'!$U$256="základní",'[1]Oprava fasády - položky'!$N$256,0)</f>
        <v>0</v>
      </c>
      <c r="BF246" s="89">
        <f>IF('[1]Oprava fasády - položky'!$U$256="snížená",'[1]Oprava fasády - položky'!$N$256,0)</f>
        <v>9472.5</v>
      </c>
      <c r="BG246" s="89">
        <f>IF('[1]Oprava fasády - položky'!$U$256="zákl. přenesená",'[1]Oprava fasády - položky'!$N$256,0)</f>
        <v>0</v>
      </c>
      <c r="BH246" s="89">
        <f>IF('[1]Oprava fasády - položky'!$U$256="sníž. přenesená",'[1]Oprava fasády - položky'!$N$256,0)</f>
        <v>0</v>
      </c>
      <c r="BI246" s="89">
        <f>IF('[1]Oprava fasády - položky'!$U$256="nulová",'[1]Oprava fasády - položky'!$N$256,0)</f>
        <v>0</v>
      </c>
      <c r="BJ246" s="3" t="s">
        <v>93</v>
      </c>
      <c r="BK246" s="89">
        <f>ROUND('[1]Oprava fasády - položky'!$L$256*'[1]Oprava fasády - položky'!$K$256,2)</f>
        <v>9472.5</v>
      </c>
      <c r="BL246" s="3" t="s">
        <v>117</v>
      </c>
      <c r="BM246" s="3" t="s">
        <v>160</v>
      </c>
    </row>
    <row r="247" spans="2:65" s="3" customFormat="1" ht="30" customHeight="1">
      <c r="B247" s="16"/>
      <c r="C247" s="133">
        <v>29</v>
      </c>
      <c r="D247" s="110" t="s">
        <v>111</v>
      </c>
      <c r="E247" s="130" t="s">
        <v>226</v>
      </c>
      <c r="F247" s="196" t="s">
        <v>228</v>
      </c>
      <c r="G247" s="197"/>
      <c r="H247" s="197"/>
      <c r="I247" s="197"/>
      <c r="J247" s="134" t="s">
        <v>115</v>
      </c>
      <c r="K247" s="113">
        <f>K243</f>
        <v>4.798800000000001</v>
      </c>
      <c r="L247" s="204"/>
      <c r="M247" s="197"/>
      <c r="N247" s="203">
        <f>K247*L247</f>
        <v>0</v>
      </c>
      <c r="O247" s="197"/>
      <c r="P247" s="197"/>
      <c r="Q247" s="197"/>
      <c r="R247" s="17"/>
      <c r="T247" s="114"/>
      <c r="U247" s="23" t="s">
        <v>33</v>
      </c>
      <c r="V247" s="115">
        <v>0.313</v>
      </c>
      <c r="W247" s="115">
        <f>'[1]Oprava fasády - položky'!$V$256*'[1]Oprava fasády - položky'!$K$256</f>
        <v>9.39</v>
      </c>
      <c r="X247" s="115">
        <v>0.00064</v>
      </c>
      <c r="Y247" s="115">
        <f>'[1]Oprava fasády - položky'!$X$256*'[1]Oprava fasády - položky'!$K$256</f>
        <v>0.019200000000000002</v>
      </c>
      <c r="Z247" s="115">
        <v>0</v>
      </c>
      <c r="AA247" s="116">
        <f>'[1]Oprava fasády - položky'!$Z$256*'[1]Oprava fasády - položky'!$K$256</f>
        <v>0</v>
      </c>
      <c r="AD247" s="3">
        <v>0.00066</v>
      </c>
      <c r="AE247" s="3">
        <f>K247*AD247</f>
        <v>0.0031672080000000003</v>
      </c>
      <c r="AR247" s="3" t="s">
        <v>117</v>
      </c>
      <c r="AT247" s="3" t="s">
        <v>111</v>
      </c>
      <c r="AU247" s="3" t="s">
        <v>93</v>
      </c>
      <c r="AY247" s="3" t="s">
        <v>110</v>
      </c>
      <c r="BE247" s="89">
        <f>IF('[1]Oprava fasády - položky'!$U$256="základní",'[1]Oprava fasády - položky'!$N$256,0)</f>
        <v>0</v>
      </c>
      <c r="BF247" s="89">
        <f>IF('[1]Oprava fasády - položky'!$U$256="snížená",'[1]Oprava fasády - položky'!$N$256,0)</f>
        <v>9472.5</v>
      </c>
      <c r="BG247" s="89">
        <f>IF('[1]Oprava fasády - položky'!$U$256="zákl. přenesená",'[1]Oprava fasády - položky'!$N$256,0)</f>
        <v>0</v>
      </c>
      <c r="BH247" s="89">
        <f>IF('[1]Oprava fasády - položky'!$U$256="sníž. přenesená",'[1]Oprava fasády - položky'!$N$256,0)</f>
        <v>0</v>
      </c>
      <c r="BI247" s="89">
        <f>IF('[1]Oprava fasády - položky'!$U$256="nulová",'[1]Oprava fasády - položky'!$N$256,0)</f>
        <v>0</v>
      </c>
      <c r="BJ247" s="3" t="s">
        <v>93</v>
      </c>
      <c r="BK247" s="89">
        <f>ROUND('[1]Oprava fasády - položky'!$L$256*'[1]Oprava fasády - položky'!$K$256,2)</f>
        <v>9472.5</v>
      </c>
      <c r="BL247" s="3" t="s">
        <v>117</v>
      </c>
      <c r="BM247" s="3" t="s">
        <v>160</v>
      </c>
    </row>
    <row r="248" spans="2:51" s="3" customFormat="1" ht="18.75" customHeight="1">
      <c r="B248" s="117"/>
      <c r="C248" s="135"/>
      <c r="E248" s="118"/>
      <c r="F248" s="188" t="s">
        <v>323</v>
      </c>
      <c r="G248" s="189"/>
      <c r="H248" s="189"/>
      <c r="I248" s="189"/>
      <c r="K248" s="118"/>
      <c r="R248" s="119"/>
      <c r="T248" s="120"/>
      <c r="AA248" s="121"/>
      <c r="AT248" s="118" t="s">
        <v>113</v>
      </c>
      <c r="AU248" s="118" t="s">
        <v>93</v>
      </c>
      <c r="AV248" s="118" t="s">
        <v>12</v>
      </c>
      <c r="AW248" s="118" t="s">
        <v>84</v>
      </c>
      <c r="AX248" s="118" t="s">
        <v>66</v>
      </c>
      <c r="AY248" s="118" t="s">
        <v>110</v>
      </c>
    </row>
    <row r="249" spans="2:65" s="3" customFormat="1" ht="27" customHeight="1">
      <c r="B249" s="16"/>
      <c r="C249" s="133">
        <v>30</v>
      </c>
      <c r="D249" s="110" t="s">
        <v>111</v>
      </c>
      <c r="E249" s="130" t="s">
        <v>220</v>
      </c>
      <c r="F249" s="196" t="s">
        <v>221</v>
      </c>
      <c r="G249" s="197"/>
      <c r="H249" s="197"/>
      <c r="I249" s="197"/>
      <c r="J249" s="134" t="s">
        <v>222</v>
      </c>
      <c r="K249" s="113">
        <v>4</v>
      </c>
      <c r="L249" s="203"/>
      <c r="M249" s="197"/>
      <c r="N249" s="203">
        <f>K249*L249</f>
        <v>0</v>
      </c>
      <c r="O249" s="197"/>
      <c r="P249" s="197"/>
      <c r="Q249" s="197"/>
      <c r="R249" s="17"/>
      <c r="T249" s="114"/>
      <c r="U249" s="23" t="s">
        <v>33</v>
      </c>
      <c r="V249" s="115">
        <v>0.51</v>
      </c>
      <c r="W249" s="115" t="e">
        <f>#REF!*#REF!</f>
        <v>#REF!</v>
      </c>
      <c r="X249" s="115">
        <v>0.0273</v>
      </c>
      <c r="Y249" s="115" t="e">
        <f>#REF!*#REF!</f>
        <v>#REF!</v>
      </c>
      <c r="Z249" s="115">
        <v>0</v>
      </c>
      <c r="AA249" s="116" t="e">
        <f>#REF!*#REF!</f>
        <v>#REF!</v>
      </c>
      <c r="AD249" s="3">
        <v>0.00039</v>
      </c>
      <c r="AE249" s="3">
        <f>K249*AD249</f>
        <v>0.00156</v>
      </c>
      <c r="AR249" s="3" t="s">
        <v>112</v>
      </c>
      <c r="AT249" s="3" t="s">
        <v>111</v>
      </c>
      <c r="AU249" s="3" t="s">
        <v>93</v>
      </c>
      <c r="AY249" s="3" t="s">
        <v>110</v>
      </c>
      <c r="BE249" s="89" t="e">
        <f>IF(#REF!="základní",#REF!,0)</f>
        <v>#REF!</v>
      </c>
      <c r="BF249" s="89" t="e">
        <f>IF(#REF!="snížená",#REF!,0)</f>
        <v>#REF!</v>
      </c>
      <c r="BG249" s="89" t="e">
        <f>IF(#REF!="zákl. přenesená",#REF!,0)</f>
        <v>#REF!</v>
      </c>
      <c r="BH249" s="89" t="e">
        <f>IF(#REF!="sníž. přenesená",#REF!,0)</f>
        <v>#REF!</v>
      </c>
      <c r="BI249" s="89" t="e">
        <f>IF(#REF!="nulová",#REF!,0)</f>
        <v>#REF!</v>
      </c>
      <c r="BJ249" s="3" t="s">
        <v>93</v>
      </c>
      <c r="BK249" s="89" t="e">
        <f>ROUND(#REF!*#REF!,2)</f>
        <v>#REF!</v>
      </c>
      <c r="BL249" s="3" t="s">
        <v>112</v>
      </c>
      <c r="BM249" s="3" t="s">
        <v>171</v>
      </c>
    </row>
    <row r="250" spans="2:51" s="3" customFormat="1" ht="18.75" customHeight="1">
      <c r="B250" s="117"/>
      <c r="C250" s="135"/>
      <c r="E250" s="118"/>
      <c r="F250" s="188" t="s">
        <v>223</v>
      </c>
      <c r="G250" s="189"/>
      <c r="H250" s="189"/>
      <c r="I250" s="189"/>
      <c r="K250" s="118"/>
      <c r="R250" s="119"/>
      <c r="T250" s="120"/>
      <c r="AA250" s="121"/>
      <c r="AT250" s="118" t="s">
        <v>113</v>
      </c>
      <c r="AU250" s="118" t="s">
        <v>93</v>
      </c>
      <c r="AV250" s="118" t="s">
        <v>12</v>
      </c>
      <c r="AW250" s="118" t="s">
        <v>84</v>
      </c>
      <c r="AX250" s="118" t="s">
        <v>66</v>
      </c>
      <c r="AY250" s="118" t="s">
        <v>110</v>
      </c>
    </row>
    <row r="251" spans="2:65" s="3" customFormat="1" ht="27" customHeight="1">
      <c r="B251" s="16"/>
      <c r="C251" s="133">
        <v>31</v>
      </c>
      <c r="D251" s="110" t="s">
        <v>111</v>
      </c>
      <c r="E251" s="145" t="s">
        <v>264</v>
      </c>
      <c r="F251" s="196" t="s">
        <v>265</v>
      </c>
      <c r="G251" s="197"/>
      <c r="H251" s="197"/>
      <c r="I251" s="197"/>
      <c r="J251" s="112" t="s">
        <v>118</v>
      </c>
      <c r="K251" s="113">
        <f>K273+K293</f>
        <v>269.41999999999996</v>
      </c>
      <c r="L251" s="203"/>
      <c r="M251" s="197"/>
      <c r="N251" s="203">
        <f>ROUND($L$251*$K$251,2)</f>
        <v>0</v>
      </c>
      <c r="O251" s="197"/>
      <c r="P251" s="197"/>
      <c r="Q251" s="197"/>
      <c r="R251" s="17"/>
      <c r="T251" s="114"/>
      <c r="U251" s="23" t="s">
        <v>33</v>
      </c>
      <c r="V251" s="115">
        <v>0.09</v>
      </c>
      <c r="W251" s="115">
        <f>$V$251*$K$251</f>
        <v>24.247799999999994</v>
      </c>
      <c r="X251" s="115">
        <v>0.01032</v>
      </c>
      <c r="Y251" s="115">
        <f>$X$251*$K$251</f>
        <v>2.7804143999999993</v>
      </c>
      <c r="Z251" s="115">
        <v>0</v>
      </c>
      <c r="AA251" s="116">
        <f>$Z$251*$K$251</f>
        <v>0</v>
      </c>
      <c r="AD251" s="3">
        <v>0.021</v>
      </c>
      <c r="AE251" s="3">
        <f>K251*AD251</f>
        <v>5.657819999999999</v>
      </c>
      <c r="AR251" s="3" t="s">
        <v>112</v>
      </c>
      <c r="AT251" s="3" t="s">
        <v>111</v>
      </c>
      <c r="AU251" s="3" t="s">
        <v>93</v>
      </c>
      <c r="AY251" s="3" t="s">
        <v>110</v>
      </c>
      <c r="BE251" s="89">
        <f>IF($U$251="základní",$N$251,0)</f>
        <v>0</v>
      </c>
      <c r="BF251" s="89">
        <f>IF($U$251="snížená",$N$251,0)</f>
        <v>0</v>
      </c>
      <c r="BG251" s="89">
        <f>IF($U$251="zákl. přenesená",$N$251,0)</f>
        <v>0</v>
      </c>
      <c r="BH251" s="89">
        <f>IF($U$251="sníž. přenesená",$N$251,0)</f>
        <v>0</v>
      </c>
      <c r="BI251" s="89">
        <f>IF($U$251="nulová",$N$251,0)</f>
        <v>0</v>
      </c>
      <c r="BJ251" s="3" t="s">
        <v>93</v>
      </c>
      <c r="BK251" s="89">
        <f>ROUND($L$251*$K$251,2)</f>
        <v>0</v>
      </c>
      <c r="BL251" s="3" t="s">
        <v>112</v>
      </c>
      <c r="BM251" s="3" t="s">
        <v>132</v>
      </c>
    </row>
    <row r="252" spans="2:63" s="100" customFormat="1" ht="30.75" customHeight="1">
      <c r="B252" s="101"/>
      <c r="C252" s="136"/>
      <c r="D252" s="109" t="s">
        <v>86</v>
      </c>
      <c r="E252" s="109"/>
      <c r="F252" s="109"/>
      <c r="G252" s="109"/>
      <c r="H252" s="109"/>
      <c r="I252" s="109"/>
      <c r="J252" s="109"/>
      <c r="K252" s="109"/>
      <c r="L252" s="109"/>
      <c r="M252" s="109"/>
      <c r="N252" s="208">
        <f>SUM(N253:Q271)</f>
        <v>0</v>
      </c>
      <c r="O252" s="209"/>
      <c r="P252" s="209"/>
      <c r="Q252" s="209"/>
      <c r="R252" s="104"/>
      <c r="T252" s="105"/>
      <c r="W252" s="106">
        <f>SUM($W$253:$W$271)</f>
        <v>398.801412</v>
      </c>
      <c r="Y252" s="106">
        <f>SUM($Y$253:$Y$271)</f>
        <v>0</v>
      </c>
      <c r="AA252" s="107">
        <f>SUM($AA$253:$AA$271)</f>
        <v>0</v>
      </c>
      <c r="AR252" s="103" t="s">
        <v>12</v>
      </c>
      <c r="AT252" s="103" t="s">
        <v>65</v>
      </c>
      <c r="AU252" s="103" t="s">
        <v>12</v>
      </c>
      <c r="AY252" s="103" t="s">
        <v>110</v>
      </c>
      <c r="BK252" s="108">
        <f>SUM($BK$253:$BK$271)</f>
        <v>0</v>
      </c>
    </row>
    <row r="253" spans="2:65" s="3" customFormat="1" ht="39" customHeight="1">
      <c r="B253" s="16"/>
      <c r="C253" s="133">
        <v>32</v>
      </c>
      <c r="D253" s="110" t="s">
        <v>111</v>
      </c>
      <c r="E253" s="111" t="s">
        <v>133</v>
      </c>
      <c r="F253" s="215" t="s">
        <v>134</v>
      </c>
      <c r="G253" s="197"/>
      <c r="H253" s="197"/>
      <c r="I253" s="197"/>
      <c r="J253" s="112" t="s">
        <v>115</v>
      </c>
      <c r="K253" s="113">
        <f>SUM(K254:K263)</f>
        <v>1166.086</v>
      </c>
      <c r="L253" s="204"/>
      <c r="M253" s="197"/>
      <c r="N253" s="203">
        <f>ROUND($L$253*$K$253,2)</f>
        <v>0</v>
      </c>
      <c r="O253" s="197"/>
      <c r="P253" s="197"/>
      <c r="Q253" s="197"/>
      <c r="R253" s="17"/>
      <c r="T253" s="114"/>
      <c r="U253" s="23" t="s">
        <v>33</v>
      </c>
      <c r="V253" s="115">
        <v>0.16</v>
      </c>
      <c r="W253" s="115">
        <f>$V$253*$K$253</f>
        <v>186.57376</v>
      </c>
      <c r="X253" s="115">
        <v>0</v>
      </c>
      <c r="Y253" s="115">
        <f>$X$253*$K$253</f>
        <v>0</v>
      </c>
      <c r="Z253" s="115">
        <v>0</v>
      </c>
      <c r="AA253" s="116">
        <f>$Z$253*$K$253</f>
        <v>0</v>
      </c>
      <c r="AD253" s="3">
        <v>0.033</v>
      </c>
      <c r="AE253" s="3">
        <f>K253*AD253</f>
        <v>38.480838000000006</v>
      </c>
      <c r="AR253" s="3" t="s">
        <v>112</v>
      </c>
      <c r="AT253" s="3" t="s">
        <v>111</v>
      </c>
      <c r="AU253" s="3" t="s">
        <v>93</v>
      </c>
      <c r="AY253" s="3" t="s">
        <v>110</v>
      </c>
      <c r="BE253" s="89">
        <f>IF($U$253="základní",$N$253,0)</f>
        <v>0</v>
      </c>
      <c r="BF253" s="89">
        <f>IF($U$253="snížená",$N$253,0)</f>
        <v>0</v>
      </c>
      <c r="BG253" s="89">
        <f>IF($U$253="zákl. přenesená",$N$253,0)</f>
        <v>0</v>
      </c>
      <c r="BH253" s="89">
        <f>IF($U$253="sníž. přenesená",$N$253,0)</f>
        <v>0</v>
      </c>
      <c r="BI253" s="89">
        <f>IF($U$253="nulová",$N$253,0)</f>
        <v>0</v>
      </c>
      <c r="BJ253" s="3" t="s">
        <v>93</v>
      </c>
      <c r="BK253" s="89">
        <f>ROUND($L$253*$K$253,2)</f>
        <v>0</v>
      </c>
      <c r="BL253" s="3" t="s">
        <v>112</v>
      </c>
      <c r="BM253" s="3" t="s">
        <v>135</v>
      </c>
    </row>
    <row r="254" spans="2:51" s="3" customFormat="1" ht="15" customHeight="1">
      <c r="B254" s="122"/>
      <c r="C254" s="135"/>
      <c r="E254" s="123"/>
      <c r="F254" s="194" t="s">
        <v>256</v>
      </c>
      <c r="G254" s="195"/>
      <c r="H254" s="195"/>
      <c r="I254" s="195"/>
      <c r="K254" s="124">
        <f>K182+K184+K186+K188+K190+K192+K195</f>
        <v>392.815</v>
      </c>
      <c r="R254" s="125"/>
      <c r="T254" s="126"/>
      <c r="AA254" s="127"/>
      <c r="AT254" s="123" t="s">
        <v>113</v>
      </c>
      <c r="AU254" s="123" t="s">
        <v>93</v>
      </c>
      <c r="AV254" s="123" t="s">
        <v>93</v>
      </c>
      <c r="AW254" s="123" t="s">
        <v>84</v>
      </c>
      <c r="AX254" s="123" t="s">
        <v>66</v>
      </c>
      <c r="AY254" s="123" t="s">
        <v>110</v>
      </c>
    </row>
    <row r="255" spans="2:51" s="3" customFormat="1" ht="30" customHeight="1">
      <c r="B255" s="122"/>
      <c r="C255" s="135"/>
      <c r="E255" s="123"/>
      <c r="F255" s="194" t="s">
        <v>393</v>
      </c>
      <c r="G255" s="195"/>
      <c r="H255" s="195"/>
      <c r="I255" s="195"/>
      <c r="K255" s="124"/>
      <c r="R255" s="125"/>
      <c r="T255" s="126"/>
      <c r="AA255" s="127"/>
      <c r="AT255" s="123" t="s">
        <v>113</v>
      </c>
      <c r="AU255" s="123" t="s">
        <v>93</v>
      </c>
      <c r="AV255" s="123" t="s">
        <v>93</v>
      </c>
      <c r="AW255" s="123" t="s">
        <v>84</v>
      </c>
      <c r="AX255" s="123" t="s">
        <v>66</v>
      </c>
      <c r="AY255" s="123" t="s">
        <v>110</v>
      </c>
    </row>
    <row r="256" spans="2:51" s="3" customFormat="1" ht="15" customHeight="1">
      <c r="B256" s="122"/>
      <c r="C256" s="135"/>
      <c r="E256" s="123"/>
      <c r="F256" s="194" t="s">
        <v>229</v>
      </c>
      <c r="G256" s="195"/>
      <c r="H256" s="195"/>
      <c r="I256" s="195"/>
      <c r="K256" s="124">
        <f>K199+K202+K205+K208+K211+K214</f>
        <v>544.395</v>
      </c>
      <c r="R256" s="125"/>
      <c r="T256" s="126"/>
      <c r="AA256" s="127"/>
      <c r="AT256" s="123" t="s">
        <v>113</v>
      </c>
      <c r="AU256" s="123" t="s">
        <v>93</v>
      </c>
      <c r="AV256" s="123" t="s">
        <v>93</v>
      </c>
      <c r="AW256" s="123" t="s">
        <v>84</v>
      </c>
      <c r="AX256" s="123" t="s">
        <v>66</v>
      </c>
      <c r="AY256" s="123" t="s">
        <v>110</v>
      </c>
    </row>
    <row r="257" spans="2:51" s="3" customFormat="1" ht="30" customHeight="1">
      <c r="B257" s="122"/>
      <c r="C257" s="135"/>
      <c r="E257" s="123"/>
      <c r="F257" s="194" t="s">
        <v>394</v>
      </c>
      <c r="G257" s="195"/>
      <c r="H257" s="195"/>
      <c r="I257" s="195"/>
      <c r="K257" s="124"/>
      <c r="R257" s="125"/>
      <c r="T257" s="126"/>
      <c r="AA257" s="127"/>
      <c r="AT257" s="123" t="s">
        <v>113</v>
      </c>
      <c r="AU257" s="123" t="s">
        <v>93</v>
      </c>
      <c r="AV257" s="123" t="s">
        <v>93</v>
      </c>
      <c r="AW257" s="123" t="s">
        <v>84</v>
      </c>
      <c r="AX257" s="123" t="s">
        <v>66</v>
      </c>
      <c r="AY257" s="123" t="s">
        <v>110</v>
      </c>
    </row>
    <row r="258" spans="2:51" s="3" customFormat="1" ht="15" customHeight="1">
      <c r="B258" s="122"/>
      <c r="C258" s="135"/>
      <c r="E258" s="123"/>
      <c r="F258" s="194" t="str">
        <f>F244</f>
        <v>spojovací "krček"</v>
      </c>
      <c r="G258" s="195"/>
      <c r="H258" s="195"/>
      <c r="I258" s="195"/>
      <c r="K258" s="124"/>
      <c r="R258" s="125"/>
      <c r="T258" s="126"/>
      <c r="AA258" s="127"/>
      <c r="AT258" s="123" t="s">
        <v>113</v>
      </c>
      <c r="AU258" s="123" t="s">
        <v>93</v>
      </c>
      <c r="AV258" s="123" t="s">
        <v>93</v>
      </c>
      <c r="AW258" s="123" t="s">
        <v>84</v>
      </c>
      <c r="AX258" s="123" t="s">
        <v>66</v>
      </c>
      <c r="AY258" s="123" t="s">
        <v>110</v>
      </c>
    </row>
    <row r="259" spans="2:51" s="3" customFormat="1" ht="15" customHeight="1">
      <c r="B259" s="122"/>
      <c r="C259" s="135"/>
      <c r="E259" s="123"/>
      <c r="F259" s="190" t="s">
        <v>324</v>
      </c>
      <c r="G259" s="191"/>
      <c r="H259" s="191"/>
      <c r="I259" s="191"/>
      <c r="K259" s="124">
        <f>79.9+23.994</f>
        <v>103.894</v>
      </c>
      <c r="R259" s="125"/>
      <c r="T259" s="126"/>
      <c r="AA259" s="127"/>
      <c r="AT259" s="123" t="s">
        <v>113</v>
      </c>
      <c r="AU259" s="123" t="s">
        <v>93</v>
      </c>
      <c r="AV259" s="123" t="s">
        <v>93</v>
      </c>
      <c r="AW259" s="123" t="s">
        <v>84</v>
      </c>
      <c r="AX259" s="123" t="s">
        <v>66</v>
      </c>
      <c r="AY259" s="123" t="s">
        <v>110</v>
      </c>
    </row>
    <row r="260" spans="2:51" s="3" customFormat="1" ht="18.75" customHeight="1">
      <c r="B260" s="117"/>
      <c r="C260" s="135"/>
      <c r="D260" s="135"/>
      <c r="E260" s="141"/>
      <c r="F260" s="192" t="s">
        <v>385</v>
      </c>
      <c r="G260" s="193"/>
      <c r="H260" s="193"/>
      <c r="I260" s="193"/>
      <c r="J260" s="135"/>
      <c r="K260" s="142"/>
      <c r="L260" s="135"/>
      <c r="M260" s="135"/>
      <c r="N260" s="135"/>
      <c r="O260" s="135"/>
      <c r="P260" s="135"/>
      <c r="Q260" s="135"/>
      <c r="R260" s="119"/>
      <c r="T260" s="120"/>
      <c r="AA260" s="121"/>
      <c r="AT260" s="118" t="s">
        <v>113</v>
      </c>
      <c r="AU260" s="118" t="s">
        <v>93</v>
      </c>
      <c r="AV260" s="118" t="s">
        <v>12</v>
      </c>
      <c r="AW260" s="118" t="s">
        <v>84</v>
      </c>
      <c r="AX260" s="118" t="s">
        <v>66</v>
      </c>
      <c r="AY260" s="118" t="s">
        <v>110</v>
      </c>
    </row>
    <row r="261" spans="2:51" s="3" customFormat="1" ht="15" customHeight="1">
      <c r="B261" s="122"/>
      <c r="C261" s="135"/>
      <c r="E261" s="123"/>
      <c r="F261" s="190" t="s">
        <v>386</v>
      </c>
      <c r="G261" s="191"/>
      <c r="H261" s="191"/>
      <c r="I261" s="191"/>
      <c r="K261" s="124">
        <f>10.59*4.6</f>
        <v>48.714</v>
      </c>
      <c r="R261" s="125"/>
      <c r="T261" s="126"/>
      <c r="AA261" s="127"/>
      <c r="AT261" s="123" t="s">
        <v>113</v>
      </c>
      <c r="AU261" s="123" t="s">
        <v>93</v>
      </c>
      <c r="AV261" s="123" t="s">
        <v>93</v>
      </c>
      <c r="AW261" s="123" t="s">
        <v>84</v>
      </c>
      <c r="AX261" s="123" t="s">
        <v>66</v>
      </c>
      <c r="AY261" s="123" t="s">
        <v>110</v>
      </c>
    </row>
    <row r="262" spans="2:51" s="3" customFormat="1" ht="18.75" customHeight="1">
      <c r="B262" s="117"/>
      <c r="C262" s="135"/>
      <c r="E262" s="118"/>
      <c r="F262" s="194" t="s">
        <v>388</v>
      </c>
      <c r="G262" s="195"/>
      <c r="H262" s="195"/>
      <c r="I262" s="195"/>
      <c r="K262" s="148"/>
      <c r="R262" s="119"/>
      <c r="T262" s="120"/>
      <c r="AA262" s="121"/>
      <c r="AT262" s="118" t="s">
        <v>113</v>
      </c>
      <c r="AU262" s="118" t="s">
        <v>93</v>
      </c>
      <c r="AV262" s="118" t="s">
        <v>12</v>
      </c>
      <c r="AW262" s="118" t="s">
        <v>84</v>
      </c>
      <c r="AX262" s="118" t="s">
        <v>66</v>
      </c>
      <c r="AY262" s="118" t="s">
        <v>110</v>
      </c>
    </row>
    <row r="263" spans="2:51" s="3" customFormat="1" ht="15" customHeight="1">
      <c r="B263" s="122"/>
      <c r="C263" s="135"/>
      <c r="E263" s="123"/>
      <c r="F263" s="190" t="s">
        <v>389</v>
      </c>
      <c r="G263" s="191"/>
      <c r="H263" s="191"/>
      <c r="I263" s="191"/>
      <c r="K263" s="124">
        <f>16.58*4.6</f>
        <v>76.26799999999999</v>
      </c>
      <c r="R263" s="125"/>
      <c r="T263" s="126"/>
      <c r="AA263" s="127"/>
      <c r="AT263" s="123" t="s">
        <v>113</v>
      </c>
      <c r="AU263" s="123" t="s">
        <v>93</v>
      </c>
      <c r="AV263" s="123" t="s">
        <v>93</v>
      </c>
      <c r="AW263" s="123" t="s">
        <v>84</v>
      </c>
      <c r="AX263" s="123" t="s">
        <v>66</v>
      </c>
      <c r="AY263" s="123" t="s">
        <v>110</v>
      </c>
    </row>
    <row r="264" spans="2:65" s="3" customFormat="1" ht="27" customHeight="1">
      <c r="B264" s="16"/>
      <c r="C264" s="133">
        <v>33</v>
      </c>
      <c r="D264" s="110" t="s">
        <v>111</v>
      </c>
      <c r="E264" s="130" t="s">
        <v>162</v>
      </c>
      <c r="F264" s="201" t="s">
        <v>163</v>
      </c>
      <c r="G264" s="202"/>
      <c r="H264" s="202"/>
      <c r="I264" s="202"/>
      <c r="J264" s="112" t="s">
        <v>115</v>
      </c>
      <c r="K264" s="113">
        <f>K265</f>
        <v>2332.172</v>
      </c>
      <c r="L264" s="203"/>
      <c r="M264" s="197"/>
      <c r="N264" s="203">
        <f>ROUND($L$264*$K$264,2)</f>
        <v>0</v>
      </c>
      <c r="O264" s="197"/>
      <c r="P264" s="197"/>
      <c r="Q264" s="197"/>
      <c r="R264" s="17"/>
      <c r="T264" s="114"/>
      <c r="U264" s="23" t="s">
        <v>33</v>
      </c>
      <c r="V264" s="115">
        <v>0</v>
      </c>
      <c r="W264" s="115">
        <f>$V$264*$K$264</f>
        <v>0</v>
      </c>
      <c r="X264" s="115">
        <v>0</v>
      </c>
      <c r="Y264" s="115">
        <f>$X$264*$K$264</f>
        <v>0</v>
      </c>
      <c r="Z264" s="115">
        <v>0</v>
      </c>
      <c r="AA264" s="116">
        <f>$Z$264*$K$264</f>
        <v>0</v>
      </c>
      <c r="AR264" s="3" t="s">
        <v>112</v>
      </c>
      <c r="AT264" s="3" t="s">
        <v>111</v>
      </c>
      <c r="AU264" s="3" t="s">
        <v>93</v>
      </c>
      <c r="AY264" s="3" t="s">
        <v>110</v>
      </c>
      <c r="BE264" s="89">
        <f>IF($U$264="základní",$N$264,0)</f>
        <v>0</v>
      </c>
      <c r="BF264" s="89">
        <f>IF($U$264="snížená",$N$264,0)</f>
        <v>0</v>
      </c>
      <c r="BG264" s="89">
        <f>IF($U$264="zákl. přenesená",$N$264,0)</f>
        <v>0</v>
      </c>
      <c r="BH264" s="89">
        <f>IF($U$264="sníž. přenesená",$N$264,0)</f>
        <v>0</v>
      </c>
      <c r="BI264" s="89">
        <f>IF($U$264="nulová",$N$264,0)</f>
        <v>0</v>
      </c>
      <c r="BJ264" s="3" t="s">
        <v>93</v>
      </c>
      <c r="BK264" s="89">
        <f>ROUND($L$264*$K$264,2)</f>
        <v>0</v>
      </c>
      <c r="BL264" s="3" t="s">
        <v>112</v>
      </c>
      <c r="BM264" s="3" t="s">
        <v>136</v>
      </c>
    </row>
    <row r="265" spans="2:51" s="3" customFormat="1" ht="18.75" customHeight="1">
      <c r="B265" s="122"/>
      <c r="C265" s="135"/>
      <c r="E265" s="123"/>
      <c r="F265" s="188" t="s">
        <v>164</v>
      </c>
      <c r="G265" s="189"/>
      <c r="H265" s="189"/>
      <c r="I265" s="189"/>
      <c r="K265" s="124">
        <f>2*K253</f>
        <v>2332.172</v>
      </c>
      <c r="R265" s="125"/>
      <c r="T265" s="126"/>
      <c r="AA265" s="127"/>
      <c r="AT265" s="123" t="s">
        <v>113</v>
      </c>
      <c r="AU265" s="123" t="s">
        <v>93</v>
      </c>
      <c r="AV265" s="123" t="s">
        <v>93</v>
      </c>
      <c r="AW265" s="123" t="s">
        <v>84</v>
      </c>
      <c r="AX265" s="123" t="s">
        <v>66</v>
      </c>
      <c r="AY265" s="123" t="s">
        <v>110</v>
      </c>
    </row>
    <row r="266" spans="2:65" s="3" customFormat="1" ht="39" customHeight="1">
      <c r="B266" s="16"/>
      <c r="C266" s="133">
        <v>34</v>
      </c>
      <c r="D266" s="110" t="s">
        <v>111</v>
      </c>
      <c r="E266" s="111" t="s">
        <v>137</v>
      </c>
      <c r="F266" s="215" t="s">
        <v>138</v>
      </c>
      <c r="G266" s="197"/>
      <c r="H266" s="197"/>
      <c r="I266" s="197"/>
      <c r="J266" s="112" t="s">
        <v>115</v>
      </c>
      <c r="K266" s="113">
        <f>K253</f>
        <v>1166.086</v>
      </c>
      <c r="L266" s="203"/>
      <c r="M266" s="197"/>
      <c r="N266" s="203">
        <f>ROUND($L$266*$K$266,2)</f>
        <v>0</v>
      </c>
      <c r="O266" s="197"/>
      <c r="P266" s="197"/>
      <c r="Q266" s="197"/>
      <c r="R266" s="17"/>
      <c r="T266" s="114"/>
      <c r="U266" s="23" t="s">
        <v>33</v>
      </c>
      <c r="V266" s="115">
        <v>0.1</v>
      </c>
      <c r="W266" s="115">
        <f>$V$266*$K$266</f>
        <v>116.60860000000001</v>
      </c>
      <c r="X266" s="115">
        <v>0</v>
      </c>
      <c r="Y266" s="115">
        <f>$X$266*$K$266</f>
        <v>0</v>
      </c>
      <c r="Z266" s="115">
        <v>0</v>
      </c>
      <c r="AA266" s="116">
        <f>$Z$266*$K$266</f>
        <v>0</v>
      </c>
      <c r="AR266" s="3" t="s">
        <v>112</v>
      </c>
      <c r="AT266" s="3" t="s">
        <v>111</v>
      </c>
      <c r="AU266" s="3" t="s">
        <v>93</v>
      </c>
      <c r="AY266" s="3" t="s">
        <v>110</v>
      </c>
      <c r="BE266" s="89">
        <f>IF($U$266="základní",$N$266,0)</f>
        <v>0</v>
      </c>
      <c r="BF266" s="89">
        <f>IF($U$266="snížená",$N$266,0)</f>
        <v>0</v>
      </c>
      <c r="BG266" s="89">
        <f>IF($U$266="zákl. přenesená",$N$266,0)</f>
        <v>0</v>
      </c>
      <c r="BH266" s="89">
        <f>IF($U$266="sníž. přenesená",$N$266,0)</f>
        <v>0</v>
      </c>
      <c r="BI266" s="89">
        <f>IF($U$266="nulová",$N$266,0)</f>
        <v>0</v>
      </c>
      <c r="BJ266" s="3" t="s">
        <v>93</v>
      </c>
      <c r="BK266" s="89">
        <f>ROUND($L$266*$K$266,2)</f>
        <v>0</v>
      </c>
      <c r="BL266" s="3" t="s">
        <v>112</v>
      </c>
      <c r="BM266" s="3" t="s">
        <v>139</v>
      </c>
    </row>
    <row r="267" spans="2:51" s="3" customFormat="1" ht="15" customHeight="1">
      <c r="B267" s="122"/>
      <c r="C267" s="135"/>
      <c r="E267" s="123"/>
      <c r="F267" s="194" t="s">
        <v>395</v>
      </c>
      <c r="G267" s="195"/>
      <c r="H267" s="195"/>
      <c r="I267" s="195"/>
      <c r="K267" s="124"/>
      <c r="R267" s="125"/>
      <c r="T267" s="126"/>
      <c r="AA267" s="127"/>
      <c r="AT267" s="123" t="s">
        <v>113</v>
      </c>
      <c r="AU267" s="123" t="s">
        <v>93</v>
      </c>
      <c r="AV267" s="123" t="s">
        <v>93</v>
      </c>
      <c r="AW267" s="123" t="s">
        <v>84</v>
      </c>
      <c r="AX267" s="123" t="s">
        <v>66</v>
      </c>
      <c r="AY267" s="123" t="s">
        <v>110</v>
      </c>
    </row>
    <row r="268" spans="2:65" s="3" customFormat="1" ht="15" customHeight="1">
      <c r="B268" s="16"/>
      <c r="C268" s="133">
        <v>35</v>
      </c>
      <c r="D268" s="110" t="s">
        <v>111</v>
      </c>
      <c r="E268" s="111" t="s">
        <v>140</v>
      </c>
      <c r="F268" s="215" t="s">
        <v>141</v>
      </c>
      <c r="G268" s="197"/>
      <c r="H268" s="197"/>
      <c r="I268" s="197"/>
      <c r="J268" s="112" t="s">
        <v>115</v>
      </c>
      <c r="K268" s="113">
        <f>K253</f>
        <v>1166.086</v>
      </c>
      <c r="L268" s="203"/>
      <c r="M268" s="197"/>
      <c r="N268" s="203">
        <f>ROUND($L$268*$K$268,2)</f>
        <v>0</v>
      </c>
      <c r="O268" s="197"/>
      <c r="P268" s="197"/>
      <c r="Q268" s="197"/>
      <c r="R268" s="17"/>
      <c r="T268" s="114"/>
      <c r="U268" s="23" t="s">
        <v>33</v>
      </c>
      <c r="V268" s="115">
        <v>0.049</v>
      </c>
      <c r="W268" s="115">
        <f>$V$268*$K$268</f>
        <v>57.138214000000005</v>
      </c>
      <c r="X268" s="115">
        <v>0</v>
      </c>
      <c r="Y268" s="115">
        <f>$X$268*$K$268</f>
        <v>0</v>
      </c>
      <c r="Z268" s="115">
        <v>0</v>
      </c>
      <c r="AA268" s="116">
        <f>$Z$268*$K$268</f>
        <v>0</v>
      </c>
      <c r="AR268" s="3" t="s">
        <v>112</v>
      </c>
      <c r="AT268" s="3" t="s">
        <v>111</v>
      </c>
      <c r="AU268" s="3" t="s">
        <v>93</v>
      </c>
      <c r="AY268" s="3" t="s">
        <v>110</v>
      </c>
      <c r="BE268" s="89">
        <f>IF($U$268="základní",$N$268,0)</f>
        <v>0</v>
      </c>
      <c r="BF268" s="89">
        <f>IF($U$268="snížená",$N$268,0)</f>
        <v>0</v>
      </c>
      <c r="BG268" s="89">
        <f>IF($U$268="zákl. přenesená",$N$268,0)</f>
        <v>0</v>
      </c>
      <c r="BH268" s="89">
        <f>IF($U$268="sníž. přenesená",$N$268,0)</f>
        <v>0</v>
      </c>
      <c r="BI268" s="89">
        <f>IF($U$268="nulová",$N$268,0)</f>
        <v>0</v>
      </c>
      <c r="BJ268" s="3" t="s">
        <v>93</v>
      </c>
      <c r="BK268" s="89">
        <f>ROUND($L$268*$K$268,2)</f>
        <v>0</v>
      </c>
      <c r="BL268" s="3" t="s">
        <v>112</v>
      </c>
      <c r="BM268" s="3" t="s">
        <v>142</v>
      </c>
    </row>
    <row r="269" spans="2:65" s="3" customFormat="1" ht="15" customHeight="1">
      <c r="B269" s="16"/>
      <c r="C269" s="133">
        <v>36</v>
      </c>
      <c r="D269" s="110" t="s">
        <v>111</v>
      </c>
      <c r="E269" s="111" t="s">
        <v>143</v>
      </c>
      <c r="F269" s="201" t="s">
        <v>184</v>
      </c>
      <c r="G269" s="202"/>
      <c r="H269" s="202"/>
      <c r="I269" s="202"/>
      <c r="J269" s="112" t="s">
        <v>115</v>
      </c>
      <c r="K269" s="113">
        <f>K253*2</f>
        <v>2332.172</v>
      </c>
      <c r="L269" s="203"/>
      <c r="M269" s="197"/>
      <c r="N269" s="203">
        <f>ROUND($L$269*$K$269,2)</f>
        <v>0</v>
      </c>
      <c r="O269" s="197"/>
      <c r="P269" s="197"/>
      <c r="Q269" s="197"/>
      <c r="R269" s="17"/>
      <c r="T269" s="114"/>
      <c r="U269" s="23" t="s">
        <v>33</v>
      </c>
      <c r="V269" s="115">
        <v>0</v>
      </c>
      <c r="W269" s="115">
        <f>$V$269*$K$269</f>
        <v>0</v>
      </c>
      <c r="X269" s="115">
        <v>0</v>
      </c>
      <c r="Y269" s="115">
        <f>$X$269*$K$269</f>
        <v>0</v>
      </c>
      <c r="Z269" s="115">
        <v>0</v>
      </c>
      <c r="AA269" s="116">
        <f>$Z$269*$K$269</f>
        <v>0</v>
      </c>
      <c r="AR269" s="3" t="s">
        <v>112</v>
      </c>
      <c r="AT269" s="3" t="s">
        <v>111</v>
      </c>
      <c r="AU269" s="3" t="s">
        <v>93</v>
      </c>
      <c r="AY269" s="3" t="s">
        <v>110</v>
      </c>
      <c r="BE269" s="89">
        <f>IF($U$269="základní",$N$269,0)</f>
        <v>0</v>
      </c>
      <c r="BF269" s="89">
        <f>IF($U$269="snížená",$N$269,0)</f>
        <v>0</v>
      </c>
      <c r="BG269" s="89">
        <f>IF($U$269="zákl. přenesená",$N$269,0)</f>
        <v>0</v>
      </c>
      <c r="BH269" s="89">
        <f>IF($U$269="sníž. přenesená",$N$269,0)</f>
        <v>0</v>
      </c>
      <c r="BI269" s="89">
        <f>IF($U$269="nulová",$N$269,0)</f>
        <v>0</v>
      </c>
      <c r="BJ269" s="3" t="s">
        <v>93</v>
      </c>
      <c r="BK269" s="89">
        <f>ROUND($L$269*$K$269,2)</f>
        <v>0</v>
      </c>
      <c r="BL269" s="3" t="s">
        <v>112</v>
      </c>
      <c r="BM269" s="3" t="s">
        <v>144</v>
      </c>
    </row>
    <row r="270" spans="2:65" s="3" customFormat="1" ht="27" customHeight="1">
      <c r="B270" s="16"/>
      <c r="C270" s="133">
        <v>37</v>
      </c>
      <c r="D270" s="110" t="s">
        <v>111</v>
      </c>
      <c r="E270" s="111" t="s">
        <v>145</v>
      </c>
      <c r="F270" s="215" t="s">
        <v>146</v>
      </c>
      <c r="G270" s="197"/>
      <c r="H270" s="197"/>
      <c r="I270" s="197"/>
      <c r="J270" s="112" t="s">
        <v>115</v>
      </c>
      <c r="K270" s="113">
        <f>K268</f>
        <v>1166.086</v>
      </c>
      <c r="L270" s="203"/>
      <c r="M270" s="197"/>
      <c r="N270" s="203">
        <f>ROUND($L$270*$K$270,2)</f>
        <v>0</v>
      </c>
      <c r="O270" s="197"/>
      <c r="P270" s="197"/>
      <c r="Q270" s="197"/>
      <c r="R270" s="17"/>
      <c r="T270" s="114"/>
      <c r="U270" s="23" t="s">
        <v>33</v>
      </c>
      <c r="V270" s="115">
        <v>0.033</v>
      </c>
      <c r="W270" s="115">
        <f>$V$270*$K$270</f>
        <v>38.480838000000006</v>
      </c>
      <c r="X270" s="115">
        <v>0</v>
      </c>
      <c r="Y270" s="115">
        <f>$X$270*$K$270</f>
        <v>0</v>
      </c>
      <c r="Z270" s="115">
        <v>0</v>
      </c>
      <c r="AA270" s="116">
        <f>$Z$270*$K$270</f>
        <v>0</v>
      </c>
      <c r="AR270" s="3" t="s">
        <v>112</v>
      </c>
      <c r="AT270" s="3" t="s">
        <v>111</v>
      </c>
      <c r="AU270" s="3" t="s">
        <v>93</v>
      </c>
      <c r="AY270" s="3" t="s">
        <v>110</v>
      </c>
      <c r="BE270" s="89">
        <f>IF($U$270="základní",$N$270,0)</f>
        <v>0</v>
      </c>
      <c r="BF270" s="89">
        <f>IF($U$270="snížená",$N$270,0)</f>
        <v>0</v>
      </c>
      <c r="BG270" s="89">
        <f>IF($U$270="zákl. přenesená",$N$270,0)</f>
        <v>0</v>
      </c>
      <c r="BH270" s="89">
        <f>IF($U$270="sníž. přenesená",$N$270,0)</f>
        <v>0</v>
      </c>
      <c r="BI270" s="89">
        <f>IF($U$270="nulová",$N$270,0)</f>
        <v>0</v>
      </c>
      <c r="BJ270" s="3" t="s">
        <v>93</v>
      </c>
      <c r="BK270" s="89">
        <f>ROUND($L$270*$K$270,2)</f>
        <v>0</v>
      </c>
      <c r="BL270" s="3" t="s">
        <v>112</v>
      </c>
      <c r="BM270" s="3" t="s">
        <v>147</v>
      </c>
    </row>
    <row r="271" spans="2:65" s="3" customFormat="1" ht="15.75" customHeight="1">
      <c r="B271" s="16"/>
      <c r="C271" s="133">
        <v>38</v>
      </c>
      <c r="D271" s="110" t="s">
        <v>111</v>
      </c>
      <c r="E271" s="111" t="s">
        <v>148</v>
      </c>
      <c r="F271" s="201" t="s">
        <v>149</v>
      </c>
      <c r="G271" s="202"/>
      <c r="H271" s="202"/>
      <c r="I271" s="202"/>
      <c r="J271" s="112" t="s">
        <v>119</v>
      </c>
      <c r="K271" s="113">
        <v>1</v>
      </c>
      <c r="L271" s="203"/>
      <c r="M271" s="197"/>
      <c r="N271" s="203">
        <f>ROUND($L$271*$K$271,2)</f>
        <v>0</v>
      </c>
      <c r="O271" s="197"/>
      <c r="P271" s="197"/>
      <c r="Q271" s="197"/>
      <c r="R271" s="17"/>
      <c r="T271" s="114"/>
      <c r="U271" s="23" t="s">
        <v>33</v>
      </c>
      <c r="V271" s="115">
        <v>0</v>
      </c>
      <c r="W271" s="115">
        <f>$V$271*$K$271</f>
        <v>0</v>
      </c>
      <c r="X271" s="115">
        <v>0</v>
      </c>
      <c r="Y271" s="115">
        <f>$X$271*$K$271</f>
        <v>0</v>
      </c>
      <c r="Z271" s="115">
        <v>0</v>
      </c>
      <c r="AA271" s="116">
        <f>$Z$271*$K$271</f>
        <v>0</v>
      </c>
      <c r="AR271" s="3" t="s">
        <v>112</v>
      </c>
      <c r="AT271" s="3" t="s">
        <v>111</v>
      </c>
      <c r="AU271" s="3" t="s">
        <v>93</v>
      </c>
      <c r="AY271" s="3" t="s">
        <v>110</v>
      </c>
      <c r="BE271" s="89">
        <f>IF($U$271="základní",$N$271,0)</f>
        <v>0</v>
      </c>
      <c r="BF271" s="89">
        <f>IF($U$271="snížená",$N$271,0)</f>
        <v>0</v>
      </c>
      <c r="BG271" s="89">
        <f>IF($U$271="zákl. přenesená",$N$271,0)</f>
        <v>0</v>
      </c>
      <c r="BH271" s="89">
        <f>IF($U$271="sníž. přenesená",$N$271,0)</f>
        <v>0</v>
      </c>
      <c r="BI271" s="89">
        <f>IF($U$271="nulová",$N$271,0)</f>
        <v>0</v>
      </c>
      <c r="BJ271" s="3" t="s">
        <v>93</v>
      </c>
      <c r="BK271" s="89">
        <f>ROUND($L$271*$K$271,2)</f>
        <v>0</v>
      </c>
      <c r="BL271" s="3" t="s">
        <v>112</v>
      </c>
      <c r="BM271" s="3" t="s">
        <v>150</v>
      </c>
    </row>
    <row r="272" spans="2:63" s="100" customFormat="1" ht="30.75" customHeight="1">
      <c r="B272" s="101"/>
      <c r="C272" s="136"/>
      <c r="D272" s="109" t="s">
        <v>87</v>
      </c>
      <c r="E272" s="109"/>
      <c r="F272" s="109"/>
      <c r="G272" s="109"/>
      <c r="H272" s="109"/>
      <c r="I272" s="109"/>
      <c r="J272" s="109"/>
      <c r="K272" s="109"/>
      <c r="L272" s="109"/>
      <c r="M272" s="109"/>
      <c r="N272" s="208">
        <f>N273+N293</f>
        <v>0</v>
      </c>
      <c r="O272" s="209"/>
      <c r="P272" s="209"/>
      <c r="Q272" s="209"/>
      <c r="R272" s="104"/>
      <c r="T272" s="105"/>
      <c r="W272" s="106">
        <f>SUM($W$273:$W$290)</f>
        <v>16.1421</v>
      </c>
      <c r="Y272" s="106">
        <f>SUM($Y$273:$Y$290)</f>
        <v>0</v>
      </c>
      <c r="AA272" s="107">
        <f>SUM($AA$273:$AA$290)</f>
        <v>0.1382426</v>
      </c>
      <c r="AR272" s="103" t="s">
        <v>12</v>
      </c>
      <c r="AT272" s="103" t="s">
        <v>65</v>
      </c>
      <c r="AU272" s="103" t="s">
        <v>12</v>
      </c>
      <c r="AY272" s="103" t="s">
        <v>110</v>
      </c>
      <c r="BK272" s="108">
        <f>SUM($BK$273:$BK$290)</f>
        <v>0</v>
      </c>
    </row>
    <row r="273" spans="2:65" s="3" customFormat="1" ht="15.75" customHeight="1">
      <c r="B273" s="16"/>
      <c r="C273" s="133">
        <v>39</v>
      </c>
      <c r="D273" s="110" t="s">
        <v>111</v>
      </c>
      <c r="E273" s="111" t="s">
        <v>151</v>
      </c>
      <c r="F273" s="215" t="s">
        <v>152</v>
      </c>
      <c r="G273" s="197"/>
      <c r="H273" s="197"/>
      <c r="I273" s="197"/>
      <c r="J273" s="112" t="s">
        <v>118</v>
      </c>
      <c r="K273" s="113">
        <f>K274+K278+K291</f>
        <v>82.78</v>
      </c>
      <c r="L273" s="203"/>
      <c r="M273" s="197"/>
      <c r="N273" s="203">
        <f>ROUND($L$273*$K$273,2)</f>
        <v>0</v>
      </c>
      <c r="O273" s="197"/>
      <c r="P273" s="197"/>
      <c r="Q273" s="197"/>
      <c r="R273" s="17"/>
      <c r="T273" s="114"/>
      <c r="U273" s="23" t="s">
        <v>33</v>
      </c>
      <c r="V273" s="115">
        <v>0.195</v>
      </c>
      <c r="W273" s="115">
        <f>$V$273*$K$273</f>
        <v>16.1421</v>
      </c>
      <c r="X273" s="115">
        <v>0</v>
      </c>
      <c r="Y273" s="115">
        <f>$X$273*$K$273</f>
        <v>0</v>
      </c>
      <c r="Z273" s="115">
        <v>0.00167</v>
      </c>
      <c r="AA273" s="116">
        <f>$Z$273*$K$273</f>
        <v>0.1382426</v>
      </c>
      <c r="AD273" s="3">
        <v>0.00287</v>
      </c>
      <c r="AE273" s="3">
        <f>K273*AD273</f>
        <v>0.23757860000000003</v>
      </c>
      <c r="AR273" s="3" t="s">
        <v>112</v>
      </c>
      <c r="AT273" s="3" t="s">
        <v>111</v>
      </c>
      <c r="AU273" s="3" t="s">
        <v>93</v>
      </c>
      <c r="AY273" s="3" t="s">
        <v>110</v>
      </c>
      <c r="BE273" s="89">
        <f>IF($U$273="základní",$N$273,0)</f>
        <v>0</v>
      </c>
      <c r="BF273" s="89">
        <f>IF($U$273="snížená",$N$273,0)</f>
        <v>0</v>
      </c>
      <c r="BG273" s="89">
        <f>IF($U$273="zákl. přenesená",$N$273,0)</f>
        <v>0</v>
      </c>
      <c r="BH273" s="89">
        <f>IF($U$273="sníž. přenesená",$N$273,0)</f>
        <v>0</v>
      </c>
      <c r="BI273" s="89">
        <f>IF($U$273="nulová",$N$273,0)</f>
        <v>0</v>
      </c>
      <c r="BJ273" s="3" t="s">
        <v>93</v>
      </c>
      <c r="BK273" s="89">
        <f>ROUND($L$273*$K$273,2)</f>
        <v>0</v>
      </c>
      <c r="BL273" s="3" t="s">
        <v>112</v>
      </c>
      <c r="BM273" s="3" t="s">
        <v>153</v>
      </c>
    </row>
    <row r="274" spans="2:51" s="3" customFormat="1" ht="15" customHeight="1">
      <c r="B274" s="117"/>
      <c r="C274" s="135"/>
      <c r="D274" s="135"/>
      <c r="E274" s="141"/>
      <c r="F274" s="198" t="s">
        <v>230</v>
      </c>
      <c r="G274" s="199"/>
      <c r="H274" s="199"/>
      <c r="I274" s="199"/>
      <c r="J274" s="135"/>
      <c r="K274" s="142">
        <f>K275+K277</f>
        <v>23.3</v>
      </c>
      <c r="L274" s="135"/>
      <c r="M274" s="135"/>
      <c r="N274" s="135"/>
      <c r="O274" s="135"/>
      <c r="P274" s="135"/>
      <c r="Q274" s="135"/>
      <c r="R274" s="119"/>
      <c r="T274" s="120"/>
      <c r="AA274" s="121"/>
      <c r="AT274" s="118" t="s">
        <v>113</v>
      </c>
      <c r="AU274" s="118" t="s">
        <v>93</v>
      </c>
      <c r="AV274" s="118" t="s">
        <v>12</v>
      </c>
      <c r="AW274" s="118" t="s">
        <v>84</v>
      </c>
      <c r="AX274" s="118" t="s">
        <v>66</v>
      </c>
      <c r="AY274" s="118" t="s">
        <v>110</v>
      </c>
    </row>
    <row r="275" spans="2:51" s="3" customFormat="1" ht="15" customHeight="1">
      <c r="B275" s="122"/>
      <c r="C275" s="135"/>
      <c r="D275" s="135"/>
      <c r="E275" s="143"/>
      <c r="F275" s="200" t="s">
        <v>259</v>
      </c>
      <c r="G275" s="200"/>
      <c r="H275" s="200"/>
      <c r="I275" s="200"/>
      <c r="J275" s="135"/>
      <c r="K275" s="144">
        <f>0.95*8+0.7*2+1*2+1.05*4+0.65*2</f>
        <v>16.5</v>
      </c>
      <c r="L275" s="135"/>
      <c r="M275" s="135"/>
      <c r="N275" s="135"/>
      <c r="O275" s="135"/>
      <c r="P275" s="135"/>
      <c r="Q275" s="135"/>
      <c r="R275" s="125"/>
      <c r="T275" s="126"/>
      <c r="AA275" s="127"/>
      <c r="AT275" s="123" t="s">
        <v>113</v>
      </c>
      <c r="AU275" s="123" t="s">
        <v>93</v>
      </c>
      <c r="AV275" s="123" t="s">
        <v>93</v>
      </c>
      <c r="AW275" s="123" t="s">
        <v>84</v>
      </c>
      <c r="AX275" s="123" t="s">
        <v>66</v>
      </c>
      <c r="AY275" s="123" t="s">
        <v>110</v>
      </c>
    </row>
    <row r="276" spans="2:51" s="3" customFormat="1" ht="15" customHeight="1">
      <c r="B276" s="122"/>
      <c r="C276" s="135"/>
      <c r="D276" s="135"/>
      <c r="E276" s="143"/>
      <c r="F276" s="200" t="s">
        <v>231</v>
      </c>
      <c r="G276" s="200"/>
      <c r="H276" s="200"/>
      <c r="I276" s="200"/>
      <c r="J276" s="135"/>
      <c r="K276" s="144"/>
      <c r="L276" s="135"/>
      <c r="M276" s="135"/>
      <c r="N276" s="135"/>
      <c r="O276" s="135"/>
      <c r="P276" s="135"/>
      <c r="Q276" s="135"/>
      <c r="R276" s="125"/>
      <c r="T276" s="126"/>
      <c r="AA276" s="127"/>
      <c r="AT276" s="123" t="s">
        <v>113</v>
      </c>
      <c r="AU276" s="123" t="s">
        <v>93</v>
      </c>
      <c r="AV276" s="123" t="s">
        <v>93</v>
      </c>
      <c r="AW276" s="123" t="s">
        <v>84</v>
      </c>
      <c r="AX276" s="123" t="s">
        <v>66</v>
      </c>
      <c r="AY276" s="123" t="s">
        <v>110</v>
      </c>
    </row>
    <row r="277" spans="2:51" s="3" customFormat="1" ht="15" customHeight="1">
      <c r="B277" s="122"/>
      <c r="C277" s="135"/>
      <c r="D277" s="135"/>
      <c r="E277" s="143"/>
      <c r="F277" s="200" t="s">
        <v>260</v>
      </c>
      <c r="G277" s="200"/>
      <c r="H277" s="200"/>
      <c r="I277" s="200"/>
      <c r="J277" s="135"/>
      <c r="K277" s="144">
        <f>0.95+(0.5*2+0.95)*3</f>
        <v>6.8</v>
      </c>
      <c r="L277" s="135"/>
      <c r="M277" s="135"/>
      <c r="N277" s="135"/>
      <c r="O277" s="135"/>
      <c r="P277" s="135"/>
      <c r="Q277" s="135"/>
      <c r="R277" s="125"/>
      <c r="T277" s="126"/>
      <c r="AA277" s="127"/>
      <c r="AT277" s="123" t="s">
        <v>113</v>
      </c>
      <c r="AU277" s="123" t="s">
        <v>93</v>
      </c>
      <c r="AV277" s="123" t="s">
        <v>93</v>
      </c>
      <c r="AW277" s="123" t="s">
        <v>84</v>
      </c>
      <c r="AX277" s="123" t="s">
        <v>66</v>
      </c>
      <c r="AY277" s="123" t="s">
        <v>110</v>
      </c>
    </row>
    <row r="278" spans="2:51" s="3" customFormat="1" ht="15" customHeight="1">
      <c r="B278" s="117"/>
      <c r="C278" s="135"/>
      <c r="D278" s="135"/>
      <c r="E278" s="141"/>
      <c r="F278" s="198" t="s">
        <v>229</v>
      </c>
      <c r="G278" s="199"/>
      <c r="H278" s="199"/>
      <c r="I278" s="199"/>
      <c r="J278" s="135"/>
      <c r="K278" s="142">
        <f>K280+K282+K284+K286+K288+K290</f>
        <v>51.37</v>
      </c>
      <c r="L278" s="135"/>
      <c r="M278" s="135"/>
      <c r="N278" s="135"/>
      <c r="O278" s="135"/>
      <c r="P278" s="135"/>
      <c r="Q278" s="135"/>
      <c r="R278" s="119"/>
      <c r="T278" s="120"/>
      <c r="AA278" s="121"/>
      <c r="AT278" s="118" t="s">
        <v>113</v>
      </c>
      <c r="AU278" s="118" t="s">
        <v>93</v>
      </c>
      <c r="AV278" s="118" t="s">
        <v>12</v>
      </c>
      <c r="AW278" s="118" t="s">
        <v>84</v>
      </c>
      <c r="AX278" s="118" t="s">
        <v>66</v>
      </c>
      <c r="AY278" s="118" t="s">
        <v>110</v>
      </c>
    </row>
    <row r="279" spans="2:51" s="3" customFormat="1" ht="15" customHeight="1">
      <c r="B279" s="117"/>
      <c r="C279" s="135"/>
      <c r="E279" s="118"/>
      <c r="F279" s="210" t="s">
        <v>172</v>
      </c>
      <c r="G279" s="211"/>
      <c r="H279" s="211"/>
      <c r="I279" s="211"/>
      <c r="K279" s="132"/>
      <c r="R279" s="119"/>
      <c r="T279" s="120"/>
      <c r="AA279" s="121"/>
      <c r="AT279" s="118" t="s">
        <v>113</v>
      </c>
      <c r="AU279" s="118" t="s">
        <v>93</v>
      </c>
      <c r="AV279" s="118" t="s">
        <v>12</v>
      </c>
      <c r="AW279" s="118" t="s">
        <v>84</v>
      </c>
      <c r="AX279" s="118" t="s">
        <v>66</v>
      </c>
      <c r="AY279" s="118" t="s">
        <v>110</v>
      </c>
    </row>
    <row r="280" spans="2:51" s="3" customFormat="1" ht="15" customHeight="1">
      <c r="B280" s="122"/>
      <c r="C280" s="135"/>
      <c r="D280" s="135"/>
      <c r="E280" s="143"/>
      <c r="F280" s="200" t="s">
        <v>261</v>
      </c>
      <c r="G280" s="214"/>
      <c r="H280" s="214"/>
      <c r="I280" s="214"/>
      <c r="J280" s="135"/>
      <c r="K280" s="144">
        <f>0.51+0.95+1*2+1.31*2+0.65+1.3</f>
        <v>8.030000000000001</v>
      </c>
      <c r="L280" s="135"/>
      <c r="M280" s="135"/>
      <c r="N280" s="135"/>
      <c r="O280" s="135"/>
      <c r="P280" s="135"/>
      <c r="Q280" s="135"/>
      <c r="R280" s="125"/>
      <c r="T280" s="126"/>
      <c r="AA280" s="127"/>
      <c r="AT280" s="123" t="s">
        <v>113</v>
      </c>
      <c r="AU280" s="123" t="s">
        <v>93</v>
      </c>
      <c r="AV280" s="123" t="s">
        <v>93</v>
      </c>
      <c r="AW280" s="123" t="s">
        <v>84</v>
      </c>
      <c r="AX280" s="123" t="s">
        <v>66</v>
      </c>
      <c r="AY280" s="123" t="s">
        <v>110</v>
      </c>
    </row>
    <row r="281" spans="2:51" s="3" customFormat="1" ht="15" customHeight="1">
      <c r="B281" s="117"/>
      <c r="C281" s="135"/>
      <c r="E281" s="118"/>
      <c r="F281" s="210" t="s">
        <v>173</v>
      </c>
      <c r="G281" s="211"/>
      <c r="H281" s="211"/>
      <c r="I281" s="211"/>
      <c r="K281" s="132"/>
      <c r="R281" s="119"/>
      <c r="T281" s="120"/>
      <c r="AA281" s="121"/>
      <c r="AT281" s="118" t="s">
        <v>113</v>
      </c>
      <c r="AU281" s="118" t="s">
        <v>93</v>
      </c>
      <c r="AV281" s="118" t="s">
        <v>12</v>
      </c>
      <c r="AW281" s="118" t="s">
        <v>84</v>
      </c>
      <c r="AX281" s="118" t="s">
        <v>66</v>
      </c>
      <c r="AY281" s="118" t="s">
        <v>110</v>
      </c>
    </row>
    <row r="282" spans="2:51" s="3" customFormat="1" ht="15" customHeight="1">
      <c r="B282" s="122"/>
      <c r="C282" s="135"/>
      <c r="D282" s="135"/>
      <c r="E282" s="143"/>
      <c r="F282" s="200" t="s">
        <v>268</v>
      </c>
      <c r="G282" s="214"/>
      <c r="H282" s="214"/>
      <c r="I282" s="214"/>
      <c r="J282" s="135"/>
      <c r="K282" s="144">
        <f>0.51+0.98+1*2+1.31*2+0.65+1.8+1.04*2+2.26</f>
        <v>12.9</v>
      </c>
      <c r="L282" s="135"/>
      <c r="M282" s="135"/>
      <c r="N282" s="135"/>
      <c r="O282" s="135"/>
      <c r="P282" s="135"/>
      <c r="Q282" s="135"/>
      <c r="R282" s="125"/>
      <c r="T282" s="126"/>
      <c r="AA282" s="127"/>
      <c r="AT282" s="123" t="s">
        <v>113</v>
      </c>
      <c r="AU282" s="123" t="s">
        <v>93</v>
      </c>
      <c r="AV282" s="123" t="s">
        <v>93</v>
      </c>
      <c r="AW282" s="123" t="s">
        <v>84</v>
      </c>
      <c r="AX282" s="123" t="s">
        <v>66</v>
      </c>
      <c r="AY282" s="123" t="s">
        <v>110</v>
      </c>
    </row>
    <row r="283" spans="2:51" s="3" customFormat="1" ht="15" customHeight="1">
      <c r="B283" s="117"/>
      <c r="C283" s="135"/>
      <c r="E283" s="118"/>
      <c r="F283" s="210" t="s">
        <v>174</v>
      </c>
      <c r="G283" s="211"/>
      <c r="H283" s="211"/>
      <c r="I283" s="211"/>
      <c r="K283" s="132"/>
      <c r="R283" s="119"/>
      <c r="T283" s="120"/>
      <c r="AA283" s="121"/>
      <c r="AT283" s="118" t="s">
        <v>113</v>
      </c>
      <c r="AU283" s="118" t="s">
        <v>93</v>
      </c>
      <c r="AV283" s="118" t="s">
        <v>12</v>
      </c>
      <c r="AW283" s="118" t="s">
        <v>84</v>
      </c>
      <c r="AX283" s="118" t="s">
        <v>66</v>
      </c>
      <c r="AY283" s="118" t="s">
        <v>110</v>
      </c>
    </row>
    <row r="284" spans="2:51" s="3" customFormat="1" ht="15" customHeight="1">
      <c r="B284" s="122"/>
      <c r="C284" s="135"/>
      <c r="D284" s="135"/>
      <c r="E284" s="143"/>
      <c r="F284" s="200" t="s">
        <v>262</v>
      </c>
      <c r="G284" s="214"/>
      <c r="H284" s="214"/>
      <c r="I284" s="214"/>
      <c r="J284" s="135"/>
      <c r="K284" s="144">
        <f>0.57+0.98+1.07+1.31*2+1+0.65+0.75+0.65*2</f>
        <v>8.940000000000001</v>
      </c>
      <c r="L284" s="135"/>
      <c r="M284" s="135"/>
      <c r="N284" s="135"/>
      <c r="O284" s="135"/>
      <c r="P284" s="135"/>
      <c r="Q284" s="135"/>
      <c r="R284" s="125"/>
      <c r="T284" s="126"/>
      <c r="AA284" s="127"/>
      <c r="AT284" s="123" t="s">
        <v>113</v>
      </c>
      <c r="AU284" s="123" t="s">
        <v>93</v>
      </c>
      <c r="AV284" s="123" t="s">
        <v>93</v>
      </c>
      <c r="AW284" s="123" t="s">
        <v>84</v>
      </c>
      <c r="AX284" s="123" t="s">
        <v>66</v>
      </c>
      <c r="AY284" s="123" t="s">
        <v>110</v>
      </c>
    </row>
    <row r="285" spans="2:51" s="3" customFormat="1" ht="15" customHeight="1">
      <c r="B285" s="117"/>
      <c r="C285" s="135"/>
      <c r="E285" s="118"/>
      <c r="F285" s="210" t="s">
        <v>175</v>
      </c>
      <c r="G285" s="211"/>
      <c r="H285" s="211"/>
      <c r="I285" s="211"/>
      <c r="K285" s="132"/>
      <c r="R285" s="119"/>
      <c r="T285" s="120"/>
      <c r="AA285" s="121"/>
      <c r="AT285" s="118" t="s">
        <v>113</v>
      </c>
      <c r="AU285" s="118" t="s">
        <v>93</v>
      </c>
      <c r="AV285" s="118" t="s">
        <v>12</v>
      </c>
      <c r="AW285" s="118" t="s">
        <v>84</v>
      </c>
      <c r="AX285" s="118" t="s">
        <v>66</v>
      </c>
      <c r="AY285" s="118" t="s">
        <v>110</v>
      </c>
    </row>
    <row r="286" spans="2:51" s="3" customFormat="1" ht="15" customHeight="1">
      <c r="B286" s="122"/>
      <c r="C286" s="135"/>
      <c r="D286" s="135"/>
      <c r="E286" s="143"/>
      <c r="F286" s="200" t="s">
        <v>262</v>
      </c>
      <c r="G286" s="214"/>
      <c r="H286" s="214"/>
      <c r="I286" s="214"/>
      <c r="J286" s="135"/>
      <c r="K286" s="144">
        <f>0.57+0.98+1.07+1.31*2+1+0.65+0.75+0.65*2</f>
        <v>8.940000000000001</v>
      </c>
      <c r="L286" s="135"/>
      <c r="M286" s="135"/>
      <c r="N286" s="135"/>
      <c r="O286" s="135"/>
      <c r="P286" s="135"/>
      <c r="Q286" s="135"/>
      <c r="R286" s="125"/>
      <c r="T286" s="126"/>
      <c r="AA286" s="127"/>
      <c r="AT286" s="123" t="s">
        <v>113</v>
      </c>
      <c r="AU286" s="123" t="s">
        <v>93</v>
      </c>
      <c r="AV286" s="123" t="s">
        <v>93</v>
      </c>
      <c r="AW286" s="123" t="s">
        <v>84</v>
      </c>
      <c r="AX286" s="123" t="s">
        <v>66</v>
      </c>
      <c r="AY286" s="123" t="s">
        <v>110</v>
      </c>
    </row>
    <row r="287" spans="2:51" s="3" customFormat="1" ht="15" customHeight="1">
      <c r="B287" s="117"/>
      <c r="C287" s="135"/>
      <c r="E287" s="118"/>
      <c r="F287" s="210" t="s">
        <v>176</v>
      </c>
      <c r="G287" s="211"/>
      <c r="H287" s="211"/>
      <c r="I287" s="211"/>
      <c r="K287" s="132"/>
      <c r="R287" s="119"/>
      <c r="T287" s="120"/>
      <c r="AA287" s="121"/>
      <c r="AT287" s="118" t="s">
        <v>113</v>
      </c>
      <c r="AU287" s="118" t="s">
        <v>93</v>
      </c>
      <c r="AV287" s="118" t="s">
        <v>12</v>
      </c>
      <c r="AW287" s="118" t="s">
        <v>84</v>
      </c>
      <c r="AX287" s="118" t="s">
        <v>66</v>
      </c>
      <c r="AY287" s="118" t="s">
        <v>110</v>
      </c>
    </row>
    <row r="288" spans="2:51" s="3" customFormat="1" ht="15" customHeight="1">
      <c r="B288" s="122"/>
      <c r="C288" s="135"/>
      <c r="D288" s="135"/>
      <c r="E288" s="143"/>
      <c r="F288" s="200" t="s">
        <v>262</v>
      </c>
      <c r="G288" s="214"/>
      <c r="H288" s="214"/>
      <c r="I288" s="214"/>
      <c r="J288" s="135"/>
      <c r="K288" s="144">
        <f>0.57+0.98+1.07+1.31*2+1+0.65+0.75+0.65*2</f>
        <v>8.940000000000001</v>
      </c>
      <c r="L288" s="135"/>
      <c r="M288" s="135"/>
      <c r="N288" s="135"/>
      <c r="O288" s="135"/>
      <c r="P288" s="135"/>
      <c r="Q288" s="135"/>
      <c r="R288" s="125"/>
      <c r="T288" s="126"/>
      <c r="AA288" s="127"/>
      <c r="AT288" s="123" t="s">
        <v>113</v>
      </c>
      <c r="AU288" s="123" t="s">
        <v>93</v>
      </c>
      <c r="AV288" s="123" t="s">
        <v>93</v>
      </c>
      <c r="AW288" s="123" t="s">
        <v>84</v>
      </c>
      <c r="AX288" s="123" t="s">
        <v>66</v>
      </c>
      <c r="AY288" s="123" t="s">
        <v>110</v>
      </c>
    </row>
    <row r="289" spans="2:51" s="3" customFormat="1" ht="15" customHeight="1">
      <c r="B289" s="117"/>
      <c r="C289" s="135"/>
      <c r="E289" s="118"/>
      <c r="F289" s="210" t="s">
        <v>235</v>
      </c>
      <c r="G289" s="211"/>
      <c r="H289" s="211"/>
      <c r="I289" s="211"/>
      <c r="K289" s="132"/>
      <c r="R289" s="119"/>
      <c r="T289" s="120"/>
      <c r="AA289" s="121"/>
      <c r="AT289" s="118" t="s">
        <v>113</v>
      </c>
      <c r="AU289" s="118" t="s">
        <v>93</v>
      </c>
      <c r="AV289" s="118" t="s">
        <v>12</v>
      </c>
      <c r="AW289" s="118" t="s">
        <v>84</v>
      </c>
      <c r="AX289" s="118" t="s">
        <v>66</v>
      </c>
      <c r="AY289" s="118" t="s">
        <v>110</v>
      </c>
    </row>
    <row r="290" spans="2:51" s="3" customFormat="1" ht="15" customHeight="1">
      <c r="B290" s="122"/>
      <c r="C290" s="135"/>
      <c r="D290" s="135"/>
      <c r="E290" s="143"/>
      <c r="F290" s="200" t="s">
        <v>263</v>
      </c>
      <c r="G290" s="214"/>
      <c r="H290" s="214"/>
      <c r="I290" s="214"/>
      <c r="J290" s="135"/>
      <c r="K290" s="144">
        <f>1.31*2+1</f>
        <v>3.62</v>
      </c>
      <c r="L290" s="135"/>
      <c r="M290" s="135"/>
      <c r="N290" s="135"/>
      <c r="O290" s="135"/>
      <c r="P290" s="135"/>
      <c r="Q290" s="135"/>
      <c r="R290" s="125"/>
      <c r="T290" s="126"/>
      <c r="AA290" s="127"/>
      <c r="AT290" s="123" t="s">
        <v>113</v>
      </c>
      <c r="AU290" s="123" t="s">
        <v>93</v>
      </c>
      <c r="AV290" s="123" t="s">
        <v>93</v>
      </c>
      <c r="AW290" s="123" t="s">
        <v>84</v>
      </c>
      <c r="AX290" s="123" t="s">
        <v>66</v>
      </c>
      <c r="AY290" s="123" t="s">
        <v>110</v>
      </c>
    </row>
    <row r="291" spans="2:51" s="3" customFormat="1" ht="18.75" customHeight="1">
      <c r="B291" s="117"/>
      <c r="C291" s="135"/>
      <c r="D291" s="135"/>
      <c r="E291" s="141"/>
      <c r="F291" s="198" t="s">
        <v>320</v>
      </c>
      <c r="G291" s="199"/>
      <c r="H291" s="199"/>
      <c r="I291" s="199"/>
      <c r="J291" s="135"/>
      <c r="K291" s="142">
        <f>K292</f>
        <v>8.11</v>
      </c>
      <c r="L291" s="135"/>
      <c r="M291" s="135"/>
      <c r="N291" s="135"/>
      <c r="O291" s="135"/>
      <c r="P291" s="135"/>
      <c r="Q291" s="135"/>
      <c r="R291" s="119"/>
      <c r="T291" s="120"/>
      <c r="AA291" s="121"/>
      <c r="AT291" s="118" t="s">
        <v>113</v>
      </c>
      <c r="AU291" s="118" t="s">
        <v>93</v>
      </c>
      <c r="AV291" s="118" t="s">
        <v>12</v>
      </c>
      <c r="AW291" s="118" t="s">
        <v>84</v>
      </c>
      <c r="AX291" s="118" t="s">
        <v>66</v>
      </c>
      <c r="AY291" s="118" t="s">
        <v>110</v>
      </c>
    </row>
    <row r="292" spans="2:51" s="3" customFormat="1" ht="15" customHeight="1">
      <c r="B292" s="122"/>
      <c r="C292" s="135"/>
      <c r="D292" s="135"/>
      <c r="E292" s="143"/>
      <c r="F292" s="200" t="s">
        <v>325</v>
      </c>
      <c r="G292" s="200"/>
      <c r="H292" s="200"/>
      <c r="I292" s="200"/>
      <c r="J292" s="135"/>
      <c r="K292" s="144">
        <f>2.21+0.8*2+2.05+2.25</f>
        <v>8.11</v>
      </c>
      <c r="L292" s="135"/>
      <c r="M292" s="135"/>
      <c r="N292" s="135"/>
      <c r="O292" s="135"/>
      <c r="P292" s="135"/>
      <c r="Q292" s="135"/>
      <c r="R292" s="125"/>
      <c r="T292" s="126"/>
      <c r="AA292" s="127"/>
      <c r="AT292" s="123" t="s">
        <v>113</v>
      </c>
      <c r="AU292" s="123" t="s">
        <v>93</v>
      </c>
      <c r="AV292" s="123" t="s">
        <v>93</v>
      </c>
      <c r="AW292" s="123" t="s">
        <v>84</v>
      </c>
      <c r="AX292" s="123" t="s">
        <v>66</v>
      </c>
      <c r="AY292" s="123" t="s">
        <v>110</v>
      </c>
    </row>
    <row r="293" spans="2:65" s="3" customFormat="1" ht="15.75" customHeight="1">
      <c r="B293" s="16"/>
      <c r="C293" s="133">
        <v>40</v>
      </c>
      <c r="D293" s="110" t="s">
        <v>111</v>
      </c>
      <c r="E293" s="130" t="s">
        <v>185</v>
      </c>
      <c r="F293" s="196" t="s">
        <v>186</v>
      </c>
      <c r="G293" s="197"/>
      <c r="H293" s="197"/>
      <c r="I293" s="197"/>
      <c r="J293" s="112" t="s">
        <v>118</v>
      </c>
      <c r="K293" s="113">
        <f>K294+K298</f>
        <v>186.64</v>
      </c>
      <c r="L293" s="203"/>
      <c r="M293" s="197"/>
      <c r="N293" s="203">
        <f>K293*L293</f>
        <v>0</v>
      </c>
      <c r="O293" s="197"/>
      <c r="P293" s="197"/>
      <c r="Q293" s="197"/>
      <c r="R293" s="17"/>
      <c r="T293" s="114"/>
      <c r="U293" s="23" t="s">
        <v>33</v>
      </c>
      <c r="V293" s="115">
        <v>0.195</v>
      </c>
      <c r="W293" s="115" t="e">
        <f>#REF!*#REF!</f>
        <v>#REF!</v>
      </c>
      <c r="X293" s="115">
        <v>0</v>
      </c>
      <c r="Y293" s="115" t="e">
        <f>#REF!*#REF!</f>
        <v>#REF!</v>
      </c>
      <c r="Z293" s="115">
        <v>0.00167</v>
      </c>
      <c r="AA293" s="116" t="e">
        <f>#REF!*#REF!</f>
        <v>#REF!</v>
      </c>
      <c r="AD293" s="3">
        <v>0.00175</v>
      </c>
      <c r="AE293" s="3">
        <f>K293*AD293</f>
        <v>0.32661999999999997</v>
      </c>
      <c r="AR293" s="3" t="s">
        <v>112</v>
      </c>
      <c r="AT293" s="3" t="s">
        <v>111</v>
      </c>
      <c r="AU293" s="3" t="s">
        <v>93</v>
      </c>
      <c r="AY293" s="3" t="s">
        <v>110</v>
      </c>
      <c r="BE293" s="89" t="e">
        <f>IF(#REF!="základní",#REF!,0)</f>
        <v>#REF!</v>
      </c>
      <c r="BF293" s="89" t="e">
        <f>IF(#REF!="snížená",#REF!,0)</f>
        <v>#REF!</v>
      </c>
      <c r="BG293" s="89" t="e">
        <f>IF(#REF!="zákl. přenesená",#REF!,0)</f>
        <v>#REF!</v>
      </c>
      <c r="BH293" s="89" t="e">
        <f>IF(#REF!="sníž. přenesená",#REF!,0)</f>
        <v>#REF!</v>
      </c>
      <c r="BI293" s="89" t="e">
        <f>IF(#REF!="nulová",#REF!,0)</f>
        <v>#REF!</v>
      </c>
      <c r="BJ293" s="3" t="s">
        <v>93</v>
      </c>
      <c r="BK293" s="89" t="e">
        <f>ROUND(#REF!*#REF!,2)</f>
        <v>#REF!</v>
      </c>
      <c r="BL293" s="3" t="s">
        <v>112</v>
      </c>
      <c r="BM293" s="3" t="s">
        <v>153</v>
      </c>
    </row>
    <row r="294" spans="2:51" s="3" customFormat="1" ht="15" customHeight="1">
      <c r="B294" s="117"/>
      <c r="C294" s="135"/>
      <c r="D294" s="135"/>
      <c r="E294" s="141"/>
      <c r="F294" s="198" t="s">
        <v>230</v>
      </c>
      <c r="G294" s="199"/>
      <c r="H294" s="199"/>
      <c r="I294" s="199"/>
      <c r="J294" s="135"/>
      <c r="K294" s="142">
        <f>K295+K297</f>
        <v>67.805</v>
      </c>
      <c r="L294" s="135"/>
      <c r="M294" s="135"/>
      <c r="N294" s="135"/>
      <c r="O294" s="135"/>
      <c r="P294" s="135"/>
      <c r="Q294" s="135"/>
      <c r="R294" s="119"/>
      <c r="T294" s="120"/>
      <c r="AA294" s="121"/>
      <c r="AT294" s="118" t="s">
        <v>113</v>
      </c>
      <c r="AU294" s="118" t="s">
        <v>93</v>
      </c>
      <c r="AV294" s="118" t="s">
        <v>12</v>
      </c>
      <c r="AW294" s="118" t="s">
        <v>84</v>
      </c>
      <c r="AX294" s="118" t="s">
        <v>66</v>
      </c>
      <c r="AY294" s="118" t="s">
        <v>110</v>
      </c>
    </row>
    <row r="295" spans="2:51" s="3" customFormat="1" ht="15" customHeight="1">
      <c r="B295" s="122"/>
      <c r="C295" s="135"/>
      <c r="D295" s="135"/>
      <c r="E295" s="143"/>
      <c r="F295" s="200" t="s">
        <v>274</v>
      </c>
      <c r="G295" s="200"/>
      <c r="H295" s="200"/>
      <c r="I295" s="200"/>
      <c r="J295" s="135"/>
      <c r="K295" s="144">
        <f>14.115+0.405*2+1.2*6+1.2*1.3*2</f>
        <v>25.245</v>
      </c>
      <c r="L295" s="135"/>
      <c r="M295" s="135"/>
      <c r="N295" s="135"/>
      <c r="O295" s="135"/>
      <c r="P295" s="135"/>
      <c r="Q295" s="135"/>
      <c r="R295" s="125"/>
      <c r="T295" s="126"/>
      <c r="AA295" s="127"/>
      <c r="AT295" s="123" t="s">
        <v>113</v>
      </c>
      <c r="AU295" s="123" t="s">
        <v>93</v>
      </c>
      <c r="AV295" s="123" t="s">
        <v>93</v>
      </c>
      <c r="AW295" s="123" t="s">
        <v>84</v>
      </c>
      <c r="AX295" s="123" t="s">
        <v>66</v>
      </c>
      <c r="AY295" s="123" t="s">
        <v>110</v>
      </c>
    </row>
    <row r="296" spans="2:51" s="3" customFormat="1" ht="15" customHeight="1">
      <c r="B296" s="122"/>
      <c r="C296" s="135"/>
      <c r="D296" s="135"/>
      <c r="E296" s="143"/>
      <c r="F296" s="200" t="s">
        <v>231</v>
      </c>
      <c r="G296" s="200"/>
      <c r="H296" s="200"/>
      <c r="I296" s="200"/>
      <c r="J296" s="135"/>
      <c r="K296" s="144"/>
      <c r="L296" s="135"/>
      <c r="M296" s="135"/>
      <c r="N296" s="135"/>
      <c r="O296" s="135"/>
      <c r="P296" s="135"/>
      <c r="Q296" s="135"/>
      <c r="R296" s="125"/>
      <c r="T296" s="126"/>
      <c r="AA296" s="127"/>
      <c r="AT296" s="123" t="s">
        <v>113</v>
      </c>
      <c r="AU296" s="123" t="s">
        <v>93</v>
      </c>
      <c r="AV296" s="123" t="s">
        <v>93</v>
      </c>
      <c r="AW296" s="123" t="s">
        <v>84</v>
      </c>
      <c r="AX296" s="123" t="s">
        <v>66</v>
      </c>
      <c r="AY296" s="123" t="s">
        <v>110</v>
      </c>
    </row>
    <row r="297" spans="2:51" s="3" customFormat="1" ht="15" customHeight="1">
      <c r="B297" s="122"/>
      <c r="C297" s="135"/>
      <c r="D297" s="135"/>
      <c r="E297" s="143"/>
      <c r="F297" s="200" t="s">
        <v>273</v>
      </c>
      <c r="G297" s="200"/>
      <c r="H297" s="200"/>
      <c r="I297" s="200"/>
      <c r="J297" s="135"/>
      <c r="K297" s="144">
        <f>(1.35*2+2.82)*5+(0.65+0.98)*2+4.5+1.2+6</f>
        <v>42.56</v>
      </c>
      <c r="L297" s="135"/>
      <c r="M297" s="135"/>
      <c r="N297" s="135"/>
      <c r="O297" s="135"/>
      <c r="P297" s="135"/>
      <c r="Q297" s="135"/>
      <c r="R297" s="125"/>
      <c r="T297" s="126"/>
      <c r="AA297" s="127"/>
      <c r="AT297" s="123" t="s">
        <v>113</v>
      </c>
      <c r="AU297" s="123" t="s">
        <v>93</v>
      </c>
      <c r="AV297" s="123" t="s">
        <v>93</v>
      </c>
      <c r="AW297" s="123" t="s">
        <v>84</v>
      </c>
      <c r="AX297" s="123" t="s">
        <v>66</v>
      </c>
      <c r="AY297" s="123" t="s">
        <v>110</v>
      </c>
    </row>
    <row r="298" spans="2:51" s="3" customFormat="1" ht="15" customHeight="1">
      <c r="B298" s="117"/>
      <c r="C298" s="135"/>
      <c r="D298" s="135"/>
      <c r="E298" s="141"/>
      <c r="F298" s="198" t="s">
        <v>229</v>
      </c>
      <c r="G298" s="199"/>
      <c r="H298" s="199"/>
      <c r="I298" s="199"/>
      <c r="J298" s="135"/>
      <c r="K298" s="142">
        <f>K300+K302+K304+K307+K309</f>
        <v>118.835</v>
      </c>
      <c r="L298" s="135"/>
      <c r="M298" s="135"/>
      <c r="N298" s="135"/>
      <c r="O298" s="135"/>
      <c r="P298" s="135"/>
      <c r="Q298" s="135"/>
      <c r="R298" s="119"/>
      <c r="T298" s="120"/>
      <c r="AA298" s="121"/>
      <c r="AT298" s="118" t="s">
        <v>113</v>
      </c>
      <c r="AU298" s="118" t="s">
        <v>93</v>
      </c>
      <c r="AV298" s="118" t="s">
        <v>12</v>
      </c>
      <c r="AW298" s="118" t="s">
        <v>84</v>
      </c>
      <c r="AX298" s="118" t="s">
        <v>66</v>
      </c>
      <c r="AY298" s="118" t="s">
        <v>110</v>
      </c>
    </row>
    <row r="299" spans="2:51" s="3" customFormat="1" ht="15" customHeight="1">
      <c r="B299" s="117"/>
      <c r="C299" s="135"/>
      <c r="E299" s="118"/>
      <c r="F299" s="210" t="s">
        <v>172</v>
      </c>
      <c r="G299" s="211"/>
      <c r="H299" s="211"/>
      <c r="I299" s="211"/>
      <c r="K299" s="132"/>
      <c r="R299" s="119"/>
      <c r="T299" s="120"/>
      <c r="AA299" s="121"/>
      <c r="AT299" s="118" t="s">
        <v>113</v>
      </c>
      <c r="AU299" s="118" t="s">
        <v>93</v>
      </c>
      <c r="AV299" s="118" t="s">
        <v>12</v>
      </c>
      <c r="AW299" s="118" t="s">
        <v>84</v>
      </c>
      <c r="AX299" s="118" t="s">
        <v>66</v>
      </c>
      <c r="AY299" s="118" t="s">
        <v>110</v>
      </c>
    </row>
    <row r="300" spans="2:51" s="3" customFormat="1" ht="15" customHeight="1">
      <c r="B300" s="122"/>
      <c r="C300" s="135"/>
      <c r="D300" s="135"/>
      <c r="E300" s="143"/>
      <c r="F300" s="200" t="s">
        <v>266</v>
      </c>
      <c r="G300" s="214"/>
      <c r="H300" s="214"/>
      <c r="I300" s="214"/>
      <c r="J300" s="135"/>
      <c r="K300" s="144">
        <f>1.5+4.23+7.41</f>
        <v>13.14</v>
      </c>
      <c r="L300" s="135"/>
      <c r="M300" s="135"/>
      <c r="N300" s="135"/>
      <c r="O300" s="135"/>
      <c r="P300" s="135"/>
      <c r="Q300" s="135"/>
      <c r="R300" s="125"/>
      <c r="T300" s="126"/>
      <c r="AA300" s="127"/>
      <c r="AT300" s="123" t="s">
        <v>113</v>
      </c>
      <c r="AU300" s="123" t="s">
        <v>93</v>
      </c>
      <c r="AV300" s="123" t="s">
        <v>93</v>
      </c>
      <c r="AW300" s="123" t="s">
        <v>84</v>
      </c>
      <c r="AX300" s="123" t="s">
        <v>66</v>
      </c>
      <c r="AY300" s="123" t="s">
        <v>110</v>
      </c>
    </row>
    <row r="301" spans="2:51" s="3" customFormat="1" ht="15" customHeight="1">
      <c r="B301" s="117"/>
      <c r="C301" s="135"/>
      <c r="E301" s="118"/>
      <c r="F301" s="210" t="s">
        <v>173</v>
      </c>
      <c r="G301" s="211"/>
      <c r="H301" s="211"/>
      <c r="I301" s="211"/>
      <c r="K301" s="132"/>
      <c r="R301" s="119"/>
      <c r="T301" s="120"/>
      <c r="AA301" s="121"/>
      <c r="AT301" s="118" t="s">
        <v>113</v>
      </c>
      <c r="AU301" s="118" t="s">
        <v>93</v>
      </c>
      <c r="AV301" s="118" t="s">
        <v>12</v>
      </c>
      <c r="AW301" s="118" t="s">
        <v>84</v>
      </c>
      <c r="AX301" s="118" t="s">
        <v>66</v>
      </c>
      <c r="AY301" s="118" t="s">
        <v>110</v>
      </c>
    </row>
    <row r="302" spans="2:51" s="3" customFormat="1" ht="15" customHeight="1">
      <c r="B302" s="122"/>
      <c r="C302" s="135"/>
      <c r="D302" s="135"/>
      <c r="E302" s="143"/>
      <c r="F302" s="200" t="s">
        <v>267</v>
      </c>
      <c r="G302" s="214"/>
      <c r="H302" s="214"/>
      <c r="I302" s="214"/>
      <c r="J302" s="135"/>
      <c r="K302" s="144">
        <f>1.52+0.53+1.04+0.425+11.67+4.34</f>
        <v>19.525</v>
      </c>
      <c r="L302" s="135"/>
      <c r="M302" s="135"/>
      <c r="N302" s="135"/>
      <c r="O302" s="135"/>
      <c r="P302" s="135"/>
      <c r="Q302" s="135"/>
      <c r="R302" s="125"/>
      <c r="T302" s="126"/>
      <c r="AA302" s="127"/>
      <c r="AT302" s="123" t="s">
        <v>113</v>
      </c>
      <c r="AU302" s="123" t="s">
        <v>93</v>
      </c>
      <c r="AV302" s="123" t="s">
        <v>93</v>
      </c>
      <c r="AW302" s="123" t="s">
        <v>84</v>
      </c>
      <c r="AX302" s="123" t="s">
        <v>66</v>
      </c>
      <c r="AY302" s="123" t="s">
        <v>110</v>
      </c>
    </row>
    <row r="303" spans="2:51" s="3" customFormat="1" ht="15" customHeight="1">
      <c r="B303" s="117"/>
      <c r="C303" s="135"/>
      <c r="E303" s="118"/>
      <c r="F303" s="210" t="s">
        <v>174</v>
      </c>
      <c r="G303" s="211"/>
      <c r="H303" s="211"/>
      <c r="I303" s="211"/>
      <c r="K303" s="132"/>
      <c r="R303" s="119"/>
      <c r="T303" s="120"/>
      <c r="AA303" s="121"/>
      <c r="AT303" s="118" t="s">
        <v>113</v>
      </c>
      <c r="AU303" s="118" t="s">
        <v>93</v>
      </c>
      <c r="AV303" s="118" t="s">
        <v>12</v>
      </c>
      <c r="AW303" s="118" t="s">
        <v>84</v>
      </c>
      <c r="AX303" s="118" t="s">
        <v>66</v>
      </c>
      <c r="AY303" s="118" t="s">
        <v>110</v>
      </c>
    </row>
    <row r="304" spans="2:51" s="3" customFormat="1" ht="30" customHeight="1">
      <c r="B304" s="122"/>
      <c r="C304" s="135"/>
      <c r="D304" s="135"/>
      <c r="E304" s="143"/>
      <c r="F304" s="200" t="s">
        <v>270</v>
      </c>
      <c r="G304" s="214"/>
      <c r="H304" s="214"/>
      <c r="I304" s="214"/>
      <c r="J304" s="135"/>
      <c r="K304" s="144">
        <f>1.52+0.53+1.04+0.425+11.67+3.16+1.755+2.26+1.04*2+2.955+0.96*2</f>
        <v>29.314999999999998</v>
      </c>
      <c r="L304" s="135"/>
      <c r="M304" s="135"/>
      <c r="N304" s="135"/>
      <c r="O304" s="135"/>
      <c r="P304" s="135"/>
      <c r="Q304" s="135"/>
      <c r="R304" s="125"/>
      <c r="T304" s="126"/>
      <c r="AA304" s="127"/>
      <c r="AT304" s="123" t="s">
        <v>113</v>
      </c>
      <c r="AU304" s="123" t="s">
        <v>93</v>
      </c>
      <c r="AV304" s="123" t="s">
        <v>93</v>
      </c>
      <c r="AW304" s="123" t="s">
        <v>84</v>
      </c>
      <c r="AX304" s="123" t="s">
        <v>66</v>
      </c>
      <c r="AY304" s="123" t="s">
        <v>110</v>
      </c>
    </row>
    <row r="305" spans="2:51" s="3" customFormat="1" ht="15" customHeight="1">
      <c r="B305" s="122"/>
      <c r="C305" s="135"/>
      <c r="D305" s="135"/>
      <c r="E305" s="143"/>
      <c r="F305" s="200" t="s">
        <v>269</v>
      </c>
      <c r="G305" s="214"/>
      <c r="H305" s="214"/>
      <c r="I305" s="214"/>
      <c r="J305" s="135"/>
      <c r="K305" s="144">
        <f>11.67+1.5*5+1.5*4*1.3</f>
        <v>26.970000000000002</v>
      </c>
      <c r="L305" s="135"/>
      <c r="M305" s="135"/>
      <c r="N305" s="135"/>
      <c r="O305" s="135"/>
      <c r="P305" s="135"/>
      <c r="Q305" s="135"/>
      <c r="R305" s="125"/>
      <c r="T305" s="126"/>
      <c r="AA305" s="127"/>
      <c r="AT305" s="123" t="s">
        <v>113</v>
      </c>
      <c r="AU305" s="123" t="s">
        <v>93</v>
      </c>
      <c r="AV305" s="123" t="s">
        <v>93</v>
      </c>
      <c r="AW305" s="123" t="s">
        <v>84</v>
      </c>
      <c r="AX305" s="123" t="s">
        <v>66</v>
      </c>
      <c r="AY305" s="123" t="s">
        <v>110</v>
      </c>
    </row>
    <row r="306" spans="2:51" s="3" customFormat="1" ht="15" customHeight="1">
      <c r="B306" s="117"/>
      <c r="C306" s="135"/>
      <c r="E306" s="118"/>
      <c r="F306" s="210" t="s">
        <v>175</v>
      </c>
      <c r="G306" s="211"/>
      <c r="H306" s="211"/>
      <c r="I306" s="211"/>
      <c r="K306" s="132"/>
      <c r="R306" s="119"/>
      <c r="T306" s="120"/>
      <c r="AA306" s="121"/>
      <c r="AT306" s="118" t="s">
        <v>113</v>
      </c>
      <c r="AU306" s="118" t="s">
        <v>93</v>
      </c>
      <c r="AV306" s="118" t="s">
        <v>12</v>
      </c>
      <c r="AW306" s="118" t="s">
        <v>84</v>
      </c>
      <c r="AX306" s="118" t="s">
        <v>66</v>
      </c>
      <c r="AY306" s="118" t="s">
        <v>110</v>
      </c>
    </row>
    <row r="307" spans="2:51" s="3" customFormat="1" ht="15" customHeight="1">
      <c r="B307" s="122"/>
      <c r="C307" s="135"/>
      <c r="D307" s="135"/>
      <c r="E307" s="143"/>
      <c r="F307" s="200" t="s">
        <v>271</v>
      </c>
      <c r="G307" s="214"/>
      <c r="H307" s="214"/>
      <c r="I307" s="214"/>
      <c r="J307" s="135"/>
      <c r="K307" s="144">
        <f>11.67+2.26+1.04*2+2.955+0.96*2</f>
        <v>20.884999999999998</v>
      </c>
      <c r="L307" s="135"/>
      <c r="M307" s="135"/>
      <c r="N307" s="135"/>
      <c r="O307" s="135"/>
      <c r="P307" s="135"/>
      <c r="Q307" s="135"/>
      <c r="R307" s="125"/>
      <c r="T307" s="126"/>
      <c r="AA307" s="127"/>
      <c r="AT307" s="123" t="s">
        <v>113</v>
      </c>
      <c r="AU307" s="123" t="s">
        <v>93</v>
      </c>
      <c r="AV307" s="123" t="s">
        <v>93</v>
      </c>
      <c r="AW307" s="123" t="s">
        <v>84</v>
      </c>
      <c r="AX307" s="123" t="s">
        <v>66</v>
      </c>
      <c r="AY307" s="123" t="s">
        <v>110</v>
      </c>
    </row>
    <row r="308" spans="2:51" s="3" customFormat="1" ht="15" customHeight="1">
      <c r="B308" s="117"/>
      <c r="C308" s="135"/>
      <c r="E308" s="118"/>
      <c r="F308" s="210" t="s">
        <v>176</v>
      </c>
      <c r="G308" s="211"/>
      <c r="H308" s="211"/>
      <c r="I308" s="211"/>
      <c r="K308" s="132"/>
      <c r="R308" s="119"/>
      <c r="T308" s="120"/>
      <c r="AA308" s="121"/>
      <c r="AT308" s="118" t="s">
        <v>113</v>
      </c>
      <c r="AU308" s="118" t="s">
        <v>93</v>
      </c>
      <c r="AV308" s="118" t="s">
        <v>12</v>
      </c>
      <c r="AW308" s="118" t="s">
        <v>84</v>
      </c>
      <c r="AX308" s="118" t="s">
        <v>66</v>
      </c>
      <c r="AY308" s="118" t="s">
        <v>110</v>
      </c>
    </row>
    <row r="309" spans="2:51" s="3" customFormat="1" ht="15" customHeight="1">
      <c r="B309" s="122"/>
      <c r="C309" s="135"/>
      <c r="D309" s="135"/>
      <c r="E309" s="143"/>
      <c r="F309" s="200" t="s">
        <v>272</v>
      </c>
      <c r="G309" s="214"/>
      <c r="H309" s="214"/>
      <c r="I309" s="214"/>
      <c r="J309" s="135"/>
      <c r="K309" s="144">
        <f>11.67*2+1.5*4+1.755+2.955+0.96*2</f>
        <v>35.97</v>
      </c>
      <c r="L309" s="135"/>
      <c r="M309" s="135"/>
      <c r="N309" s="135"/>
      <c r="O309" s="135"/>
      <c r="P309" s="135"/>
      <c r="Q309" s="135"/>
      <c r="R309" s="125"/>
      <c r="T309" s="126"/>
      <c r="AA309" s="127"/>
      <c r="AT309" s="123" t="s">
        <v>113</v>
      </c>
      <c r="AU309" s="123" t="s">
        <v>93</v>
      </c>
      <c r="AV309" s="123" t="s">
        <v>93</v>
      </c>
      <c r="AW309" s="123" t="s">
        <v>84</v>
      </c>
      <c r="AX309" s="123" t="s">
        <v>66</v>
      </c>
      <c r="AY309" s="123" t="s">
        <v>110</v>
      </c>
    </row>
    <row r="310" spans="2:63" s="100" customFormat="1" ht="30.75" customHeight="1">
      <c r="B310" s="101"/>
      <c r="C310" s="136"/>
      <c r="D310" s="109" t="s">
        <v>200</v>
      </c>
      <c r="E310" s="109"/>
      <c r="F310" s="109"/>
      <c r="G310" s="109"/>
      <c r="H310" s="109"/>
      <c r="I310" s="109"/>
      <c r="J310" s="109"/>
      <c r="K310" s="109"/>
      <c r="L310" s="109"/>
      <c r="M310" s="109"/>
      <c r="N310" s="208">
        <f>N311+N313</f>
        <v>0</v>
      </c>
      <c r="O310" s="209"/>
      <c r="P310" s="209"/>
      <c r="Q310" s="209"/>
      <c r="R310" s="104"/>
      <c r="T310" s="105"/>
      <c r="W310" s="106">
        <f>SUM($W$618:$W$633)</f>
        <v>0</v>
      </c>
      <c r="Y310" s="106">
        <f>SUM($Y$618:$Y$633)</f>
        <v>0</v>
      </c>
      <c r="AA310" s="107">
        <f>SUM($AA$618:$AA$633)</f>
        <v>0</v>
      </c>
      <c r="AR310" s="103" t="s">
        <v>93</v>
      </c>
      <c r="AT310" s="103" t="s">
        <v>65</v>
      </c>
      <c r="AU310" s="103" t="s">
        <v>12</v>
      </c>
      <c r="AY310" s="103" t="s">
        <v>110</v>
      </c>
      <c r="BK310" s="108">
        <f>SUM($BK$618:$BK$633)</f>
        <v>0</v>
      </c>
    </row>
    <row r="311" spans="2:65" s="3" customFormat="1" ht="27" customHeight="1">
      <c r="B311" s="16"/>
      <c r="C311" s="133">
        <v>41</v>
      </c>
      <c r="D311" s="110" t="s">
        <v>111</v>
      </c>
      <c r="E311" s="130" t="s">
        <v>201</v>
      </c>
      <c r="F311" s="196" t="s">
        <v>202</v>
      </c>
      <c r="G311" s="197"/>
      <c r="H311" s="197"/>
      <c r="I311" s="197"/>
      <c r="J311" s="112" t="s">
        <v>115</v>
      </c>
      <c r="K311" s="113">
        <f>K175</f>
        <v>8.410499999999999</v>
      </c>
      <c r="L311" s="203"/>
      <c r="M311" s="197"/>
      <c r="N311" s="203">
        <f>K311*L311</f>
        <v>0</v>
      </c>
      <c r="O311" s="197"/>
      <c r="P311" s="197"/>
      <c r="Q311" s="197"/>
      <c r="R311" s="17"/>
      <c r="T311" s="114"/>
      <c r="U311" s="23" t="s">
        <v>33</v>
      </c>
      <c r="V311" s="115">
        <v>0.295</v>
      </c>
      <c r="W311" s="115">
        <f>$V$618*$K$618</f>
        <v>0</v>
      </c>
      <c r="X311" s="115">
        <v>0</v>
      </c>
      <c r="Y311" s="115">
        <f>$X$618*$K$618</f>
        <v>0</v>
      </c>
      <c r="Z311" s="115">
        <v>0.0815</v>
      </c>
      <c r="AA311" s="116">
        <f>$Z$618*$K$618</f>
        <v>0</v>
      </c>
      <c r="AD311" s="3">
        <v>0.059</v>
      </c>
      <c r="AE311" s="3">
        <f>K311*AD311</f>
        <v>0.4962194999999999</v>
      </c>
      <c r="AR311" s="3" t="s">
        <v>117</v>
      </c>
      <c r="AT311" s="3" t="s">
        <v>111</v>
      </c>
      <c r="AU311" s="3" t="s">
        <v>93</v>
      </c>
      <c r="AY311" s="3" t="s">
        <v>110</v>
      </c>
      <c r="BE311" s="89">
        <f>IF($U$618="základní",$N$618,0)</f>
        <v>0</v>
      </c>
      <c r="BF311" s="89">
        <f>IF($U$618="snížená",$N$618,0)</f>
        <v>0</v>
      </c>
      <c r="BG311" s="89">
        <f>IF($U$618="zákl. přenesená",$N$618,0)</f>
        <v>0</v>
      </c>
      <c r="BH311" s="89">
        <f>IF($U$618="sníž. přenesená",$N$618,0)</f>
        <v>0</v>
      </c>
      <c r="BI311" s="89">
        <f>IF($U$618="nulová",$N$618,0)</f>
        <v>0</v>
      </c>
      <c r="BJ311" s="3" t="s">
        <v>93</v>
      </c>
      <c r="BK311" s="89">
        <f>ROUND($L$618*$K$618,2)</f>
        <v>0</v>
      </c>
      <c r="BL311" s="3" t="s">
        <v>117</v>
      </c>
      <c r="BM311" s="3" t="s">
        <v>170</v>
      </c>
    </row>
    <row r="312" spans="2:51" s="3" customFormat="1" ht="15" customHeight="1">
      <c r="B312" s="122"/>
      <c r="C312" s="135"/>
      <c r="E312" s="123"/>
      <c r="F312" s="188" t="s">
        <v>199</v>
      </c>
      <c r="G312" s="189"/>
      <c r="H312" s="189"/>
      <c r="I312" s="189"/>
      <c r="K312" s="124"/>
      <c r="R312" s="125"/>
      <c r="T312" s="126"/>
      <c r="AA312" s="127"/>
      <c r="AT312" s="123" t="s">
        <v>113</v>
      </c>
      <c r="AU312" s="123" t="s">
        <v>93</v>
      </c>
      <c r="AV312" s="123" t="s">
        <v>93</v>
      </c>
      <c r="AW312" s="123" t="s">
        <v>84</v>
      </c>
      <c r="AX312" s="123" t="s">
        <v>66</v>
      </c>
      <c r="AY312" s="123" t="s">
        <v>110</v>
      </c>
    </row>
    <row r="313" spans="2:65" s="3" customFormat="1" ht="27" customHeight="1">
      <c r="B313" s="16"/>
      <c r="C313" s="133">
        <v>42</v>
      </c>
      <c r="D313" s="110" t="s">
        <v>111</v>
      </c>
      <c r="E313" s="130" t="s">
        <v>280</v>
      </c>
      <c r="F313" s="196" t="s">
        <v>281</v>
      </c>
      <c r="G313" s="197"/>
      <c r="H313" s="197"/>
      <c r="I313" s="197"/>
      <c r="J313" s="112" t="s">
        <v>115</v>
      </c>
      <c r="K313" s="113">
        <f>K177+K316</f>
        <v>11.610499999999998</v>
      </c>
      <c r="L313" s="203"/>
      <c r="M313" s="197"/>
      <c r="N313" s="203">
        <f>K313*L313</f>
        <v>0</v>
      </c>
      <c r="O313" s="197"/>
      <c r="P313" s="197"/>
      <c r="Q313" s="197"/>
      <c r="R313" s="17"/>
      <c r="T313" s="114"/>
      <c r="U313" s="23" t="s">
        <v>33</v>
      </c>
      <c r="V313" s="115">
        <v>0.295</v>
      </c>
      <c r="W313" s="115">
        <f>$V$618*$K$618</f>
        <v>0</v>
      </c>
      <c r="X313" s="115">
        <v>0</v>
      </c>
      <c r="Y313" s="115">
        <f>$X$618*$K$618</f>
        <v>0</v>
      </c>
      <c r="Z313" s="115">
        <v>0.0815</v>
      </c>
      <c r="AA313" s="116">
        <f>$Z$618*$K$618</f>
        <v>0</v>
      </c>
      <c r="AD313" s="3">
        <v>0.02195</v>
      </c>
      <c r="AE313" s="3">
        <f>K313*AD313</f>
        <v>0.25485047499999997</v>
      </c>
      <c r="AR313" s="3" t="s">
        <v>117</v>
      </c>
      <c r="AT313" s="3" t="s">
        <v>111</v>
      </c>
      <c r="AU313" s="3" t="s">
        <v>93</v>
      </c>
      <c r="AY313" s="3" t="s">
        <v>110</v>
      </c>
      <c r="BE313" s="89">
        <f>IF($U$618="základní",$N$618,0)</f>
        <v>0</v>
      </c>
      <c r="BF313" s="89">
        <f>IF($U$618="snížená",$N$618,0)</f>
        <v>0</v>
      </c>
      <c r="BG313" s="89">
        <f>IF($U$618="zákl. přenesená",$N$618,0)</f>
        <v>0</v>
      </c>
      <c r="BH313" s="89">
        <f>IF($U$618="sníž. přenesená",$N$618,0)</f>
        <v>0</v>
      </c>
      <c r="BI313" s="89">
        <f>IF($U$618="nulová",$N$618,0)</f>
        <v>0</v>
      </c>
      <c r="BJ313" s="3" t="s">
        <v>93</v>
      </c>
      <c r="BK313" s="89">
        <f>ROUND($L$618*$K$618,2)</f>
        <v>0</v>
      </c>
      <c r="BL313" s="3" t="s">
        <v>117</v>
      </c>
      <c r="BM313" s="3" t="s">
        <v>170</v>
      </c>
    </row>
    <row r="314" spans="2:51" s="3" customFormat="1" ht="15" customHeight="1">
      <c r="B314" s="122"/>
      <c r="C314" s="135"/>
      <c r="E314" s="123"/>
      <c r="F314" s="188" t="s">
        <v>282</v>
      </c>
      <c r="G314" s="189"/>
      <c r="H314" s="189"/>
      <c r="I314" s="189"/>
      <c r="K314" s="124"/>
      <c r="R314" s="125"/>
      <c r="T314" s="126"/>
      <c r="AA314" s="127"/>
      <c r="AT314" s="123" t="s">
        <v>113</v>
      </c>
      <c r="AU314" s="123" t="s">
        <v>93</v>
      </c>
      <c r="AV314" s="123" t="s">
        <v>93</v>
      </c>
      <c r="AW314" s="123" t="s">
        <v>84</v>
      </c>
      <c r="AX314" s="123" t="s">
        <v>66</v>
      </c>
      <c r="AY314" s="123" t="s">
        <v>110</v>
      </c>
    </row>
    <row r="315" spans="2:51" s="3" customFormat="1" ht="15" customHeight="1">
      <c r="B315" s="122"/>
      <c r="C315" s="135"/>
      <c r="E315" s="123"/>
      <c r="F315" s="188" t="s">
        <v>384</v>
      </c>
      <c r="G315" s="189"/>
      <c r="H315" s="189"/>
      <c r="I315" s="189"/>
      <c r="K315" s="124"/>
      <c r="R315" s="125"/>
      <c r="T315" s="126"/>
      <c r="AA315" s="127"/>
      <c r="AT315" s="123" t="s">
        <v>113</v>
      </c>
      <c r="AU315" s="123" t="s">
        <v>93</v>
      </c>
      <c r="AV315" s="123" t="s">
        <v>93</v>
      </c>
      <c r="AW315" s="123" t="s">
        <v>84</v>
      </c>
      <c r="AX315" s="123" t="s">
        <v>66</v>
      </c>
      <c r="AY315" s="123" t="s">
        <v>110</v>
      </c>
    </row>
    <row r="316" spans="2:51" s="3" customFormat="1" ht="15" customHeight="1">
      <c r="B316" s="122"/>
      <c r="C316" s="135"/>
      <c r="E316" s="123"/>
      <c r="F316" s="210" t="s">
        <v>383</v>
      </c>
      <c r="G316" s="211"/>
      <c r="H316" s="211"/>
      <c r="I316" s="211"/>
      <c r="K316" s="124">
        <f>1.6*2</f>
        <v>3.2</v>
      </c>
      <c r="R316" s="125"/>
      <c r="T316" s="126"/>
      <c r="AA316" s="127"/>
      <c r="AT316" s="123" t="s">
        <v>113</v>
      </c>
      <c r="AU316" s="123" t="s">
        <v>93</v>
      </c>
      <c r="AV316" s="123" t="s">
        <v>93</v>
      </c>
      <c r="AW316" s="123" t="s">
        <v>84</v>
      </c>
      <c r="AX316" s="123" t="s">
        <v>66</v>
      </c>
      <c r="AY316" s="123" t="s">
        <v>110</v>
      </c>
    </row>
    <row r="317" spans="2:63" s="100" customFormat="1" ht="30.75" customHeight="1">
      <c r="B317" s="101"/>
      <c r="C317" s="136"/>
      <c r="D317" s="109" t="s">
        <v>126</v>
      </c>
      <c r="E317" s="109"/>
      <c r="F317" s="109"/>
      <c r="G317" s="109"/>
      <c r="H317" s="109"/>
      <c r="I317" s="109"/>
      <c r="J317" s="109"/>
      <c r="K317" s="109"/>
      <c r="L317" s="109"/>
      <c r="M317" s="109"/>
      <c r="N317" s="208">
        <f>N318</f>
        <v>0</v>
      </c>
      <c r="O317" s="209"/>
      <c r="P317" s="209"/>
      <c r="Q317" s="209"/>
      <c r="R317" s="104"/>
      <c r="T317" s="105"/>
      <c r="W317" s="106">
        <f>$W$318</f>
        <v>52.805819394258</v>
      </c>
      <c r="Y317" s="106">
        <f>$Y$318</f>
        <v>0</v>
      </c>
      <c r="AA317" s="107">
        <f>$AA$318</f>
        <v>0</v>
      </c>
      <c r="AR317" s="103" t="s">
        <v>12</v>
      </c>
      <c r="AT317" s="103" t="s">
        <v>65</v>
      </c>
      <c r="AU317" s="103" t="s">
        <v>12</v>
      </c>
      <c r="AY317" s="103" t="s">
        <v>110</v>
      </c>
      <c r="BK317" s="108">
        <f>$BK$318</f>
        <v>0</v>
      </c>
    </row>
    <row r="318" spans="2:65" s="3" customFormat="1" ht="15.75" customHeight="1">
      <c r="B318" s="16"/>
      <c r="C318" s="133">
        <v>43</v>
      </c>
      <c r="D318" s="110" t="s">
        <v>111</v>
      </c>
      <c r="E318" s="130" t="s">
        <v>275</v>
      </c>
      <c r="F318" s="196" t="s">
        <v>276</v>
      </c>
      <c r="G318" s="197"/>
      <c r="H318" s="197"/>
      <c r="I318" s="197"/>
      <c r="J318" s="112" t="s">
        <v>114</v>
      </c>
      <c r="K318" s="113">
        <f>SUM(AE122:AE313)</f>
        <v>166.056035831</v>
      </c>
      <c r="L318" s="203"/>
      <c r="M318" s="197"/>
      <c r="N318" s="203">
        <f>ROUND($L$318*$K$318,2)</f>
        <v>0</v>
      </c>
      <c r="O318" s="197"/>
      <c r="P318" s="197"/>
      <c r="Q318" s="197"/>
      <c r="R318" s="17"/>
      <c r="T318" s="114"/>
      <c r="U318" s="23" t="s">
        <v>33</v>
      </c>
      <c r="V318" s="115">
        <v>0.318</v>
      </c>
      <c r="W318" s="115">
        <f>$V$318*$K$318</f>
        <v>52.805819394258</v>
      </c>
      <c r="X318" s="115">
        <v>0</v>
      </c>
      <c r="Y318" s="115">
        <f>$X$318*$K$318</f>
        <v>0</v>
      </c>
      <c r="Z318" s="115">
        <v>0</v>
      </c>
      <c r="AA318" s="116">
        <f>$Z$318*$K$318</f>
        <v>0</v>
      </c>
      <c r="AR318" s="3" t="s">
        <v>112</v>
      </c>
      <c r="AT318" s="3" t="s">
        <v>111</v>
      </c>
      <c r="AU318" s="3" t="s">
        <v>93</v>
      </c>
      <c r="AY318" s="3" t="s">
        <v>110</v>
      </c>
      <c r="BE318" s="89">
        <f>IF($U$318="základní",$N$318,0)</f>
        <v>0</v>
      </c>
      <c r="BF318" s="89">
        <f>IF($U$318="snížená",$N$318,0)</f>
        <v>0</v>
      </c>
      <c r="BG318" s="89">
        <f>IF($U$318="zákl. přenesená",$N$318,0)</f>
        <v>0</v>
      </c>
      <c r="BH318" s="89">
        <f>IF($U$318="sníž. přenesená",$N$318,0)</f>
        <v>0</v>
      </c>
      <c r="BI318" s="89">
        <f>IF($U$318="nulová",$N$318,0)</f>
        <v>0</v>
      </c>
      <c r="BJ318" s="3" t="s">
        <v>93</v>
      </c>
      <c r="BK318" s="89">
        <f>ROUND($L$318*$K$318,2)</f>
        <v>0</v>
      </c>
      <c r="BL318" s="3" t="s">
        <v>112</v>
      </c>
      <c r="BM318" s="3" t="s">
        <v>154</v>
      </c>
    </row>
    <row r="319" spans="2:63" s="100" customFormat="1" ht="30.75" customHeight="1">
      <c r="B319" s="101"/>
      <c r="C319" s="136"/>
      <c r="D319" s="109" t="s">
        <v>88</v>
      </c>
      <c r="E319" s="109"/>
      <c r="F319" s="109"/>
      <c r="G319" s="109"/>
      <c r="H319" s="109"/>
      <c r="I319" s="109"/>
      <c r="J319" s="109"/>
      <c r="K319" s="109"/>
      <c r="L319" s="109"/>
      <c r="M319" s="109"/>
      <c r="N319" s="208">
        <f>N320+N321+N322+N323</f>
        <v>0</v>
      </c>
      <c r="O319" s="209"/>
      <c r="P319" s="209"/>
      <c r="Q319" s="209"/>
      <c r="R319" s="104"/>
      <c r="T319" s="105"/>
      <c r="W319" s="106">
        <f>SUM($W$320:$W$323)</f>
        <v>53.8313186021</v>
      </c>
      <c r="Y319" s="106">
        <f>SUM($Y$320:$Y$323)</f>
        <v>0</v>
      </c>
      <c r="AA319" s="107">
        <f>SUM($AA$320:$AA$323)</f>
        <v>0</v>
      </c>
      <c r="AR319" s="103" t="s">
        <v>12</v>
      </c>
      <c r="AT319" s="103" t="s">
        <v>65</v>
      </c>
      <c r="AU319" s="103" t="s">
        <v>12</v>
      </c>
      <c r="AY319" s="103" t="s">
        <v>110</v>
      </c>
      <c r="BK319" s="108">
        <f>SUM($BK$320:$BK$323)</f>
        <v>0</v>
      </c>
    </row>
    <row r="320" spans="2:65" s="3" customFormat="1" ht="15" customHeight="1">
      <c r="B320" s="16"/>
      <c r="C320" s="133">
        <v>44</v>
      </c>
      <c r="D320" s="110" t="s">
        <v>111</v>
      </c>
      <c r="E320" s="130" t="s">
        <v>167</v>
      </c>
      <c r="F320" s="196" t="s">
        <v>166</v>
      </c>
      <c r="G320" s="197"/>
      <c r="H320" s="197"/>
      <c r="I320" s="197"/>
      <c r="J320" s="112" t="s">
        <v>114</v>
      </c>
      <c r="K320" s="113">
        <f>AE273+AE293+AE311+AE226+AE228+AE313+AG116+AG119</f>
        <v>22.025907775</v>
      </c>
      <c r="L320" s="203"/>
      <c r="M320" s="197"/>
      <c r="N320" s="203">
        <f>ROUND($L$320*$K$320,2)</f>
        <v>0</v>
      </c>
      <c r="O320" s="197"/>
      <c r="P320" s="197"/>
      <c r="Q320" s="197"/>
      <c r="R320" s="17"/>
      <c r="T320" s="114"/>
      <c r="U320" s="23" t="s">
        <v>33</v>
      </c>
      <c r="V320" s="115">
        <v>2.235</v>
      </c>
      <c r="W320" s="115">
        <f>$V$320*$K$320</f>
        <v>49.227903877124994</v>
      </c>
      <c r="X320" s="115">
        <v>0</v>
      </c>
      <c r="Y320" s="115">
        <f>$X$320*$K$320</f>
        <v>0</v>
      </c>
      <c r="Z320" s="115">
        <v>0</v>
      </c>
      <c r="AA320" s="116">
        <f>$Z$320*$K$320</f>
        <v>0</v>
      </c>
      <c r="AR320" s="3" t="s">
        <v>112</v>
      </c>
      <c r="AT320" s="3" t="s">
        <v>111</v>
      </c>
      <c r="AU320" s="3" t="s">
        <v>93</v>
      </c>
      <c r="AY320" s="3" t="s">
        <v>110</v>
      </c>
      <c r="BE320" s="89">
        <f>IF($U$320="základní",$N$320,0)</f>
        <v>0</v>
      </c>
      <c r="BF320" s="89">
        <f>IF($U$320="snížená",$N$320,0)</f>
        <v>0</v>
      </c>
      <c r="BG320" s="89">
        <f>IF($U$320="zákl. přenesená",$N$320,0)</f>
        <v>0</v>
      </c>
      <c r="BH320" s="89">
        <f>IF($U$320="sníž. přenesená",$N$320,0)</f>
        <v>0</v>
      </c>
      <c r="BI320" s="89">
        <f>IF($U$320="nulová",$N$320,0)</f>
        <v>0</v>
      </c>
      <c r="BJ320" s="3" t="s">
        <v>93</v>
      </c>
      <c r="BK320" s="89">
        <f>ROUND($L$320*$K$320,2)</f>
        <v>0</v>
      </c>
      <c r="BL320" s="3" t="s">
        <v>112</v>
      </c>
      <c r="BM320" s="3" t="s">
        <v>155</v>
      </c>
    </row>
    <row r="321" spans="2:65" s="3" customFormat="1" ht="27" customHeight="1">
      <c r="B321" s="16"/>
      <c r="C321" s="133">
        <v>45</v>
      </c>
      <c r="D321" s="110" t="s">
        <v>111</v>
      </c>
      <c r="E321" s="111" t="s">
        <v>120</v>
      </c>
      <c r="F321" s="215" t="s">
        <v>156</v>
      </c>
      <c r="G321" s="197"/>
      <c r="H321" s="197"/>
      <c r="I321" s="197"/>
      <c r="J321" s="112" t="s">
        <v>114</v>
      </c>
      <c r="K321" s="113">
        <f>K320</f>
        <v>22.025907775</v>
      </c>
      <c r="L321" s="203"/>
      <c r="M321" s="197"/>
      <c r="N321" s="203">
        <f>ROUND($L$321*$K$321,2)</f>
        <v>0</v>
      </c>
      <c r="O321" s="197"/>
      <c r="P321" s="197"/>
      <c r="Q321" s="197"/>
      <c r="R321" s="17"/>
      <c r="T321" s="114"/>
      <c r="U321" s="23" t="s">
        <v>33</v>
      </c>
      <c r="V321" s="115">
        <v>0.125</v>
      </c>
      <c r="W321" s="115">
        <f>$V$321*$K$321</f>
        <v>2.753238471875</v>
      </c>
      <c r="X321" s="115">
        <v>0</v>
      </c>
      <c r="Y321" s="115">
        <f>$X$321*$K$321</f>
        <v>0</v>
      </c>
      <c r="Z321" s="115">
        <v>0</v>
      </c>
      <c r="AA321" s="116">
        <f>$Z$321*$K$321</f>
        <v>0</v>
      </c>
      <c r="AR321" s="3" t="s">
        <v>112</v>
      </c>
      <c r="AT321" s="3" t="s">
        <v>111</v>
      </c>
      <c r="AU321" s="3" t="s">
        <v>93</v>
      </c>
      <c r="AY321" s="3" t="s">
        <v>110</v>
      </c>
      <c r="BE321" s="89">
        <f>IF($U$321="základní",$N$321,0)</f>
        <v>0</v>
      </c>
      <c r="BF321" s="89">
        <f>IF($U$321="snížená",$N$321,0)</f>
        <v>0</v>
      </c>
      <c r="BG321" s="89">
        <f>IF($U$321="zákl. přenesená",$N$321,0)</f>
        <v>0</v>
      </c>
      <c r="BH321" s="89">
        <f>IF($U$321="sníž. přenesená",$N$321,0)</f>
        <v>0</v>
      </c>
      <c r="BI321" s="89">
        <f>IF($U$321="nulová",$N$321,0)</f>
        <v>0</v>
      </c>
      <c r="BJ321" s="3" t="s">
        <v>93</v>
      </c>
      <c r="BK321" s="89">
        <f>ROUND($L$321*$K$321,2)</f>
        <v>0</v>
      </c>
      <c r="BL321" s="3" t="s">
        <v>112</v>
      </c>
      <c r="BM321" s="3" t="s">
        <v>157</v>
      </c>
    </row>
    <row r="322" spans="2:65" s="3" customFormat="1" ht="27" customHeight="1">
      <c r="B322" s="16"/>
      <c r="C322" s="133">
        <v>46</v>
      </c>
      <c r="D322" s="110" t="s">
        <v>111</v>
      </c>
      <c r="E322" s="111" t="s">
        <v>121</v>
      </c>
      <c r="F322" s="215" t="s">
        <v>122</v>
      </c>
      <c r="G322" s="197"/>
      <c r="H322" s="197"/>
      <c r="I322" s="197"/>
      <c r="J322" s="112" t="s">
        <v>114</v>
      </c>
      <c r="K322" s="113">
        <f>K321*14</f>
        <v>308.36270885</v>
      </c>
      <c r="L322" s="203"/>
      <c r="M322" s="197"/>
      <c r="N322" s="203">
        <f>ROUND($L$322*$K$322,2)</f>
        <v>0</v>
      </c>
      <c r="O322" s="197"/>
      <c r="P322" s="197"/>
      <c r="Q322" s="197"/>
      <c r="R322" s="17"/>
      <c r="T322" s="114"/>
      <c r="U322" s="23" t="s">
        <v>33</v>
      </c>
      <c r="V322" s="115">
        <v>0.006</v>
      </c>
      <c r="W322" s="115">
        <f>$V$322*$K$322</f>
        <v>1.8501762531</v>
      </c>
      <c r="X322" s="115">
        <v>0</v>
      </c>
      <c r="Y322" s="115">
        <f>$X$322*$K$322</f>
        <v>0</v>
      </c>
      <c r="Z322" s="115">
        <v>0</v>
      </c>
      <c r="AA322" s="116">
        <f>$Z$322*$K$322</f>
        <v>0</v>
      </c>
      <c r="AR322" s="3" t="s">
        <v>112</v>
      </c>
      <c r="AT322" s="3" t="s">
        <v>111</v>
      </c>
      <c r="AU322" s="3" t="s">
        <v>93</v>
      </c>
      <c r="AY322" s="3" t="s">
        <v>110</v>
      </c>
      <c r="BE322" s="89">
        <f>IF($U$322="základní",$N$322,0)</f>
        <v>0</v>
      </c>
      <c r="BF322" s="89">
        <f>IF($U$322="snížená",$N$322,0)</f>
        <v>0</v>
      </c>
      <c r="BG322" s="89">
        <f>IF($U$322="zákl. přenesená",$N$322,0)</f>
        <v>0</v>
      </c>
      <c r="BH322" s="89">
        <f>IF($U$322="sníž. přenesená",$N$322,0)</f>
        <v>0</v>
      </c>
      <c r="BI322" s="89">
        <f>IF($U$322="nulová",$N$322,0)</f>
        <v>0</v>
      </c>
      <c r="BJ322" s="3" t="s">
        <v>93</v>
      </c>
      <c r="BK322" s="89">
        <f>ROUND($L$322*$K$322,2)</f>
        <v>0</v>
      </c>
      <c r="BL322" s="3" t="s">
        <v>112</v>
      </c>
      <c r="BM322" s="3" t="s">
        <v>158</v>
      </c>
    </row>
    <row r="323" spans="2:65" s="3" customFormat="1" ht="27" customHeight="1">
      <c r="B323" s="16"/>
      <c r="C323" s="133">
        <v>47</v>
      </c>
      <c r="D323" s="110" t="s">
        <v>111</v>
      </c>
      <c r="E323" s="111" t="s">
        <v>123</v>
      </c>
      <c r="F323" s="215" t="s">
        <v>124</v>
      </c>
      <c r="G323" s="197"/>
      <c r="H323" s="197"/>
      <c r="I323" s="197"/>
      <c r="J323" s="112" t="s">
        <v>114</v>
      </c>
      <c r="K323" s="113">
        <f>K320</f>
        <v>22.025907775</v>
      </c>
      <c r="L323" s="203"/>
      <c r="M323" s="197"/>
      <c r="N323" s="203">
        <f>ROUND($L$323*$K$323,2)</f>
        <v>0</v>
      </c>
      <c r="O323" s="197"/>
      <c r="P323" s="197"/>
      <c r="Q323" s="197"/>
      <c r="R323" s="17"/>
      <c r="T323" s="114"/>
      <c r="U323" s="23" t="s">
        <v>33</v>
      </c>
      <c r="V323" s="115">
        <v>0</v>
      </c>
      <c r="W323" s="115">
        <f>$V$323*$K$323</f>
        <v>0</v>
      </c>
      <c r="X323" s="115">
        <v>0</v>
      </c>
      <c r="Y323" s="115">
        <f>$X$323*$K$323</f>
        <v>0</v>
      </c>
      <c r="Z323" s="115">
        <v>0</v>
      </c>
      <c r="AA323" s="116">
        <f>$Z$323*$K$323</f>
        <v>0</v>
      </c>
      <c r="AR323" s="3" t="s">
        <v>112</v>
      </c>
      <c r="AT323" s="3" t="s">
        <v>111</v>
      </c>
      <c r="AU323" s="3" t="s">
        <v>93</v>
      </c>
      <c r="AY323" s="3" t="s">
        <v>110</v>
      </c>
      <c r="BE323" s="89">
        <f>IF($U$323="základní",$N$323,0)</f>
        <v>0</v>
      </c>
      <c r="BF323" s="89">
        <f>IF($U$323="snížená",$N$323,0)</f>
        <v>0</v>
      </c>
      <c r="BG323" s="89">
        <f>IF($U$323="zákl. přenesená",$N$323,0)</f>
        <v>0</v>
      </c>
      <c r="BH323" s="89">
        <f>IF($U$323="sníž. přenesená",$N$323,0)</f>
        <v>0</v>
      </c>
      <c r="BI323" s="89">
        <f>IF($U$323="nulová",$N$323,0)</f>
        <v>0</v>
      </c>
      <c r="BJ323" s="3" t="s">
        <v>93</v>
      </c>
      <c r="BK323" s="89">
        <f>ROUND($L$323*$K$323,2)</f>
        <v>0</v>
      </c>
      <c r="BL323" s="3" t="s">
        <v>112</v>
      </c>
      <c r="BM323" s="3" t="s">
        <v>159</v>
      </c>
    </row>
    <row r="324" spans="2:63" s="100" customFormat="1" ht="37.5" customHeight="1">
      <c r="B324" s="101"/>
      <c r="C324" s="136"/>
      <c r="D324" s="102" t="s">
        <v>89</v>
      </c>
      <c r="E324" s="102"/>
      <c r="F324" s="102"/>
      <c r="G324" s="102"/>
      <c r="H324" s="102"/>
      <c r="I324" s="102"/>
      <c r="J324" s="102"/>
      <c r="K324" s="102"/>
      <c r="L324" s="102"/>
      <c r="M324" s="102"/>
      <c r="N324" s="217">
        <f>N325+N332+N347+N361</f>
        <v>0</v>
      </c>
      <c r="O324" s="209"/>
      <c r="P324" s="209"/>
      <c r="Q324" s="209"/>
      <c r="R324" s="104"/>
      <c r="T324" s="105"/>
      <c r="W324" s="106" t="e">
        <f>#REF!+#REF!+$W$332+#REF!+#REF!</f>
        <v>#REF!</v>
      </c>
      <c r="Y324" s="106" t="e">
        <f>#REF!+#REF!+$Y$332+#REF!+#REF!</f>
        <v>#REF!</v>
      </c>
      <c r="AA324" s="107" t="e">
        <f>#REF!+#REF!+$AA$332+#REF!+#REF!</f>
        <v>#REF!</v>
      </c>
      <c r="AR324" s="103" t="s">
        <v>93</v>
      </c>
      <c r="AT324" s="103" t="s">
        <v>65</v>
      </c>
      <c r="AU324" s="103" t="s">
        <v>66</v>
      </c>
      <c r="AY324" s="103" t="s">
        <v>110</v>
      </c>
      <c r="BK324" s="108" t="e">
        <f>#REF!+#REF!+$BK$332+#REF!+#REF!</f>
        <v>#REF!</v>
      </c>
    </row>
    <row r="325" spans="2:63" s="100" customFormat="1" ht="30.75" customHeight="1">
      <c r="B325" s="101"/>
      <c r="C325" s="136"/>
      <c r="D325" s="109" t="s">
        <v>189</v>
      </c>
      <c r="E325" s="109"/>
      <c r="F325" s="109"/>
      <c r="G325" s="109"/>
      <c r="H325" s="109"/>
      <c r="I325" s="109"/>
      <c r="J325" s="109"/>
      <c r="K325" s="109"/>
      <c r="L325" s="109"/>
      <c r="M325" s="109"/>
      <c r="N325" s="208">
        <f>N326+N328+N331</f>
        <v>0</v>
      </c>
      <c r="O325" s="209"/>
      <c r="P325" s="209"/>
      <c r="Q325" s="209"/>
      <c r="R325" s="104"/>
      <c r="T325" s="105"/>
      <c r="W325" s="106">
        <f>SUM($W$333:$W$346)</f>
        <v>146.179929914</v>
      </c>
      <c r="Y325" s="106">
        <f>SUM($Y$333:$Y$346)</f>
        <v>0.264896</v>
      </c>
      <c r="AA325" s="107">
        <f>SUM($AA$333:$AA$346)</f>
        <v>0</v>
      </c>
      <c r="AR325" s="103" t="s">
        <v>93</v>
      </c>
      <c r="AT325" s="103" t="s">
        <v>65</v>
      </c>
      <c r="AU325" s="103" t="s">
        <v>12</v>
      </c>
      <c r="AY325" s="103" t="s">
        <v>110</v>
      </c>
      <c r="BK325" s="108">
        <f>SUM($BK$333:$BK$346)</f>
        <v>0</v>
      </c>
    </row>
    <row r="326" spans="2:65" s="3" customFormat="1" ht="27" customHeight="1">
      <c r="B326" s="16"/>
      <c r="C326" s="133">
        <v>48</v>
      </c>
      <c r="D326" s="110" t="s">
        <v>111</v>
      </c>
      <c r="E326" s="145" t="s">
        <v>190</v>
      </c>
      <c r="F326" s="196" t="s">
        <v>191</v>
      </c>
      <c r="G326" s="197"/>
      <c r="H326" s="197"/>
      <c r="I326" s="197"/>
      <c r="J326" s="134" t="s">
        <v>115</v>
      </c>
      <c r="K326" s="113">
        <f>K175+K172</f>
        <v>12.2175</v>
      </c>
      <c r="L326" s="203"/>
      <c r="M326" s="197"/>
      <c r="N326" s="203">
        <f>L326*K326</f>
        <v>0</v>
      </c>
      <c r="O326" s="197"/>
      <c r="P326" s="197"/>
      <c r="Q326" s="197"/>
      <c r="R326" s="17"/>
      <c r="T326" s="114"/>
      <c r="U326" s="23" t="s">
        <v>33</v>
      </c>
      <c r="V326" s="115">
        <v>0.313</v>
      </c>
      <c r="W326" s="115">
        <f>$V$333*$K$333</f>
        <v>25.910140000000002</v>
      </c>
      <c r="X326" s="115">
        <v>0.00064</v>
      </c>
      <c r="Y326" s="115">
        <f>$X$333*$K$333</f>
        <v>0.052979200000000004</v>
      </c>
      <c r="Z326" s="115">
        <v>0</v>
      </c>
      <c r="AA326" s="116">
        <f>$Z$333*$K$333</f>
        <v>0</v>
      </c>
      <c r="AD326" s="3">
        <v>0.004</v>
      </c>
      <c r="AE326" s="3">
        <f>K326*AD326</f>
        <v>0.04887</v>
      </c>
      <c r="AR326" s="3" t="s">
        <v>117</v>
      </c>
      <c r="AT326" s="3" t="s">
        <v>111</v>
      </c>
      <c r="AU326" s="3" t="s">
        <v>93</v>
      </c>
      <c r="AY326" s="3" t="s">
        <v>110</v>
      </c>
      <c r="BE326" s="89">
        <f>IF($U$333="základní",$N$333,0)</f>
        <v>0</v>
      </c>
      <c r="BF326" s="89">
        <f>IF($U$333="snížená",$N$333,0)</f>
        <v>0</v>
      </c>
      <c r="BG326" s="89">
        <f>IF($U$333="zákl. přenesená",$N$333,0)</f>
        <v>0</v>
      </c>
      <c r="BH326" s="89">
        <f>IF($U$333="sníž. přenesená",$N$333,0)</f>
        <v>0</v>
      </c>
      <c r="BI326" s="89">
        <f>IF($U$333="nulová",$N$333,0)</f>
        <v>0</v>
      </c>
      <c r="BJ326" s="3" t="s">
        <v>93</v>
      </c>
      <c r="BK326" s="89">
        <f>ROUND($L$333*$K$333,2)</f>
        <v>0</v>
      </c>
      <c r="BL326" s="3" t="s">
        <v>117</v>
      </c>
      <c r="BM326" s="3" t="s">
        <v>160</v>
      </c>
    </row>
    <row r="327" spans="2:51" s="3" customFormat="1" ht="15" customHeight="1">
      <c r="B327" s="122"/>
      <c r="C327" s="135"/>
      <c r="E327" s="143"/>
      <c r="F327" s="188" t="s">
        <v>192</v>
      </c>
      <c r="G327" s="189"/>
      <c r="H327" s="189"/>
      <c r="I327" s="189"/>
      <c r="K327" s="124"/>
      <c r="R327" s="125"/>
      <c r="T327" s="126"/>
      <c r="AA327" s="127"/>
      <c r="AT327" s="123" t="s">
        <v>113</v>
      </c>
      <c r="AU327" s="123" t="s">
        <v>93</v>
      </c>
      <c r="AV327" s="123" t="s">
        <v>93</v>
      </c>
      <c r="AW327" s="123" t="s">
        <v>84</v>
      </c>
      <c r="AX327" s="123" t="s">
        <v>66</v>
      </c>
      <c r="AY327" s="123" t="s">
        <v>110</v>
      </c>
    </row>
    <row r="328" spans="2:65" s="3" customFormat="1" ht="27" customHeight="1">
      <c r="B328" s="16"/>
      <c r="C328" s="133">
        <v>49</v>
      </c>
      <c r="D328" s="110" t="s">
        <v>111</v>
      </c>
      <c r="E328" s="145" t="s">
        <v>363</v>
      </c>
      <c r="F328" s="196" t="s">
        <v>364</v>
      </c>
      <c r="G328" s="197"/>
      <c r="H328" s="197"/>
      <c r="I328" s="197"/>
      <c r="J328" s="134" t="s">
        <v>115</v>
      </c>
      <c r="K328" s="113">
        <f>K330</f>
        <v>33.48631</v>
      </c>
      <c r="L328" s="203"/>
      <c r="M328" s="197"/>
      <c r="N328" s="203">
        <f>L328*K328</f>
        <v>0</v>
      </c>
      <c r="O328" s="197"/>
      <c r="P328" s="197"/>
      <c r="Q328" s="197"/>
      <c r="R328" s="17"/>
      <c r="T328" s="114"/>
      <c r="U328" s="23" t="s">
        <v>33</v>
      </c>
      <c r="V328" s="115">
        <v>0.313</v>
      </c>
      <c r="W328" s="115">
        <f>$V$333*$K$333</f>
        <v>25.910140000000002</v>
      </c>
      <c r="X328" s="115">
        <v>0.00064</v>
      </c>
      <c r="Y328" s="115">
        <f>$X$333*$K$333</f>
        <v>0.052979200000000004</v>
      </c>
      <c r="Z328" s="115">
        <v>0</v>
      </c>
      <c r="AA328" s="116">
        <f>$Z$333*$K$333</f>
        <v>0</v>
      </c>
      <c r="AD328" s="3">
        <v>0.004</v>
      </c>
      <c r="AE328" s="3">
        <f>K328*AD328</f>
        <v>0.13394524000000002</v>
      </c>
      <c r="AR328" s="3" t="s">
        <v>117</v>
      </c>
      <c r="AT328" s="3" t="s">
        <v>111</v>
      </c>
      <c r="AU328" s="3" t="s">
        <v>93</v>
      </c>
      <c r="AY328" s="3" t="s">
        <v>110</v>
      </c>
      <c r="BE328" s="89">
        <f>IF($U$333="základní",$N$333,0)</f>
        <v>0</v>
      </c>
      <c r="BF328" s="89">
        <f>IF($U$333="snížená",$N$333,0)</f>
        <v>0</v>
      </c>
      <c r="BG328" s="89">
        <f>IF($U$333="zákl. přenesená",$N$333,0)</f>
        <v>0</v>
      </c>
      <c r="BH328" s="89">
        <f>IF($U$333="sníž. přenesená",$N$333,0)</f>
        <v>0</v>
      </c>
      <c r="BI328" s="89">
        <f>IF($U$333="nulová",$N$333,0)</f>
        <v>0</v>
      </c>
      <c r="BJ328" s="3" t="s">
        <v>93</v>
      </c>
      <c r="BK328" s="89">
        <f>ROUND($L$333*$K$333,2)</f>
        <v>0</v>
      </c>
      <c r="BL328" s="3" t="s">
        <v>117</v>
      </c>
      <c r="BM328" s="3" t="s">
        <v>160</v>
      </c>
    </row>
    <row r="329" spans="2:51" s="3" customFormat="1" ht="18.75" customHeight="1">
      <c r="B329" s="117"/>
      <c r="C329" s="135"/>
      <c r="E329" s="118"/>
      <c r="F329" s="194" t="s">
        <v>362</v>
      </c>
      <c r="G329" s="195"/>
      <c r="H329" s="195"/>
      <c r="I329" s="195"/>
      <c r="K329" s="139"/>
      <c r="R329" s="119"/>
      <c r="T329" s="120"/>
      <c r="AA329" s="121"/>
      <c r="AT329" s="118" t="s">
        <v>113</v>
      </c>
      <c r="AU329" s="118" t="s">
        <v>93</v>
      </c>
      <c r="AV329" s="118" t="s">
        <v>12</v>
      </c>
      <c r="AW329" s="118" t="s">
        <v>84</v>
      </c>
      <c r="AX329" s="118" t="s">
        <v>66</v>
      </c>
      <c r="AY329" s="118" t="s">
        <v>110</v>
      </c>
    </row>
    <row r="330" spans="2:51" s="3" customFormat="1" ht="15" customHeight="1">
      <c r="B330" s="122"/>
      <c r="C330" s="135"/>
      <c r="E330" s="123"/>
      <c r="F330" s="190" t="s">
        <v>361</v>
      </c>
      <c r="G330" s="191"/>
      <c r="H330" s="191"/>
      <c r="I330" s="191"/>
      <c r="K330" s="124">
        <f>23.417*1.3*1.1</f>
        <v>33.48631</v>
      </c>
      <c r="R330" s="125"/>
      <c r="T330" s="126"/>
      <c r="AA330" s="127"/>
      <c r="AT330" s="123" t="s">
        <v>113</v>
      </c>
      <c r="AU330" s="123" t="s">
        <v>93</v>
      </c>
      <c r="AV330" s="123" t="s">
        <v>93</v>
      </c>
      <c r="AW330" s="123" t="s">
        <v>84</v>
      </c>
      <c r="AX330" s="123" t="s">
        <v>66</v>
      </c>
      <c r="AY330" s="123" t="s">
        <v>110</v>
      </c>
    </row>
    <row r="331" spans="2:65" s="3" customFormat="1" ht="15" customHeight="1">
      <c r="B331" s="16"/>
      <c r="C331" s="133">
        <v>50</v>
      </c>
      <c r="D331" s="110" t="s">
        <v>111</v>
      </c>
      <c r="E331" s="145" t="s">
        <v>193</v>
      </c>
      <c r="F331" s="196" t="s">
        <v>194</v>
      </c>
      <c r="G331" s="197"/>
      <c r="H331" s="197"/>
      <c r="I331" s="197"/>
      <c r="J331" s="112" t="s">
        <v>118</v>
      </c>
      <c r="K331" s="113">
        <f>AE326</f>
        <v>0.04887</v>
      </c>
      <c r="L331" s="203"/>
      <c r="M331" s="197"/>
      <c r="N331" s="203">
        <f>K331*L331</f>
        <v>0</v>
      </c>
      <c r="O331" s="197"/>
      <c r="P331" s="197"/>
      <c r="Q331" s="197"/>
      <c r="R331" s="17"/>
      <c r="T331" s="114"/>
      <c r="U331" s="23" t="s">
        <v>33</v>
      </c>
      <c r="V331" s="115">
        <v>0.313</v>
      </c>
      <c r="W331" s="115">
        <f>$V$333*$K$333</f>
        <v>25.910140000000002</v>
      </c>
      <c r="X331" s="115">
        <v>0.00064</v>
      </c>
      <c r="Y331" s="115">
        <f>$X$333*$K$333</f>
        <v>0.052979200000000004</v>
      </c>
      <c r="Z331" s="115">
        <v>0</v>
      </c>
      <c r="AA331" s="116">
        <f>$Z$333*$K$333</f>
        <v>0</v>
      </c>
      <c r="AR331" s="3" t="s">
        <v>117</v>
      </c>
      <c r="AT331" s="3" t="s">
        <v>111</v>
      </c>
      <c r="AU331" s="3" t="s">
        <v>93</v>
      </c>
      <c r="AY331" s="3" t="s">
        <v>110</v>
      </c>
      <c r="BE331" s="89">
        <f>IF($U$333="základní",$N$333,0)</f>
        <v>0</v>
      </c>
      <c r="BF331" s="89">
        <f>IF($U$333="snížená",$N$333,0)</f>
        <v>0</v>
      </c>
      <c r="BG331" s="89">
        <f>IF($U$333="zákl. přenesená",$N$333,0)</f>
        <v>0</v>
      </c>
      <c r="BH331" s="89">
        <f>IF($U$333="sníž. přenesená",$N$333,0)</f>
        <v>0</v>
      </c>
      <c r="BI331" s="89">
        <f>IF($U$333="nulová",$N$333,0)</f>
        <v>0</v>
      </c>
      <c r="BJ331" s="3" t="s">
        <v>93</v>
      </c>
      <c r="BK331" s="89">
        <f>ROUND($L$333*$K$333,2)</f>
        <v>0</v>
      </c>
      <c r="BL331" s="3" t="s">
        <v>117</v>
      </c>
      <c r="BM331" s="3" t="s">
        <v>160</v>
      </c>
    </row>
    <row r="332" spans="2:63" s="100" customFormat="1" ht="30.75" customHeight="1">
      <c r="B332" s="101"/>
      <c r="C332" s="136"/>
      <c r="D332" s="109" t="s">
        <v>125</v>
      </c>
      <c r="E332" s="109"/>
      <c r="F332" s="109"/>
      <c r="G332" s="109"/>
      <c r="H332" s="109"/>
      <c r="I332" s="109"/>
      <c r="J332" s="109"/>
      <c r="K332" s="109"/>
      <c r="L332" s="109"/>
      <c r="M332" s="109"/>
      <c r="N332" s="208">
        <f>SUM(N333:Q346)</f>
        <v>0</v>
      </c>
      <c r="O332" s="209"/>
      <c r="P332" s="209"/>
      <c r="Q332" s="209"/>
      <c r="R332" s="104"/>
      <c r="T332" s="105"/>
      <c r="W332" s="106">
        <f>SUM($W$333:$W$346)</f>
        <v>146.179929914</v>
      </c>
      <c r="Y332" s="106">
        <f>SUM($Y$333:$Y$346)</f>
        <v>0.264896</v>
      </c>
      <c r="AA332" s="107">
        <f>SUM($AA$333:$AA$346)</f>
        <v>0</v>
      </c>
      <c r="AR332" s="103" t="s">
        <v>93</v>
      </c>
      <c r="AT332" s="103" t="s">
        <v>65</v>
      </c>
      <c r="AU332" s="103" t="s">
        <v>12</v>
      </c>
      <c r="AY332" s="103" t="s">
        <v>110</v>
      </c>
      <c r="BK332" s="108">
        <f>SUM($BK$333:$BK$346)</f>
        <v>0</v>
      </c>
    </row>
    <row r="333" spans="2:65" s="3" customFormat="1" ht="27" customHeight="1">
      <c r="B333" s="16"/>
      <c r="C333" s="133">
        <v>51</v>
      </c>
      <c r="D333" s="110" t="s">
        <v>111</v>
      </c>
      <c r="E333" s="130" t="s">
        <v>195</v>
      </c>
      <c r="F333" s="196" t="s">
        <v>196</v>
      </c>
      <c r="G333" s="197"/>
      <c r="H333" s="197"/>
      <c r="I333" s="197"/>
      <c r="J333" s="112" t="s">
        <v>118</v>
      </c>
      <c r="K333" s="113">
        <f>K273</f>
        <v>82.78</v>
      </c>
      <c r="L333" s="203"/>
      <c r="M333" s="197"/>
      <c r="N333" s="203">
        <f>ROUND($L$333*$K$333,2)</f>
        <v>0</v>
      </c>
      <c r="O333" s="197"/>
      <c r="P333" s="197"/>
      <c r="Q333" s="197"/>
      <c r="R333" s="17"/>
      <c r="T333" s="114"/>
      <c r="U333" s="23" t="s">
        <v>33</v>
      </c>
      <c r="V333" s="115">
        <v>0.313</v>
      </c>
      <c r="W333" s="115">
        <f>$V$333*$K$333</f>
        <v>25.910140000000002</v>
      </c>
      <c r="X333" s="115">
        <v>0.00064</v>
      </c>
      <c r="Y333" s="115">
        <f>$X$333*$K$333</f>
        <v>0.052979200000000004</v>
      </c>
      <c r="Z333" s="115">
        <v>0</v>
      </c>
      <c r="AA333" s="116">
        <f>$Z$333*$K$333</f>
        <v>0</v>
      </c>
      <c r="AD333" s="3">
        <v>0.00407</v>
      </c>
      <c r="AE333" s="3">
        <f>K333*AD333</f>
        <v>0.3369146</v>
      </c>
      <c r="AR333" s="3" t="s">
        <v>117</v>
      </c>
      <c r="AT333" s="3" t="s">
        <v>111</v>
      </c>
      <c r="AU333" s="3" t="s">
        <v>93</v>
      </c>
      <c r="AY333" s="3" t="s">
        <v>110</v>
      </c>
      <c r="BE333" s="89">
        <f>IF($U$333="základní",$N$333,0)</f>
        <v>0</v>
      </c>
      <c r="BF333" s="89">
        <f>IF($U$333="snížená",$N$333,0)</f>
        <v>0</v>
      </c>
      <c r="BG333" s="89">
        <f>IF($U$333="zákl. přenesená",$N$333,0)</f>
        <v>0</v>
      </c>
      <c r="BH333" s="89">
        <f>IF($U$333="sníž. přenesená",$N$333,0)</f>
        <v>0</v>
      </c>
      <c r="BI333" s="89">
        <f>IF($U$333="nulová",$N$333,0)</f>
        <v>0</v>
      </c>
      <c r="BJ333" s="3" t="s">
        <v>93</v>
      </c>
      <c r="BK333" s="89">
        <f>ROUND($L$333*$K$333,2)</f>
        <v>0</v>
      </c>
      <c r="BL333" s="3" t="s">
        <v>117</v>
      </c>
      <c r="BM333" s="3" t="s">
        <v>160</v>
      </c>
    </row>
    <row r="334" spans="2:65" s="3" customFormat="1" ht="15" customHeight="1">
      <c r="B334" s="16"/>
      <c r="C334" s="133">
        <v>52</v>
      </c>
      <c r="D334" s="110" t="s">
        <v>111</v>
      </c>
      <c r="E334" s="130" t="s">
        <v>187</v>
      </c>
      <c r="F334" s="196" t="s">
        <v>188</v>
      </c>
      <c r="G334" s="197"/>
      <c r="H334" s="197"/>
      <c r="I334" s="197"/>
      <c r="J334" s="112" t="s">
        <v>118</v>
      </c>
      <c r="K334" s="113">
        <f>K293</f>
        <v>186.64</v>
      </c>
      <c r="L334" s="203"/>
      <c r="M334" s="197"/>
      <c r="N334" s="203">
        <f>K334*L334</f>
        <v>0</v>
      </c>
      <c r="O334" s="197"/>
      <c r="P334" s="197"/>
      <c r="Q334" s="197"/>
      <c r="R334" s="17"/>
      <c r="T334" s="114"/>
      <c r="U334" s="23" t="s">
        <v>33</v>
      </c>
      <c r="V334" s="115">
        <v>0.313</v>
      </c>
      <c r="W334" s="115">
        <f>$V$333*$K$333</f>
        <v>25.910140000000002</v>
      </c>
      <c r="X334" s="115">
        <v>0.00064</v>
      </c>
      <c r="Y334" s="115">
        <f>$X$333*$K$333</f>
        <v>0.052979200000000004</v>
      </c>
      <c r="Z334" s="115">
        <v>0</v>
      </c>
      <c r="AA334" s="116">
        <f>$Z$333*$K$333</f>
        <v>0</v>
      </c>
      <c r="AD334" s="3">
        <v>0.00251</v>
      </c>
      <c r="AE334" s="3">
        <f>K334*AD334</f>
        <v>0.4684664</v>
      </c>
      <c r="AR334" s="3" t="s">
        <v>117</v>
      </c>
      <c r="AT334" s="3" t="s">
        <v>111</v>
      </c>
      <c r="AU334" s="3" t="s">
        <v>93</v>
      </c>
      <c r="AY334" s="3" t="s">
        <v>110</v>
      </c>
      <c r="BE334" s="89">
        <f>IF($U$333="základní",$N$333,0)</f>
        <v>0</v>
      </c>
      <c r="BF334" s="89">
        <f>IF($U$333="snížená",$N$333,0)</f>
        <v>0</v>
      </c>
      <c r="BG334" s="89">
        <f>IF($U$333="zákl. přenesená",$N$333,0)</f>
        <v>0</v>
      </c>
      <c r="BH334" s="89">
        <f>IF($U$333="sníž. přenesená",$N$333,0)</f>
        <v>0</v>
      </c>
      <c r="BI334" s="89">
        <f>IF($U$333="nulová",$N$333,0)</f>
        <v>0</v>
      </c>
      <c r="BJ334" s="3" t="s">
        <v>93</v>
      </c>
      <c r="BK334" s="89">
        <f>ROUND($L$333*$K$333,2)</f>
        <v>0</v>
      </c>
      <c r="BL334" s="3" t="s">
        <v>117</v>
      </c>
      <c r="BM334" s="3" t="s">
        <v>160</v>
      </c>
    </row>
    <row r="335" spans="2:65" s="3" customFormat="1" ht="27" customHeight="1">
      <c r="B335" s="16"/>
      <c r="C335" s="133">
        <v>53</v>
      </c>
      <c r="D335" s="110" t="s">
        <v>111</v>
      </c>
      <c r="E335" s="130" t="s">
        <v>311</v>
      </c>
      <c r="F335" s="196" t="s">
        <v>312</v>
      </c>
      <c r="G335" s="197"/>
      <c r="H335" s="197"/>
      <c r="I335" s="197"/>
      <c r="J335" s="112" t="s">
        <v>118</v>
      </c>
      <c r="K335" s="113">
        <v>32</v>
      </c>
      <c r="L335" s="203"/>
      <c r="M335" s="197"/>
      <c r="N335" s="203">
        <f>K335*L335</f>
        <v>0</v>
      </c>
      <c r="O335" s="197"/>
      <c r="P335" s="197"/>
      <c r="Q335" s="197"/>
      <c r="R335" s="17"/>
      <c r="T335" s="114"/>
      <c r="U335" s="23" t="s">
        <v>33</v>
      </c>
      <c r="V335" s="115">
        <v>0.313</v>
      </c>
      <c r="W335" s="115">
        <f>$V$333*$K$333</f>
        <v>25.910140000000002</v>
      </c>
      <c r="X335" s="115">
        <v>0.00064</v>
      </c>
      <c r="Y335" s="115">
        <f>$X$333*$K$333</f>
        <v>0.052979200000000004</v>
      </c>
      <c r="Z335" s="115">
        <v>0</v>
      </c>
      <c r="AA335" s="116">
        <f>$Z$333*$K$333</f>
        <v>0</v>
      </c>
      <c r="AD335" s="3">
        <v>0.00356</v>
      </c>
      <c r="AE335" s="3">
        <f>K335*AD335</f>
        <v>0.11392</v>
      </c>
      <c r="AR335" s="3" t="s">
        <v>117</v>
      </c>
      <c r="AT335" s="3" t="s">
        <v>111</v>
      </c>
      <c r="AU335" s="3" t="s">
        <v>93</v>
      </c>
      <c r="AY335" s="3" t="s">
        <v>110</v>
      </c>
      <c r="BE335" s="89">
        <f>IF($U$333="základní",$N$333,0)</f>
        <v>0</v>
      </c>
      <c r="BF335" s="89">
        <f>IF($U$333="snížená",$N$333,0)</f>
        <v>0</v>
      </c>
      <c r="BG335" s="89">
        <f>IF($U$333="zákl. přenesená",$N$333,0)</f>
        <v>0</v>
      </c>
      <c r="BH335" s="89">
        <f>IF($U$333="sníž. přenesená",$N$333,0)</f>
        <v>0</v>
      </c>
      <c r="BI335" s="89">
        <f>IF($U$333="nulová",$N$333,0)</f>
        <v>0</v>
      </c>
      <c r="BJ335" s="3" t="s">
        <v>93</v>
      </c>
      <c r="BK335" s="89">
        <f>ROUND($L$333*$K$333,2)</f>
        <v>0</v>
      </c>
      <c r="BL335" s="3" t="s">
        <v>117</v>
      </c>
      <c r="BM335" s="3" t="s">
        <v>160</v>
      </c>
    </row>
    <row r="336" spans="2:65" s="3" customFormat="1" ht="27" customHeight="1">
      <c r="B336" s="16"/>
      <c r="C336" s="133">
        <v>54</v>
      </c>
      <c r="D336" s="110" t="s">
        <v>111</v>
      </c>
      <c r="E336" s="130" t="s">
        <v>297</v>
      </c>
      <c r="F336" s="196" t="s">
        <v>298</v>
      </c>
      <c r="G336" s="197"/>
      <c r="H336" s="197"/>
      <c r="I336" s="197"/>
      <c r="J336" s="112" t="s">
        <v>118</v>
      </c>
      <c r="K336" s="113">
        <f>K338</f>
        <v>32</v>
      </c>
      <c r="L336" s="203"/>
      <c r="M336" s="197"/>
      <c r="N336" s="203">
        <f>ROUND($L$336*$K$336,2)</f>
        <v>0</v>
      </c>
      <c r="O336" s="197"/>
      <c r="P336" s="197"/>
      <c r="Q336" s="197"/>
      <c r="R336" s="17"/>
      <c r="T336" s="114"/>
      <c r="U336" s="23" t="s">
        <v>33</v>
      </c>
      <c r="V336" s="115">
        <v>0.313</v>
      </c>
      <c r="W336" s="115">
        <f>$V$333*$K$333</f>
        <v>25.910140000000002</v>
      </c>
      <c r="X336" s="115">
        <v>0.00064</v>
      </c>
      <c r="Y336" s="115">
        <f>$X$333*$K$333</f>
        <v>0.052979200000000004</v>
      </c>
      <c r="Z336" s="115">
        <v>0</v>
      </c>
      <c r="AA336" s="116">
        <f>$Z$333*$K$333</f>
        <v>0</v>
      </c>
      <c r="AD336" s="3">
        <v>0.00573</v>
      </c>
      <c r="AE336" s="3">
        <f>K336*AD336</f>
        <v>0.18336</v>
      </c>
      <c r="AR336" s="3" t="s">
        <v>117</v>
      </c>
      <c r="AT336" s="3" t="s">
        <v>111</v>
      </c>
      <c r="AU336" s="3" t="s">
        <v>93</v>
      </c>
      <c r="AY336" s="3" t="s">
        <v>110</v>
      </c>
      <c r="BE336" s="89">
        <f>IF($U$333="základní",$N$333,0)</f>
        <v>0</v>
      </c>
      <c r="BF336" s="89">
        <f>IF($U$333="snížená",$N$333,0)</f>
        <v>0</v>
      </c>
      <c r="BG336" s="89">
        <f>IF($U$333="zákl. přenesená",$N$333,0)</f>
        <v>0</v>
      </c>
      <c r="BH336" s="89">
        <f>IF($U$333="sníž. přenesená",$N$333,0)</f>
        <v>0</v>
      </c>
      <c r="BI336" s="89">
        <f>IF($U$333="nulová",$N$333,0)</f>
        <v>0</v>
      </c>
      <c r="BJ336" s="3" t="s">
        <v>93</v>
      </c>
      <c r="BK336" s="89">
        <f>ROUND($L$333*$K$333,2)</f>
        <v>0</v>
      </c>
      <c r="BL336" s="3" t="s">
        <v>117</v>
      </c>
      <c r="BM336" s="3" t="s">
        <v>160</v>
      </c>
    </row>
    <row r="337" spans="2:51" s="3" customFormat="1" ht="18.75" customHeight="1">
      <c r="B337" s="117"/>
      <c r="C337" s="135"/>
      <c r="E337" s="118"/>
      <c r="F337" s="188" t="s">
        <v>299</v>
      </c>
      <c r="G337" s="189"/>
      <c r="H337" s="189"/>
      <c r="I337" s="189"/>
      <c r="K337" s="132"/>
      <c r="R337" s="119"/>
      <c r="T337" s="120"/>
      <c r="AA337" s="121"/>
      <c r="AT337" s="118" t="s">
        <v>113</v>
      </c>
      <c r="AU337" s="118" t="s">
        <v>93</v>
      </c>
      <c r="AV337" s="118" t="s">
        <v>12</v>
      </c>
      <c r="AW337" s="118" t="s">
        <v>84</v>
      </c>
      <c r="AX337" s="118" t="s">
        <v>66</v>
      </c>
      <c r="AY337" s="118" t="s">
        <v>110</v>
      </c>
    </row>
    <row r="338" spans="2:51" s="3" customFormat="1" ht="15" customHeight="1">
      <c r="B338" s="122"/>
      <c r="C338" s="135"/>
      <c r="E338" s="123"/>
      <c r="F338" s="190" t="s">
        <v>300</v>
      </c>
      <c r="G338" s="191"/>
      <c r="H338" s="191"/>
      <c r="I338" s="191"/>
      <c r="K338" s="124">
        <f>16*2</f>
        <v>32</v>
      </c>
      <c r="R338" s="125"/>
      <c r="T338" s="126"/>
      <c r="AA338" s="127"/>
      <c r="AT338" s="123" t="s">
        <v>113</v>
      </c>
      <c r="AU338" s="123" t="s">
        <v>93</v>
      </c>
      <c r="AV338" s="123" t="s">
        <v>93</v>
      </c>
      <c r="AW338" s="123" t="s">
        <v>84</v>
      </c>
      <c r="AX338" s="123" t="s">
        <v>66</v>
      </c>
      <c r="AY338" s="123" t="s">
        <v>110</v>
      </c>
    </row>
    <row r="339" spans="2:65" s="3" customFormat="1" ht="30" customHeight="1">
      <c r="B339" s="16"/>
      <c r="C339" s="133">
        <v>55</v>
      </c>
      <c r="D339" s="110" t="s">
        <v>111</v>
      </c>
      <c r="E339" s="130" t="s">
        <v>301</v>
      </c>
      <c r="F339" s="196" t="s">
        <v>302</v>
      </c>
      <c r="G339" s="197"/>
      <c r="H339" s="197"/>
      <c r="I339" s="197"/>
      <c r="J339" s="134" t="s">
        <v>222</v>
      </c>
      <c r="K339" s="113">
        <v>2</v>
      </c>
      <c r="L339" s="203"/>
      <c r="M339" s="197"/>
      <c r="N339" s="203">
        <f>K339*L339</f>
        <v>0</v>
      </c>
      <c r="O339" s="197"/>
      <c r="P339" s="197"/>
      <c r="Q339" s="197"/>
      <c r="R339" s="17"/>
      <c r="T339" s="114"/>
      <c r="U339" s="23" t="s">
        <v>33</v>
      </c>
      <c r="V339" s="115">
        <v>0.313</v>
      </c>
      <c r="W339" s="115">
        <f>$V$333*$K$333</f>
        <v>25.910140000000002</v>
      </c>
      <c r="X339" s="115">
        <v>0.00064</v>
      </c>
      <c r="Y339" s="115">
        <f>$X$333*$K$333</f>
        <v>0.052979200000000004</v>
      </c>
      <c r="Z339" s="115">
        <v>0</v>
      </c>
      <c r="AA339" s="116">
        <f>$Z$333*$K$333</f>
        <v>0</v>
      </c>
      <c r="AD339" s="3">
        <v>0.00251</v>
      </c>
      <c r="AE339" s="3">
        <f>K339*AD339</f>
        <v>0.00502</v>
      </c>
      <c r="AR339" s="3" t="s">
        <v>117</v>
      </c>
      <c r="AT339" s="3" t="s">
        <v>111</v>
      </c>
      <c r="AU339" s="3" t="s">
        <v>93</v>
      </c>
      <c r="AY339" s="3" t="s">
        <v>110</v>
      </c>
      <c r="BE339" s="89">
        <f>IF($U$333="základní",$N$333,0)</f>
        <v>0</v>
      </c>
      <c r="BF339" s="89">
        <f>IF($U$333="snížená",$N$333,0)</f>
        <v>0</v>
      </c>
      <c r="BG339" s="89">
        <f>IF($U$333="zákl. přenesená",$N$333,0)</f>
        <v>0</v>
      </c>
      <c r="BH339" s="89">
        <f>IF($U$333="sníž. přenesená",$N$333,0)</f>
        <v>0</v>
      </c>
      <c r="BI339" s="89">
        <f>IF($U$333="nulová",$N$333,0)</f>
        <v>0</v>
      </c>
      <c r="BJ339" s="3" t="s">
        <v>93</v>
      </c>
      <c r="BK339" s="89">
        <f>ROUND($L$333*$K$333,2)</f>
        <v>0</v>
      </c>
      <c r="BL339" s="3" t="s">
        <v>117</v>
      </c>
      <c r="BM339" s="3" t="s">
        <v>160</v>
      </c>
    </row>
    <row r="340" spans="2:65" s="3" customFormat="1" ht="27" customHeight="1">
      <c r="B340" s="16"/>
      <c r="C340" s="133">
        <v>56</v>
      </c>
      <c r="D340" s="110" t="s">
        <v>111</v>
      </c>
      <c r="E340" s="130" t="s">
        <v>303</v>
      </c>
      <c r="F340" s="196" t="s">
        <v>304</v>
      </c>
      <c r="G340" s="197"/>
      <c r="H340" s="197"/>
      <c r="I340" s="197"/>
      <c r="J340" s="134" t="s">
        <v>115</v>
      </c>
      <c r="K340" s="113">
        <f>K342</f>
        <v>2.25</v>
      </c>
      <c r="L340" s="203"/>
      <c r="M340" s="197"/>
      <c r="N340" s="203">
        <f>ROUND($L$340*$K$340,2)</f>
        <v>0</v>
      </c>
      <c r="O340" s="197"/>
      <c r="P340" s="197"/>
      <c r="Q340" s="197"/>
      <c r="R340" s="17"/>
      <c r="T340" s="114"/>
      <c r="U340" s="23" t="s">
        <v>33</v>
      </c>
      <c r="V340" s="115">
        <v>4.82</v>
      </c>
      <c r="W340" s="115">
        <f>$V$346*$K$346</f>
        <v>5.5430766380000005</v>
      </c>
      <c r="X340" s="115">
        <v>0</v>
      </c>
      <c r="Y340" s="115">
        <f>$X$346*$K$346</f>
        <v>0</v>
      </c>
      <c r="Z340" s="115">
        <v>0</v>
      </c>
      <c r="AA340" s="116">
        <f>$Z$346*$K$346</f>
        <v>0</v>
      </c>
      <c r="AD340" s="3">
        <v>0.00389</v>
      </c>
      <c r="AE340" s="3">
        <f>K340*AD340</f>
        <v>0.0087525</v>
      </c>
      <c r="AR340" s="3" t="s">
        <v>117</v>
      </c>
      <c r="AT340" s="3" t="s">
        <v>111</v>
      </c>
      <c r="AU340" s="3" t="s">
        <v>93</v>
      </c>
      <c r="AY340" s="3" t="s">
        <v>110</v>
      </c>
      <c r="BE340" s="89">
        <f>IF($U$346="základní",$N$346,0)</f>
        <v>0</v>
      </c>
      <c r="BF340" s="89">
        <f>IF($U$346="snížená",$N$346,0)</f>
        <v>0</v>
      </c>
      <c r="BG340" s="89">
        <f>IF($U$346="zákl. přenesená",$N$346,0)</f>
        <v>0</v>
      </c>
      <c r="BH340" s="89">
        <f>IF($U$346="sníž. přenesená",$N$346,0)</f>
        <v>0</v>
      </c>
      <c r="BI340" s="89">
        <f>IF($U$346="nulová",$N$346,0)</f>
        <v>0</v>
      </c>
      <c r="BJ340" s="3" t="s">
        <v>93</v>
      </c>
      <c r="BK340" s="89">
        <f>ROUND($L$346*$K$346,2)</f>
        <v>0</v>
      </c>
      <c r="BL340" s="3" t="s">
        <v>117</v>
      </c>
      <c r="BM340" s="3" t="s">
        <v>161</v>
      </c>
    </row>
    <row r="341" spans="2:51" s="3" customFormat="1" ht="18.75" customHeight="1">
      <c r="B341" s="117"/>
      <c r="C341" s="135"/>
      <c r="E341" s="118"/>
      <c r="F341" s="188" t="s">
        <v>305</v>
      </c>
      <c r="G341" s="189"/>
      <c r="H341" s="189"/>
      <c r="I341" s="189"/>
      <c r="K341" s="132"/>
      <c r="R341" s="119"/>
      <c r="T341" s="120"/>
      <c r="AA341" s="121"/>
      <c r="AT341" s="118" t="s">
        <v>113</v>
      </c>
      <c r="AU341" s="118" t="s">
        <v>93</v>
      </c>
      <c r="AV341" s="118" t="s">
        <v>12</v>
      </c>
      <c r="AW341" s="118" t="s">
        <v>84</v>
      </c>
      <c r="AX341" s="118" t="s">
        <v>66</v>
      </c>
      <c r="AY341" s="118" t="s">
        <v>110</v>
      </c>
    </row>
    <row r="342" spans="2:51" s="3" customFormat="1" ht="15" customHeight="1">
      <c r="B342" s="122"/>
      <c r="C342" s="135"/>
      <c r="E342" s="123"/>
      <c r="F342" s="190" t="s">
        <v>306</v>
      </c>
      <c r="G342" s="191"/>
      <c r="H342" s="191"/>
      <c r="I342" s="191"/>
      <c r="K342" s="124">
        <f>1.5*1.5/2*2</f>
        <v>2.25</v>
      </c>
      <c r="R342" s="125"/>
      <c r="T342" s="126"/>
      <c r="AA342" s="127"/>
      <c r="AT342" s="123" t="s">
        <v>113</v>
      </c>
      <c r="AU342" s="123" t="s">
        <v>93</v>
      </c>
      <c r="AV342" s="123" t="s">
        <v>93</v>
      </c>
      <c r="AW342" s="123" t="s">
        <v>84</v>
      </c>
      <c r="AX342" s="123" t="s">
        <v>66</v>
      </c>
      <c r="AY342" s="123" t="s">
        <v>110</v>
      </c>
    </row>
    <row r="343" spans="2:65" s="3" customFormat="1" ht="27" customHeight="1">
      <c r="B343" s="16"/>
      <c r="C343" s="133">
        <v>57</v>
      </c>
      <c r="D343" s="110" t="s">
        <v>111</v>
      </c>
      <c r="E343" s="130" t="s">
        <v>307</v>
      </c>
      <c r="F343" s="196" t="s">
        <v>308</v>
      </c>
      <c r="G343" s="197"/>
      <c r="H343" s="197"/>
      <c r="I343" s="197"/>
      <c r="J343" s="134" t="s">
        <v>118</v>
      </c>
      <c r="K343" s="113">
        <f>K345</f>
        <v>12.08</v>
      </c>
      <c r="L343" s="204"/>
      <c r="M343" s="197"/>
      <c r="N343" s="203">
        <f>ROUND($L$343*$K$343,2)</f>
        <v>0</v>
      </c>
      <c r="O343" s="197"/>
      <c r="P343" s="197"/>
      <c r="Q343" s="197"/>
      <c r="R343" s="17"/>
      <c r="T343" s="114"/>
      <c r="U343" s="23" t="s">
        <v>33</v>
      </c>
      <c r="V343" s="115">
        <v>4.82</v>
      </c>
      <c r="W343" s="115">
        <f>$V$346*$K$346</f>
        <v>5.5430766380000005</v>
      </c>
      <c r="X343" s="115">
        <v>0</v>
      </c>
      <c r="Y343" s="115">
        <f>$X$346*$K$346</f>
        <v>0</v>
      </c>
      <c r="Z343" s="115">
        <v>0</v>
      </c>
      <c r="AA343" s="116">
        <f>$Z$346*$K$346</f>
        <v>0</v>
      </c>
      <c r="AD343" s="3">
        <v>0.00278</v>
      </c>
      <c r="AE343" s="3">
        <f>K343*AD343</f>
        <v>0.0335824</v>
      </c>
      <c r="AR343" s="3" t="s">
        <v>117</v>
      </c>
      <c r="AT343" s="3" t="s">
        <v>111</v>
      </c>
      <c r="AU343" s="3" t="s">
        <v>93</v>
      </c>
      <c r="AY343" s="3" t="s">
        <v>110</v>
      </c>
      <c r="BE343" s="89">
        <f>IF($U$346="základní",$N$346,0)</f>
        <v>0</v>
      </c>
      <c r="BF343" s="89">
        <f>IF($U$346="snížená",$N$346,0)</f>
        <v>0</v>
      </c>
      <c r="BG343" s="89">
        <f>IF($U$346="zákl. přenesená",$N$346,0)</f>
        <v>0</v>
      </c>
      <c r="BH343" s="89">
        <f>IF($U$346="sníž. přenesená",$N$346,0)</f>
        <v>0</v>
      </c>
      <c r="BI343" s="89">
        <f>IF($U$346="nulová",$N$346,0)</f>
        <v>0</v>
      </c>
      <c r="BJ343" s="3" t="s">
        <v>93</v>
      </c>
      <c r="BK343" s="89">
        <f>ROUND($L$346*$K$346,2)</f>
        <v>0</v>
      </c>
      <c r="BL343" s="3" t="s">
        <v>117</v>
      </c>
      <c r="BM343" s="3" t="s">
        <v>161</v>
      </c>
    </row>
    <row r="344" spans="2:51" s="3" customFormat="1" ht="18.75" customHeight="1">
      <c r="B344" s="117"/>
      <c r="C344" s="135"/>
      <c r="E344" s="118"/>
      <c r="F344" s="188" t="s">
        <v>309</v>
      </c>
      <c r="G344" s="189"/>
      <c r="H344" s="189"/>
      <c r="I344" s="189"/>
      <c r="K344" s="132"/>
      <c r="R344" s="119"/>
      <c r="T344" s="120"/>
      <c r="AA344" s="121"/>
      <c r="AT344" s="118" t="s">
        <v>113</v>
      </c>
      <c r="AU344" s="118" t="s">
        <v>93</v>
      </c>
      <c r="AV344" s="118" t="s">
        <v>12</v>
      </c>
      <c r="AW344" s="118" t="s">
        <v>84</v>
      </c>
      <c r="AX344" s="118" t="s">
        <v>66</v>
      </c>
      <c r="AY344" s="118" t="s">
        <v>110</v>
      </c>
    </row>
    <row r="345" spans="2:51" s="3" customFormat="1" ht="15" customHeight="1">
      <c r="B345" s="122"/>
      <c r="C345" s="135"/>
      <c r="E345" s="123"/>
      <c r="F345" s="190" t="s">
        <v>310</v>
      </c>
      <c r="G345" s="191"/>
      <c r="H345" s="191"/>
      <c r="I345" s="191"/>
      <c r="K345" s="124">
        <f>3.5+3.3*2*1.3</f>
        <v>12.08</v>
      </c>
      <c r="R345" s="125"/>
      <c r="T345" s="126"/>
      <c r="AA345" s="127"/>
      <c r="AT345" s="123" t="s">
        <v>113</v>
      </c>
      <c r="AU345" s="123" t="s">
        <v>93</v>
      </c>
      <c r="AV345" s="123" t="s">
        <v>93</v>
      </c>
      <c r="AW345" s="123" t="s">
        <v>84</v>
      </c>
      <c r="AX345" s="123" t="s">
        <v>66</v>
      </c>
      <c r="AY345" s="123" t="s">
        <v>110</v>
      </c>
    </row>
    <row r="346" spans="2:65" s="3" customFormat="1" ht="27" customHeight="1">
      <c r="B346" s="16"/>
      <c r="C346" s="133">
        <v>58</v>
      </c>
      <c r="D346" s="110" t="s">
        <v>111</v>
      </c>
      <c r="E346" s="130" t="s">
        <v>292</v>
      </c>
      <c r="F346" s="196" t="s">
        <v>293</v>
      </c>
      <c r="G346" s="197"/>
      <c r="H346" s="197"/>
      <c r="I346" s="197"/>
      <c r="J346" s="112" t="s">
        <v>114</v>
      </c>
      <c r="K346" s="113">
        <f>AE333+AE334+AE335+AE336+AE339+AE340+AE343</f>
        <v>1.1500159</v>
      </c>
      <c r="L346" s="203"/>
      <c r="M346" s="197"/>
      <c r="N346" s="203">
        <f>ROUND($L$346*$K$346,2)</f>
        <v>0</v>
      </c>
      <c r="O346" s="197"/>
      <c r="P346" s="197"/>
      <c r="Q346" s="197"/>
      <c r="R346" s="17"/>
      <c r="T346" s="114"/>
      <c r="U346" s="23" t="s">
        <v>33</v>
      </c>
      <c r="V346" s="115">
        <v>4.82</v>
      </c>
      <c r="W346" s="115">
        <f>$V$346*$K$346</f>
        <v>5.5430766380000005</v>
      </c>
      <c r="X346" s="115">
        <v>0</v>
      </c>
      <c r="Y346" s="115">
        <f>$X$346*$K$346</f>
        <v>0</v>
      </c>
      <c r="Z346" s="115">
        <v>0</v>
      </c>
      <c r="AA346" s="116">
        <f>$Z$346*$K$346</f>
        <v>0</v>
      </c>
      <c r="AR346" s="3" t="s">
        <v>117</v>
      </c>
      <c r="AT346" s="3" t="s">
        <v>111</v>
      </c>
      <c r="AU346" s="3" t="s">
        <v>93</v>
      </c>
      <c r="AY346" s="3" t="s">
        <v>110</v>
      </c>
      <c r="BE346" s="89">
        <f>IF($U$346="základní",$N$346,0)</f>
        <v>0</v>
      </c>
      <c r="BF346" s="89">
        <f>IF($U$346="snížená",$N$346,0)</f>
        <v>0</v>
      </c>
      <c r="BG346" s="89">
        <f>IF($U$346="zákl. přenesená",$N$346,0)</f>
        <v>0</v>
      </c>
      <c r="BH346" s="89">
        <f>IF($U$346="sníž. přenesená",$N$346,0)</f>
        <v>0</v>
      </c>
      <c r="BI346" s="89">
        <f>IF($U$346="nulová",$N$346,0)</f>
        <v>0</v>
      </c>
      <c r="BJ346" s="3" t="s">
        <v>93</v>
      </c>
      <c r="BK346" s="89">
        <f>ROUND($L$346*$K$346,2)</f>
        <v>0</v>
      </c>
      <c r="BL346" s="3" t="s">
        <v>117</v>
      </c>
      <c r="BM346" s="3" t="s">
        <v>161</v>
      </c>
    </row>
    <row r="347" spans="2:63" s="100" customFormat="1" ht="30.75" customHeight="1">
      <c r="B347" s="101"/>
      <c r="C347" s="136"/>
      <c r="D347" s="109" t="s">
        <v>205</v>
      </c>
      <c r="E347" s="109"/>
      <c r="F347" s="109"/>
      <c r="G347" s="109"/>
      <c r="H347" s="109"/>
      <c r="I347" s="109"/>
      <c r="J347" s="109"/>
      <c r="K347" s="109"/>
      <c r="L347" s="109"/>
      <c r="M347" s="109"/>
      <c r="N347" s="208">
        <f>N348+N350+N352+N355+N360</f>
        <v>0</v>
      </c>
      <c r="O347" s="209"/>
      <c r="P347" s="209"/>
      <c r="Q347" s="209"/>
      <c r="R347" s="104"/>
      <c r="T347" s="105"/>
      <c r="W347" s="106">
        <f>SUM($W$333:$W$346)</f>
        <v>146.179929914</v>
      </c>
      <c r="Y347" s="106">
        <f>SUM($Y$333:$Y$346)</f>
        <v>0.264896</v>
      </c>
      <c r="AA347" s="107">
        <f>SUM($AA$333:$AA$346)</f>
        <v>0</v>
      </c>
      <c r="AR347" s="103" t="s">
        <v>93</v>
      </c>
      <c r="AT347" s="103" t="s">
        <v>65</v>
      </c>
      <c r="AU347" s="103" t="s">
        <v>12</v>
      </c>
      <c r="AY347" s="103" t="s">
        <v>110</v>
      </c>
      <c r="BK347" s="108">
        <f>SUM($BK$333:$BK$346)</f>
        <v>0</v>
      </c>
    </row>
    <row r="348" spans="2:65" s="3" customFormat="1" ht="27" customHeight="1">
      <c r="B348" s="16"/>
      <c r="C348" s="133">
        <v>59</v>
      </c>
      <c r="D348" s="110" t="s">
        <v>111</v>
      </c>
      <c r="E348" s="130" t="s">
        <v>215</v>
      </c>
      <c r="F348" s="196" t="s">
        <v>216</v>
      </c>
      <c r="G348" s="197"/>
      <c r="H348" s="197"/>
      <c r="I348" s="197"/>
      <c r="J348" s="134" t="s">
        <v>118</v>
      </c>
      <c r="K348" s="113">
        <f>K352</f>
        <v>15.645</v>
      </c>
      <c r="L348" s="203"/>
      <c r="M348" s="197"/>
      <c r="N348" s="203">
        <f>K348*L348</f>
        <v>0</v>
      </c>
      <c r="O348" s="197"/>
      <c r="P348" s="197"/>
      <c r="Q348" s="197"/>
      <c r="R348" s="17"/>
      <c r="T348" s="114"/>
      <c r="U348" s="23" t="s">
        <v>33</v>
      </c>
      <c r="V348" s="115">
        <v>0.313</v>
      </c>
      <c r="W348" s="115">
        <f>$V$333*$K$333</f>
        <v>25.910140000000002</v>
      </c>
      <c r="X348" s="115">
        <v>0.00064</v>
      </c>
      <c r="Y348" s="115">
        <f>$X$333*$K$333</f>
        <v>0.052979200000000004</v>
      </c>
      <c r="Z348" s="115">
        <v>0</v>
      </c>
      <c r="AA348" s="116">
        <f>$Z$333*$K$333</f>
        <v>0</v>
      </c>
      <c r="AD348" s="3">
        <v>0.00298</v>
      </c>
      <c r="AE348" s="3">
        <f>K348*AD348</f>
        <v>0.0466221</v>
      </c>
      <c r="AR348" s="3" t="s">
        <v>117</v>
      </c>
      <c r="AT348" s="3" t="s">
        <v>111</v>
      </c>
      <c r="AU348" s="3" t="s">
        <v>93</v>
      </c>
      <c r="AY348" s="3" t="s">
        <v>110</v>
      </c>
      <c r="BE348" s="89">
        <f>IF($U$333="základní",$N$333,0)</f>
        <v>0</v>
      </c>
      <c r="BF348" s="89">
        <f>IF($U$333="snížená",$N$333,0)</f>
        <v>0</v>
      </c>
      <c r="BG348" s="89">
        <f>IF($U$333="zákl. přenesená",$N$333,0)</f>
        <v>0</v>
      </c>
      <c r="BH348" s="89">
        <f>IF($U$333="sníž. přenesená",$N$333,0)</f>
        <v>0</v>
      </c>
      <c r="BI348" s="89">
        <f>IF($U$333="nulová",$N$333,0)</f>
        <v>0</v>
      </c>
      <c r="BJ348" s="3" t="s">
        <v>93</v>
      </c>
      <c r="BK348" s="89">
        <f>ROUND($L$333*$K$333,2)</f>
        <v>0</v>
      </c>
      <c r="BL348" s="3" t="s">
        <v>117</v>
      </c>
      <c r="BM348" s="3" t="s">
        <v>160</v>
      </c>
    </row>
    <row r="349" spans="2:51" s="3" customFormat="1" ht="15" customHeight="1">
      <c r="B349" s="122"/>
      <c r="C349" s="135"/>
      <c r="E349" s="123"/>
      <c r="F349" s="188" t="s">
        <v>217</v>
      </c>
      <c r="G349" s="189"/>
      <c r="H349" s="189"/>
      <c r="I349" s="189"/>
      <c r="K349" s="124"/>
      <c r="R349" s="125"/>
      <c r="T349" s="126"/>
      <c r="AA349" s="127"/>
      <c r="AT349" s="123" t="s">
        <v>113</v>
      </c>
      <c r="AU349" s="123" t="s">
        <v>93</v>
      </c>
      <c r="AV349" s="123" t="s">
        <v>93</v>
      </c>
      <c r="AW349" s="123" t="s">
        <v>84</v>
      </c>
      <c r="AX349" s="123" t="s">
        <v>66</v>
      </c>
      <c r="AY349" s="123" t="s">
        <v>110</v>
      </c>
    </row>
    <row r="350" spans="2:65" s="3" customFormat="1" ht="27" customHeight="1">
      <c r="B350" s="16"/>
      <c r="C350" s="133">
        <v>60</v>
      </c>
      <c r="D350" s="110" t="s">
        <v>111</v>
      </c>
      <c r="E350" s="130" t="s">
        <v>209</v>
      </c>
      <c r="F350" s="196" t="s">
        <v>210</v>
      </c>
      <c r="G350" s="197"/>
      <c r="H350" s="197"/>
      <c r="I350" s="197"/>
      <c r="J350" s="134" t="s">
        <v>115</v>
      </c>
      <c r="K350" s="113">
        <f>K326</f>
        <v>12.2175</v>
      </c>
      <c r="L350" s="203"/>
      <c r="M350" s="197"/>
      <c r="N350" s="203">
        <f>K350*L350</f>
        <v>0</v>
      </c>
      <c r="O350" s="197"/>
      <c r="P350" s="197"/>
      <c r="Q350" s="197"/>
      <c r="R350" s="17"/>
      <c r="T350" s="114"/>
      <c r="U350" s="23" t="s">
        <v>33</v>
      </c>
      <c r="V350" s="115">
        <v>0.313</v>
      </c>
      <c r="W350" s="115">
        <f>$V$333*$K$333</f>
        <v>25.910140000000002</v>
      </c>
      <c r="X350" s="115">
        <v>0.00064</v>
      </c>
      <c r="Y350" s="115">
        <f>$X$333*$K$333</f>
        <v>0.052979200000000004</v>
      </c>
      <c r="Z350" s="115">
        <v>0</v>
      </c>
      <c r="AA350" s="116">
        <f>$Z$333*$K$333</f>
        <v>0</v>
      </c>
      <c r="AD350" s="3">
        <v>0.0298</v>
      </c>
      <c r="AE350" s="3">
        <f>K350*AD350</f>
        <v>0.3640815</v>
      </c>
      <c r="AR350" s="3" t="s">
        <v>117</v>
      </c>
      <c r="AT350" s="3" t="s">
        <v>111</v>
      </c>
      <c r="AU350" s="3" t="s">
        <v>93</v>
      </c>
      <c r="AY350" s="3" t="s">
        <v>110</v>
      </c>
      <c r="BE350" s="89">
        <f>IF($U$333="základní",$N$333,0)</f>
        <v>0</v>
      </c>
      <c r="BF350" s="89">
        <f>IF($U$333="snížená",$N$333,0)</f>
        <v>0</v>
      </c>
      <c r="BG350" s="89">
        <f>IF($U$333="zákl. přenesená",$N$333,0)</f>
        <v>0</v>
      </c>
      <c r="BH350" s="89">
        <f>IF($U$333="sníž. přenesená",$N$333,0)</f>
        <v>0</v>
      </c>
      <c r="BI350" s="89">
        <f>IF($U$333="nulová",$N$333,0)</f>
        <v>0</v>
      </c>
      <c r="BJ350" s="3" t="s">
        <v>93</v>
      </c>
      <c r="BK350" s="89">
        <f>ROUND($L$333*$K$333,2)</f>
        <v>0</v>
      </c>
      <c r="BL350" s="3" t="s">
        <v>117</v>
      </c>
      <c r="BM350" s="3" t="s">
        <v>160</v>
      </c>
    </row>
    <row r="351" spans="2:51" s="3" customFormat="1" ht="15" customHeight="1">
      <c r="B351" s="122"/>
      <c r="C351" s="135"/>
      <c r="E351" s="123"/>
      <c r="F351" s="188" t="s">
        <v>208</v>
      </c>
      <c r="G351" s="189"/>
      <c r="H351" s="189"/>
      <c r="I351" s="189"/>
      <c r="K351" s="124"/>
      <c r="R351" s="125"/>
      <c r="T351" s="126"/>
      <c r="AA351" s="127"/>
      <c r="AT351" s="123" t="s">
        <v>113</v>
      </c>
      <c r="AU351" s="123" t="s">
        <v>93</v>
      </c>
      <c r="AV351" s="123" t="s">
        <v>93</v>
      </c>
      <c r="AW351" s="123" t="s">
        <v>84</v>
      </c>
      <c r="AX351" s="123" t="s">
        <v>66</v>
      </c>
      <c r="AY351" s="123" t="s">
        <v>110</v>
      </c>
    </row>
    <row r="352" spans="2:65" s="3" customFormat="1" ht="15" customHeight="1">
      <c r="B352" s="16"/>
      <c r="C352" s="133">
        <v>61</v>
      </c>
      <c r="D352" s="133" t="s">
        <v>111</v>
      </c>
      <c r="E352" s="130" t="s">
        <v>206</v>
      </c>
      <c r="F352" s="196" t="s">
        <v>207</v>
      </c>
      <c r="G352" s="197"/>
      <c r="H352" s="197"/>
      <c r="I352" s="197"/>
      <c r="J352" s="112" t="s">
        <v>118</v>
      </c>
      <c r="K352" s="113">
        <f>SUM(K353:K354)</f>
        <v>15.645</v>
      </c>
      <c r="L352" s="203"/>
      <c r="M352" s="197"/>
      <c r="N352" s="203">
        <f>K352*L352</f>
        <v>0</v>
      </c>
      <c r="O352" s="197"/>
      <c r="P352" s="197"/>
      <c r="Q352" s="197"/>
      <c r="R352" s="17"/>
      <c r="T352" s="114"/>
      <c r="U352" s="23" t="s">
        <v>33</v>
      </c>
      <c r="V352" s="115">
        <v>0.313</v>
      </c>
      <c r="W352" s="115">
        <f>$V$333*$K$333</f>
        <v>25.910140000000002</v>
      </c>
      <c r="X352" s="115">
        <v>0.00064</v>
      </c>
      <c r="Y352" s="115">
        <f>$X$333*$K$333</f>
        <v>0.052979200000000004</v>
      </c>
      <c r="Z352" s="115">
        <v>0</v>
      </c>
      <c r="AA352" s="116">
        <f>$Z$333*$K$333</f>
        <v>0</v>
      </c>
      <c r="AD352" s="3">
        <v>0.00215</v>
      </c>
      <c r="AE352" s="3">
        <f>K352*AD352</f>
        <v>0.03363675</v>
      </c>
      <c r="AR352" s="3" t="s">
        <v>117</v>
      </c>
      <c r="AT352" s="3" t="s">
        <v>111</v>
      </c>
      <c r="AU352" s="3" t="s">
        <v>93</v>
      </c>
      <c r="AY352" s="3" t="s">
        <v>110</v>
      </c>
      <c r="BE352" s="89">
        <f>IF($U$333="základní",$N$333,0)</f>
        <v>0</v>
      </c>
      <c r="BF352" s="89">
        <f>IF($U$333="snížená",$N$333,0)</f>
        <v>0</v>
      </c>
      <c r="BG352" s="89">
        <f>IF($U$333="zákl. přenesená",$N$333,0)</f>
        <v>0</v>
      </c>
      <c r="BH352" s="89">
        <f>IF($U$333="sníž. přenesená",$N$333,0)</f>
        <v>0</v>
      </c>
      <c r="BI352" s="89">
        <f>IF($U$333="nulová",$N$333,0)</f>
        <v>0</v>
      </c>
      <c r="BJ352" s="3" t="s">
        <v>93</v>
      </c>
      <c r="BK352" s="89">
        <f>ROUND($L$333*$K$333,2)</f>
        <v>0</v>
      </c>
      <c r="BL352" s="3" t="s">
        <v>117</v>
      </c>
      <c r="BM352" s="3" t="s">
        <v>160</v>
      </c>
    </row>
    <row r="353" spans="2:51" s="3" customFormat="1" ht="18.75" customHeight="1">
      <c r="B353" s="117"/>
      <c r="C353" s="135"/>
      <c r="E353" s="118"/>
      <c r="F353" s="188" t="s">
        <v>208</v>
      </c>
      <c r="G353" s="189"/>
      <c r="H353" s="189"/>
      <c r="I353" s="189"/>
      <c r="K353" s="132"/>
      <c r="R353" s="119"/>
      <c r="T353" s="120"/>
      <c r="AA353" s="121"/>
      <c r="AT353" s="118" t="s">
        <v>113</v>
      </c>
      <c r="AU353" s="118" t="s">
        <v>93</v>
      </c>
      <c r="AV353" s="118" t="s">
        <v>12</v>
      </c>
      <c r="AW353" s="118" t="s">
        <v>84</v>
      </c>
      <c r="AX353" s="118" t="s">
        <v>66</v>
      </c>
      <c r="AY353" s="118" t="s">
        <v>110</v>
      </c>
    </row>
    <row r="354" spans="2:51" s="3" customFormat="1" ht="15" customHeight="1">
      <c r="B354" s="122"/>
      <c r="C354" s="135"/>
      <c r="E354" s="123"/>
      <c r="F354" s="190" t="s">
        <v>277</v>
      </c>
      <c r="G354" s="191"/>
      <c r="H354" s="191"/>
      <c r="I354" s="191"/>
      <c r="K354" s="124">
        <f>2.26*3+2.955*3</f>
        <v>15.645</v>
      </c>
      <c r="R354" s="125"/>
      <c r="T354" s="126"/>
      <c r="AA354" s="127"/>
      <c r="AT354" s="123" t="s">
        <v>113</v>
      </c>
      <c r="AU354" s="123" t="s">
        <v>93</v>
      </c>
      <c r="AV354" s="123" t="s">
        <v>93</v>
      </c>
      <c r="AW354" s="123" t="s">
        <v>84</v>
      </c>
      <c r="AX354" s="123" t="s">
        <v>66</v>
      </c>
      <c r="AY354" s="123" t="s">
        <v>110</v>
      </c>
    </row>
    <row r="355" spans="2:65" s="3" customFormat="1" ht="30" customHeight="1">
      <c r="B355" s="16"/>
      <c r="C355" s="133">
        <v>62</v>
      </c>
      <c r="D355" s="133" t="s">
        <v>111</v>
      </c>
      <c r="E355" s="130" t="s">
        <v>213</v>
      </c>
      <c r="F355" s="196" t="s">
        <v>214</v>
      </c>
      <c r="G355" s="197"/>
      <c r="H355" s="197"/>
      <c r="I355" s="197"/>
      <c r="J355" s="134" t="s">
        <v>115</v>
      </c>
      <c r="K355" s="113">
        <f>K357+K359</f>
        <v>15.160750000000002</v>
      </c>
      <c r="L355" s="203"/>
      <c r="M355" s="197"/>
      <c r="N355" s="203">
        <f>K355*L355</f>
        <v>0</v>
      </c>
      <c r="O355" s="197"/>
      <c r="P355" s="197"/>
      <c r="Q355" s="197"/>
      <c r="R355" s="17"/>
      <c r="T355" s="114"/>
      <c r="U355" s="23" t="s">
        <v>33</v>
      </c>
      <c r="V355" s="115">
        <v>0.313</v>
      </c>
      <c r="W355" s="115">
        <f>$V$333*$K$333</f>
        <v>25.910140000000002</v>
      </c>
      <c r="X355" s="115">
        <v>0.00064</v>
      </c>
      <c r="Y355" s="115">
        <f>$X$333*$K$333</f>
        <v>0.052979200000000004</v>
      </c>
      <c r="Z355" s="115">
        <v>0</v>
      </c>
      <c r="AA355" s="116">
        <f>$Z$333*$K$333</f>
        <v>0</v>
      </c>
      <c r="AR355" s="3" t="s">
        <v>117</v>
      </c>
      <c r="AT355" s="3" t="s">
        <v>111</v>
      </c>
      <c r="AU355" s="3" t="s">
        <v>93</v>
      </c>
      <c r="AY355" s="3" t="s">
        <v>110</v>
      </c>
      <c r="BE355" s="89">
        <f>IF($U$333="základní",$N$333,0)</f>
        <v>0</v>
      </c>
      <c r="BF355" s="89">
        <f>IF($U$333="snížená",$N$333,0)</f>
        <v>0</v>
      </c>
      <c r="BG355" s="89">
        <f>IF($U$333="zákl. přenesená",$N$333,0)</f>
        <v>0</v>
      </c>
      <c r="BH355" s="89">
        <f>IF($U$333="sníž. přenesená",$N$333,0)</f>
        <v>0</v>
      </c>
      <c r="BI355" s="89">
        <f>IF($U$333="nulová",$N$333,0)</f>
        <v>0</v>
      </c>
      <c r="BJ355" s="3" t="s">
        <v>93</v>
      </c>
      <c r="BK355" s="89">
        <f>ROUND($L$333*$K$333,2)</f>
        <v>0</v>
      </c>
      <c r="BL355" s="3" t="s">
        <v>117</v>
      </c>
      <c r="BM355" s="3" t="s">
        <v>160</v>
      </c>
    </row>
    <row r="356" spans="2:51" s="3" customFormat="1" ht="15" customHeight="1">
      <c r="B356" s="117"/>
      <c r="C356" s="135"/>
      <c r="E356" s="118"/>
      <c r="F356" s="188" t="s">
        <v>218</v>
      </c>
      <c r="G356" s="189"/>
      <c r="H356" s="189"/>
      <c r="I356" s="189"/>
      <c r="K356" s="132"/>
      <c r="R356" s="119"/>
      <c r="T356" s="120"/>
      <c r="AA356" s="121"/>
      <c r="AT356" s="118" t="s">
        <v>113</v>
      </c>
      <c r="AU356" s="118" t="s">
        <v>93</v>
      </c>
      <c r="AV356" s="118" t="s">
        <v>12</v>
      </c>
      <c r="AW356" s="118" t="s">
        <v>84</v>
      </c>
      <c r="AX356" s="118" t="s">
        <v>66</v>
      </c>
      <c r="AY356" s="118" t="s">
        <v>110</v>
      </c>
    </row>
    <row r="357" spans="2:51" s="3" customFormat="1" ht="15" customHeight="1">
      <c r="B357" s="122"/>
      <c r="C357" s="135"/>
      <c r="E357" s="123"/>
      <c r="F357" s="190" t="s">
        <v>278</v>
      </c>
      <c r="G357" s="191"/>
      <c r="H357" s="191"/>
      <c r="I357" s="191"/>
      <c r="K357" s="124">
        <f>12.218*1.1</f>
        <v>13.439800000000002</v>
      </c>
      <c r="R357" s="125"/>
      <c r="T357" s="126"/>
      <c r="AA357" s="127"/>
      <c r="AT357" s="123" t="s">
        <v>113</v>
      </c>
      <c r="AU357" s="123" t="s">
        <v>93</v>
      </c>
      <c r="AV357" s="123" t="s">
        <v>93</v>
      </c>
      <c r="AW357" s="123" t="s">
        <v>84</v>
      </c>
      <c r="AX357" s="123" t="s">
        <v>66</v>
      </c>
      <c r="AY357" s="123" t="s">
        <v>110</v>
      </c>
    </row>
    <row r="358" spans="2:51" s="3" customFormat="1" ht="15" customHeight="1">
      <c r="B358" s="117"/>
      <c r="C358" s="135"/>
      <c r="E358" s="118"/>
      <c r="F358" s="188" t="s">
        <v>219</v>
      </c>
      <c r="G358" s="189"/>
      <c r="H358" s="189"/>
      <c r="I358" s="189"/>
      <c r="K358" s="132"/>
      <c r="R358" s="119"/>
      <c r="T358" s="120"/>
      <c r="AA358" s="121"/>
      <c r="AT358" s="118" t="s">
        <v>113</v>
      </c>
      <c r="AU358" s="118" t="s">
        <v>93</v>
      </c>
      <c r="AV358" s="118" t="s">
        <v>12</v>
      </c>
      <c r="AW358" s="118" t="s">
        <v>84</v>
      </c>
      <c r="AX358" s="118" t="s">
        <v>66</v>
      </c>
      <c r="AY358" s="118" t="s">
        <v>110</v>
      </c>
    </row>
    <row r="359" spans="2:51" s="3" customFormat="1" ht="15" customHeight="1">
      <c r="B359" s="122"/>
      <c r="C359" s="135"/>
      <c r="E359" s="123"/>
      <c r="F359" s="190" t="s">
        <v>279</v>
      </c>
      <c r="G359" s="191"/>
      <c r="H359" s="191"/>
      <c r="I359" s="191"/>
      <c r="K359" s="124">
        <f>15.645*0.1*1.1</f>
        <v>1.7209500000000002</v>
      </c>
      <c r="R359" s="125"/>
      <c r="T359" s="126"/>
      <c r="AA359" s="127"/>
      <c r="AT359" s="123" t="s">
        <v>113</v>
      </c>
      <c r="AU359" s="123" t="s">
        <v>93</v>
      </c>
      <c r="AV359" s="123" t="s">
        <v>93</v>
      </c>
      <c r="AW359" s="123" t="s">
        <v>84</v>
      </c>
      <c r="AX359" s="123" t="s">
        <v>66</v>
      </c>
      <c r="AY359" s="123" t="s">
        <v>110</v>
      </c>
    </row>
    <row r="360" spans="2:65" s="3" customFormat="1" ht="27" customHeight="1">
      <c r="B360" s="16"/>
      <c r="C360" s="133">
        <v>63</v>
      </c>
      <c r="D360" s="110" t="s">
        <v>111</v>
      </c>
      <c r="E360" s="130" t="s">
        <v>211</v>
      </c>
      <c r="F360" s="196" t="s">
        <v>212</v>
      </c>
      <c r="G360" s="197"/>
      <c r="H360" s="197"/>
      <c r="I360" s="197"/>
      <c r="J360" s="112" t="s">
        <v>114</v>
      </c>
      <c r="K360" s="113">
        <f>AE350+AE352</f>
        <v>0.39771825</v>
      </c>
      <c r="L360" s="203"/>
      <c r="M360" s="197"/>
      <c r="N360" s="203">
        <f>K360*L360</f>
        <v>0</v>
      </c>
      <c r="O360" s="197"/>
      <c r="P360" s="197"/>
      <c r="Q360" s="197"/>
      <c r="R360" s="17"/>
      <c r="T360" s="114"/>
      <c r="U360" s="23" t="s">
        <v>33</v>
      </c>
      <c r="V360" s="115">
        <v>4.82</v>
      </c>
      <c r="W360" s="115">
        <f>$V$346*$K$346</f>
        <v>5.5430766380000005</v>
      </c>
      <c r="X360" s="115">
        <v>0</v>
      </c>
      <c r="Y360" s="115">
        <f>$X$346*$K$346</f>
        <v>0</v>
      </c>
      <c r="Z360" s="115">
        <v>0</v>
      </c>
      <c r="AA360" s="116">
        <f>$Z$346*$K$346</f>
        <v>0</v>
      </c>
      <c r="AR360" s="3" t="s">
        <v>117</v>
      </c>
      <c r="AT360" s="3" t="s">
        <v>111</v>
      </c>
      <c r="AU360" s="3" t="s">
        <v>93</v>
      </c>
      <c r="AY360" s="3" t="s">
        <v>110</v>
      </c>
      <c r="BE360" s="89">
        <f>IF($U$346="základní",$N$346,0)</f>
        <v>0</v>
      </c>
      <c r="BF360" s="89">
        <f>IF($U$346="snížená",$N$346,0)</f>
        <v>0</v>
      </c>
      <c r="BG360" s="89">
        <f>IF($U$346="zákl. přenesená",$N$346,0)</f>
        <v>0</v>
      </c>
      <c r="BH360" s="89">
        <f>IF($U$346="sníž. přenesená",$N$346,0)</f>
        <v>0</v>
      </c>
      <c r="BI360" s="89">
        <f>IF($U$346="nulová",$N$346,0)</f>
        <v>0</v>
      </c>
      <c r="BJ360" s="3" t="s">
        <v>93</v>
      </c>
      <c r="BK360" s="89">
        <f>ROUND($L$346*$K$346,2)</f>
        <v>0</v>
      </c>
      <c r="BL360" s="3" t="s">
        <v>117</v>
      </c>
      <c r="BM360" s="3" t="s">
        <v>161</v>
      </c>
    </row>
    <row r="361" spans="2:63" s="100" customFormat="1" ht="30.75" customHeight="1">
      <c r="B361" s="101"/>
      <c r="C361" s="136"/>
      <c r="D361" s="109" t="s">
        <v>283</v>
      </c>
      <c r="E361" s="109"/>
      <c r="F361" s="109"/>
      <c r="G361" s="109"/>
      <c r="H361" s="109"/>
      <c r="I361" s="109"/>
      <c r="J361" s="109"/>
      <c r="K361" s="109"/>
      <c r="L361" s="109"/>
      <c r="M361" s="109"/>
      <c r="N361" s="208">
        <f>N368+N371</f>
        <v>0</v>
      </c>
      <c r="O361" s="209"/>
      <c r="P361" s="209"/>
      <c r="Q361" s="209"/>
      <c r="R361" s="104"/>
      <c r="T361" s="105"/>
      <c r="W361" s="106">
        <f>SUM($W$618:$W$633)</f>
        <v>0</v>
      </c>
      <c r="Y361" s="106">
        <f>SUM($Y$618:$Y$633)</f>
        <v>0</v>
      </c>
      <c r="AA361" s="107">
        <f>SUM($AA$618:$AA$633)</f>
        <v>0</v>
      </c>
      <c r="AR361" s="103" t="s">
        <v>93</v>
      </c>
      <c r="AT361" s="103" t="s">
        <v>65</v>
      </c>
      <c r="AU361" s="103" t="s">
        <v>12</v>
      </c>
      <c r="AY361" s="103" t="s">
        <v>110</v>
      </c>
      <c r="BK361" s="108">
        <f>SUM($BK$618:$BK$633)</f>
        <v>0</v>
      </c>
    </row>
    <row r="362" spans="2:65" s="3" customFormat="1" ht="27" customHeight="1">
      <c r="B362" s="16"/>
      <c r="C362" s="133">
        <v>64</v>
      </c>
      <c r="D362" s="110" t="s">
        <v>111</v>
      </c>
      <c r="E362" s="130" t="s">
        <v>313</v>
      </c>
      <c r="F362" s="196" t="s">
        <v>314</v>
      </c>
      <c r="G362" s="197"/>
      <c r="H362" s="197"/>
      <c r="I362" s="197"/>
      <c r="J362" s="112" t="s">
        <v>115</v>
      </c>
      <c r="K362" s="113">
        <f>K364+K365+K367</f>
        <v>23.986000000000004</v>
      </c>
      <c r="L362" s="203"/>
      <c r="M362" s="197"/>
      <c r="N362" s="203">
        <f>K362*L362</f>
        <v>0</v>
      </c>
      <c r="O362" s="197"/>
      <c r="P362" s="197"/>
      <c r="Q362" s="197"/>
      <c r="R362" s="17"/>
      <c r="T362" s="114"/>
      <c r="U362" s="23" t="s">
        <v>33</v>
      </c>
      <c r="V362" s="115">
        <v>0.295</v>
      </c>
      <c r="W362" s="115">
        <f>$V$618*$K$618</f>
        <v>0</v>
      </c>
      <c r="X362" s="115">
        <v>0</v>
      </c>
      <c r="Y362" s="115">
        <f>$X$618*$K$618</f>
        <v>0</v>
      </c>
      <c r="Z362" s="115">
        <v>0.0815</v>
      </c>
      <c r="AA362" s="116">
        <f>$Z$618*$K$618</f>
        <v>0</v>
      </c>
      <c r="AD362" s="3">
        <v>0.00026</v>
      </c>
      <c r="AE362" s="3">
        <f>K362*AD362</f>
        <v>0.006236360000000001</v>
      </c>
      <c r="AR362" s="3" t="s">
        <v>117</v>
      </c>
      <c r="AT362" s="3" t="s">
        <v>111</v>
      </c>
      <c r="AU362" s="3" t="s">
        <v>93</v>
      </c>
      <c r="AY362" s="3" t="s">
        <v>110</v>
      </c>
      <c r="BE362" s="89">
        <f>IF($U$618="základní",$N$618,0)</f>
        <v>0</v>
      </c>
      <c r="BF362" s="89">
        <f>IF($U$618="snížená",$N$618,0)</f>
        <v>0</v>
      </c>
      <c r="BG362" s="89">
        <f>IF($U$618="zákl. přenesená",$N$618,0)</f>
        <v>0</v>
      </c>
      <c r="BH362" s="89">
        <f>IF($U$618="sníž. přenesená",$N$618,0)</f>
        <v>0</v>
      </c>
      <c r="BI362" s="89">
        <f>IF($U$618="nulová",$N$618,0)</f>
        <v>0</v>
      </c>
      <c r="BJ362" s="3" t="s">
        <v>93</v>
      </c>
      <c r="BK362" s="89">
        <f>ROUND($L$618*$K$618,2)</f>
        <v>0</v>
      </c>
      <c r="BL362" s="3" t="s">
        <v>117</v>
      </c>
      <c r="BM362" s="3" t="s">
        <v>170</v>
      </c>
    </row>
    <row r="363" spans="2:51" s="3" customFormat="1" ht="18.75" customHeight="1">
      <c r="B363" s="117"/>
      <c r="C363" s="135"/>
      <c r="E363" s="118"/>
      <c r="F363" s="188" t="s">
        <v>315</v>
      </c>
      <c r="G363" s="189"/>
      <c r="H363" s="189"/>
      <c r="I363" s="189"/>
      <c r="K363" s="118"/>
      <c r="R363" s="119"/>
      <c r="T363" s="120"/>
      <c r="AA363" s="121"/>
      <c r="AT363" s="118" t="s">
        <v>113</v>
      </c>
      <c r="AU363" s="118" t="s">
        <v>93</v>
      </c>
      <c r="AV363" s="118" t="s">
        <v>12</v>
      </c>
      <c r="AW363" s="118" t="s">
        <v>84</v>
      </c>
      <c r="AX363" s="118" t="s">
        <v>66</v>
      </c>
      <c r="AY363" s="118" t="s">
        <v>110</v>
      </c>
    </row>
    <row r="364" spans="2:51" s="3" customFormat="1" ht="15" customHeight="1">
      <c r="B364" s="122"/>
      <c r="C364" s="135"/>
      <c r="E364" s="123"/>
      <c r="F364" s="212" t="s">
        <v>316</v>
      </c>
      <c r="G364" s="213"/>
      <c r="H364" s="213"/>
      <c r="I364" s="213"/>
      <c r="K364" s="124">
        <f>3.14*0.2*15*2+0.4*0.3*4</f>
        <v>19.320000000000004</v>
      </c>
      <c r="R364" s="125"/>
      <c r="T364" s="126"/>
      <c r="AA364" s="127"/>
      <c r="AT364" s="123" t="s">
        <v>113</v>
      </c>
      <c r="AU364" s="123" t="s">
        <v>93</v>
      </c>
      <c r="AV364" s="123" t="s">
        <v>93</v>
      </c>
      <c r="AW364" s="123" t="s">
        <v>84</v>
      </c>
      <c r="AX364" s="123" t="s">
        <v>66</v>
      </c>
      <c r="AY364" s="123" t="s">
        <v>110</v>
      </c>
    </row>
    <row r="365" spans="2:51" s="3" customFormat="1" ht="18.75" customHeight="1">
      <c r="B365" s="117"/>
      <c r="C365" s="135"/>
      <c r="E365" s="118"/>
      <c r="F365" s="188" t="s">
        <v>317</v>
      </c>
      <c r="G365" s="189"/>
      <c r="H365" s="189"/>
      <c r="I365" s="189"/>
      <c r="K365" s="146">
        <f>K340</f>
        <v>2.25</v>
      </c>
      <c r="R365" s="119"/>
      <c r="T365" s="120"/>
      <c r="AA365" s="121"/>
      <c r="AT365" s="118" t="s">
        <v>113</v>
      </c>
      <c r="AU365" s="118" t="s">
        <v>93</v>
      </c>
      <c r="AV365" s="118" t="s">
        <v>12</v>
      </c>
      <c r="AW365" s="118" t="s">
        <v>84</v>
      </c>
      <c r="AX365" s="118" t="s">
        <v>66</v>
      </c>
      <c r="AY365" s="118" t="s">
        <v>110</v>
      </c>
    </row>
    <row r="366" spans="2:51" s="3" customFormat="1" ht="18.75" customHeight="1">
      <c r="B366" s="117"/>
      <c r="C366" s="135"/>
      <c r="E366" s="118"/>
      <c r="F366" s="188" t="s">
        <v>318</v>
      </c>
      <c r="G366" s="189"/>
      <c r="H366" s="189"/>
      <c r="I366" s="189"/>
      <c r="K366" s="118"/>
      <c r="R366" s="119"/>
      <c r="T366" s="120"/>
      <c r="AA366" s="121"/>
      <c r="AT366" s="118" t="s">
        <v>113</v>
      </c>
      <c r="AU366" s="118" t="s">
        <v>93</v>
      </c>
      <c r="AV366" s="118" t="s">
        <v>12</v>
      </c>
      <c r="AW366" s="118" t="s">
        <v>84</v>
      </c>
      <c r="AX366" s="118" t="s">
        <v>66</v>
      </c>
      <c r="AY366" s="118" t="s">
        <v>110</v>
      </c>
    </row>
    <row r="367" spans="2:51" s="3" customFormat="1" ht="15" customHeight="1">
      <c r="B367" s="122"/>
      <c r="C367" s="135"/>
      <c r="E367" s="123"/>
      <c r="F367" s="212" t="s">
        <v>319</v>
      </c>
      <c r="G367" s="213"/>
      <c r="H367" s="213"/>
      <c r="I367" s="213"/>
      <c r="K367" s="124">
        <f>12.08*0.2</f>
        <v>2.4160000000000004</v>
      </c>
      <c r="R367" s="125"/>
      <c r="T367" s="126"/>
      <c r="AA367" s="127"/>
      <c r="AT367" s="123" t="s">
        <v>113</v>
      </c>
      <c r="AU367" s="123" t="s">
        <v>93</v>
      </c>
      <c r="AV367" s="123" t="s">
        <v>93</v>
      </c>
      <c r="AW367" s="123" t="s">
        <v>84</v>
      </c>
      <c r="AX367" s="123" t="s">
        <v>66</v>
      </c>
      <c r="AY367" s="123" t="s">
        <v>110</v>
      </c>
    </row>
    <row r="368" spans="2:65" s="3" customFormat="1" ht="27" customHeight="1">
      <c r="B368" s="16"/>
      <c r="C368" s="133">
        <v>65</v>
      </c>
      <c r="D368" s="110" t="s">
        <v>111</v>
      </c>
      <c r="E368" s="130" t="s">
        <v>284</v>
      </c>
      <c r="F368" s="196" t="s">
        <v>285</v>
      </c>
      <c r="G368" s="197"/>
      <c r="H368" s="197"/>
      <c r="I368" s="197"/>
      <c r="J368" s="112" t="s">
        <v>115</v>
      </c>
      <c r="K368" s="113">
        <f>K370</f>
        <v>6.593000000000001</v>
      </c>
      <c r="L368" s="203"/>
      <c r="M368" s="197"/>
      <c r="N368" s="203">
        <f>K368*L368</f>
        <v>0</v>
      </c>
      <c r="O368" s="197"/>
      <c r="P368" s="197"/>
      <c r="Q368" s="197"/>
      <c r="R368" s="17"/>
      <c r="T368" s="114"/>
      <c r="U368" s="23" t="s">
        <v>33</v>
      </c>
      <c r="V368" s="115">
        <v>0.295</v>
      </c>
      <c r="W368" s="115">
        <f>$V$618*$K$618</f>
        <v>0</v>
      </c>
      <c r="X368" s="115">
        <v>0</v>
      </c>
      <c r="Y368" s="115">
        <f>$X$618*$K$618</f>
        <v>0</v>
      </c>
      <c r="Z368" s="115">
        <v>0.0815</v>
      </c>
      <c r="AA368" s="116">
        <f>$Z$618*$K$618</f>
        <v>0</v>
      </c>
      <c r="AD368" s="3">
        <v>0.06</v>
      </c>
      <c r="AE368" s="3">
        <f>K368*AD368</f>
        <v>0.39558000000000004</v>
      </c>
      <c r="AR368" s="3" t="s">
        <v>117</v>
      </c>
      <c r="AT368" s="3" t="s">
        <v>111</v>
      </c>
      <c r="AU368" s="3" t="s">
        <v>93</v>
      </c>
      <c r="AY368" s="3" t="s">
        <v>110</v>
      </c>
      <c r="BE368" s="89">
        <f>IF($U$618="základní",$N$618,0)</f>
        <v>0</v>
      </c>
      <c r="BF368" s="89">
        <f>IF($U$618="snížená",$N$618,0)</f>
        <v>0</v>
      </c>
      <c r="BG368" s="89">
        <f>IF($U$618="zákl. přenesená",$N$618,0)</f>
        <v>0</v>
      </c>
      <c r="BH368" s="89">
        <f>IF($U$618="sníž. přenesená",$N$618,0)</f>
        <v>0</v>
      </c>
      <c r="BI368" s="89">
        <f>IF($U$618="nulová",$N$618,0)</f>
        <v>0</v>
      </c>
      <c r="BJ368" s="3" t="s">
        <v>93</v>
      </c>
      <c r="BK368" s="89">
        <f>ROUND($L$618*$K$618,2)</f>
        <v>0</v>
      </c>
      <c r="BL368" s="3" t="s">
        <v>117</v>
      </c>
      <c r="BM368" s="3" t="s">
        <v>170</v>
      </c>
    </row>
    <row r="369" spans="2:51" s="3" customFormat="1" ht="18.75" customHeight="1">
      <c r="B369" s="117"/>
      <c r="C369" s="135"/>
      <c r="E369" s="118"/>
      <c r="F369" s="188" t="s">
        <v>286</v>
      </c>
      <c r="G369" s="189"/>
      <c r="H369" s="189"/>
      <c r="I369" s="189"/>
      <c r="K369" s="118"/>
      <c r="R369" s="119"/>
      <c r="T369" s="120"/>
      <c r="AA369" s="121"/>
      <c r="AT369" s="118" t="s">
        <v>113</v>
      </c>
      <c r="AU369" s="118" t="s">
        <v>93</v>
      </c>
      <c r="AV369" s="118" t="s">
        <v>12</v>
      </c>
      <c r="AW369" s="118" t="s">
        <v>84</v>
      </c>
      <c r="AX369" s="118" t="s">
        <v>66</v>
      </c>
      <c r="AY369" s="118" t="s">
        <v>110</v>
      </c>
    </row>
    <row r="370" spans="2:51" s="3" customFormat="1" ht="30" customHeight="1">
      <c r="B370" s="122"/>
      <c r="C370" s="135"/>
      <c r="E370" s="123"/>
      <c r="F370" s="212" t="s">
        <v>291</v>
      </c>
      <c r="G370" s="213"/>
      <c r="H370" s="213"/>
      <c r="I370" s="213"/>
      <c r="K370" s="124">
        <f>((2.26+1.04*2)*2*3+(2.955+0.96*2)*2*3+(2.82+1.25*2)*2)*0.1</f>
        <v>6.593000000000001</v>
      </c>
      <c r="R370" s="125"/>
      <c r="T370" s="126"/>
      <c r="AA370" s="127"/>
      <c r="AT370" s="123" t="s">
        <v>113</v>
      </c>
      <c r="AU370" s="123" t="s">
        <v>93</v>
      </c>
      <c r="AV370" s="123" t="s">
        <v>93</v>
      </c>
      <c r="AW370" s="123" t="s">
        <v>84</v>
      </c>
      <c r="AX370" s="123" t="s">
        <v>66</v>
      </c>
      <c r="AY370" s="123" t="s">
        <v>110</v>
      </c>
    </row>
    <row r="371" spans="2:65" s="3" customFormat="1" ht="27" customHeight="1">
      <c r="B371" s="16"/>
      <c r="C371" s="133">
        <v>66</v>
      </c>
      <c r="D371" s="110" t="s">
        <v>111</v>
      </c>
      <c r="E371" s="130" t="s">
        <v>288</v>
      </c>
      <c r="F371" s="196" t="s">
        <v>289</v>
      </c>
      <c r="G371" s="197"/>
      <c r="H371" s="197"/>
      <c r="I371" s="197"/>
      <c r="J371" s="112" t="s">
        <v>115</v>
      </c>
      <c r="K371" s="113">
        <f>K373</f>
        <v>32.965</v>
      </c>
      <c r="L371" s="204"/>
      <c r="M371" s="197"/>
      <c r="N371" s="203">
        <f>K371*L371</f>
        <v>0</v>
      </c>
      <c r="O371" s="197"/>
      <c r="P371" s="197"/>
      <c r="Q371" s="197"/>
      <c r="R371" s="17"/>
      <c r="T371" s="114"/>
      <c r="U371" s="23" t="s">
        <v>33</v>
      </c>
      <c r="V371" s="115">
        <v>0.295</v>
      </c>
      <c r="W371" s="115">
        <f>$V$618*$K$618</f>
        <v>0</v>
      </c>
      <c r="X371" s="115">
        <v>0</v>
      </c>
      <c r="Y371" s="115">
        <f>$X$618*$K$618</f>
        <v>0</v>
      </c>
      <c r="Z371" s="115">
        <v>0.0815</v>
      </c>
      <c r="AA371" s="116">
        <f>$Z$618*$K$618</f>
        <v>0</v>
      </c>
      <c r="AD371" s="3">
        <v>0.06</v>
      </c>
      <c r="AE371" s="3">
        <f>K371*AD371</f>
        <v>1.9779000000000002</v>
      </c>
      <c r="AR371" s="3" t="s">
        <v>117</v>
      </c>
      <c r="AT371" s="3" t="s">
        <v>111</v>
      </c>
      <c r="AU371" s="3" t="s">
        <v>93</v>
      </c>
      <c r="AY371" s="3" t="s">
        <v>110</v>
      </c>
      <c r="BE371" s="89">
        <f>IF($U$618="základní",$N$618,0)</f>
        <v>0</v>
      </c>
      <c r="BF371" s="89">
        <f>IF($U$618="snížená",$N$618,0)</f>
        <v>0</v>
      </c>
      <c r="BG371" s="89">
        <f>IF($U$618="zákl. přenesená",$N$618,0)</f>
        <v>0</v>
      </c>
      <c r="BH371" s="89">
        <f>IF($U$618="sníž. přenesená",$N$618,0)</f>
        <v>0</v>
      </c>
      <c r="BI371" s="89">
        <f>IF($U$618="nulová",$N$618,0)</f>
        <v>0</v>
      </c>
      <c r="BJ371" s="3" t="s">
        <v>93</v>
      </c>
      <c r="BK371" s="89">
        <f>ROUND($L$618*$K$618,2)</f>
        <v>0</v>
      </c>
      <c r="BL371" s="3" t="s">
        <v>117</v>
      </c>
      <c r="BM371" s="3" t="s">
        <v>170</v>
      </c>
    </row>
    <row r="372" spans="2:51" s="3" customFormat="1" ht="18.75" customHeight="1">
      <c r="B372" s="117"/>
      <c r="C372" s="135"/>
      <c r="E372" s="118"/>
      <c r="F372" s="188" t="s">
        <v>287</v>
      </c>
      <c r="G372" s="189"/>
      <c r="H372" s="189"/>
      <c r="I372" s="189"/>
      <c r="K372" s="118"/>
      <c r="R372" s="119"/>
      <c r="T372" s="120"/>
      <c r="AA372" s="121"/>
      <c r="AT372" s="118" t="s">
        <v>113</v>
      </c>
      <c r="AU372" s="118" t="s">
        <v>93</v>
      </c>
      <c r="AV372" s="118" t="s">
        <v>12</v>
      </c>
      <c r="AW372" s="118" t="s">
        <v>84</v>
      </c>
      <c r="AX372" s="118" t="s">
        <v>66</v>
      </c>
      <c r="AY372" s="118" t="s">
        <v>110</v>
      </c>
    </row>
    <row r="373" spans="2:51" s="3" customFormat="1" ht="30" customHeight="1">
      <c r="B373" s="122"/>
      <c r="C373" s="135"/>
      <c r="E373" s="123"/>
      <c r="F373" s="212" t="s">
        <v>290</v>
      </c>
      <c r="G373" s="213"/>
      <c r="H373" s="213"/>
      <c r="I373" s="213"/>
      <c r="K373" s="124">
        <f>((2.26+1.04*2)*2*3+(2.955+0.96*2)*2*3+(2.82+1.25*2)*2)*0.5</f>
        <v>32.965</v>
      </c>
      <c r="R373" s="125"/>
      <c r="T373" s="126"/>
      <c r="AA373" s="127"/>
      <c r="AT373" s="123" t="s">
        <v>113</v>
      </c>
      <c r="AU373" s="123" t="s">
        <v>93</v>
      </c>
      <c r="AV373" s="123" t="s">
        <v>93</v>
      </c>
      <c r="AW373" s="123" t="s">
        <v>84</v>
      </c>
      <c r="AX373" s="123" t="s">
        <v>66</v>
      </c>
      <c r="AY373" s="123" t="s">
        <v>110</v>
      </c>
    </row>
  </sheetData>
  <sheetProtection/>
  <mergeCells count="459">
    <mergeCell ref="F236:I236"/>
    <mergeCell ref="L237:M237"/>
    <mergeCell ref="N237:Q237"/>
    <mergeCell ref="F263:I263"/>
    <mergeCell ref="F261:I261"/>
    <mergeCell ref="F262:I262"/>
    <mergeCell ref="F238:I238"/>
    <mergeCell ref="F239:I239"/>
    <mergeCell ref="L243:M243"/>
    <mergeCell ref="F253:I253"/>
    <mergeCell ref="N135:Q135"/>
    <mergeCell ref="F133:I133"/>
    <mergeCell ref="F132:I132"/>
    <mergeCell ref="L132:M132"/>
    <mergeCell ref="N234:Q234"/>
    <mergeCell ref="F235:I235"/>
    <mergeCell ref="L234:M234"/>
    <mergeCell ref="N132:Q132"/>
    <mergeCell ref="F134:I134"/>
    <mergeCell ref="L134:M134"/>
    <mergeCell ref="N134:Q134"/>
    <mergeCell ref="F131:I131"/>
    <mergeCell ref="F136:I136"/>
    <mergeCell ref="L136:M136"/>
    <mergeCell ref="N136:Q136"/>
    <mergeCell ref="F135:I135"/>
    <mergeCell ref="L135:M135"/>
    <mergeCell ref="F129:I129"/>
    <mergeCell ref="L129:M129"/>
    <mergeCell ref="N129:Q129"/>
    <mergeCell ref="F130:I130"/>
    <mergeCell ref="L130:M130"/>
    <mergeCell ref="N130:Q130"/>
    <mergeCell ref="N79:Q79"/>
    <mergeCell ref="F128:I128"/>
    <mergeCell ref="L128:M128"/>
    <mergeCell ref="N128:Q128"/>
    <mergeCell ref="F104:P104"/>
    <mergeCell ref="F105:P105"/>
    <mergeCell ref="N89:Q89"/>
    <mergeCell ref="N92:Q92"/>
    <mergeCell ref="D93:H93"/>
    <mergeCell ref="N93:Q93"/>
    <mergeCell ref="L226:M226"/>
    <mergeCell ref="N226:Q226"/>
    <mergeCell ref="F227:I227"/>
    <mergeCell ref="N115:Q115"/>
    <mergeCell ref="F122:I122"/>
    <mergeCell ref="L122:M122"/>
    <mergeCell ref="N122:Q122"/>
    <mergeCell ref="F123:I123"/>
    <mergeCell ref="F124:I124"/>
    <mergeCell ref="F125:I125"/>
    <mergeCell ref="F366:I366"/>
    <mergeCell ref="F367:I367"/>
    <mergeCell ref="F165:I165"/>
    <mergeCell ref="F166:I166"/>
    <mergeCell ref="F216:I216"/>
    <mergeCell ref="F217:I217"/>
    <mergeCell ref="F226:I226"/>
    <mergeCell ref="F231:I231"/>
    <mergeCell ref="F232:I232"/>
    <mergeCell ref="F267:I267"/>
    <mergeCell ref="N343:Q343"/>
    <mergeCell ref="F344:I344"/>
    <mergeCell ref="F345:I345"/>
    <mergeCell ref="F335:I335"/>
    <mergeCell ref="L335:M335"/>
    <mergeCell ref="N335:Q335"/>
    <mergeCell ref="L340:M340"/>
    <mergeCell ref="N340:Q340"/>
    <mergeCell ref="L336:M336"/>
    <mergeCell ref="F338:I338"/>
    <mergeCell ref="F343:I343"/>
    <mergeCell ref="L343:M343"/>
    <mergeCell ref="F241:I241"/>
    <mergeCell ref="F244:I244"/>
    <mergeCell ref="F258:I258"/>
    <mergeCell ref="F259:I259"/>
    <mergeCell ref="F255:I255"/>
    <mergeCell ref="F257:I257"/>
    <mergeCell ref="F159:I159"/>
    <mergeCell ref="F160:I160"/>
    <mergeCell ref="F161:I161"/>
    <mergeCell ref="F162:I162"/>
    <mergeCell ref="F163:I163"/>
    <mergeCell ref="F164:I164"/>
    <mergeCell ref="N360:Q360"/>
    <mergeCell ref="F355:I355"/>
    <mergeCell ref="L355:M355"/>
    <mergeCell ref="N355:Q355"/>
    <mergeCell ref="F356:I356"/>
    <mergeCell ref="F357:I357"/>
    <mergeCell ref="F358:I358"/>
    <mergeCell ref="F359:I359"/>
    <mergeCell ref="F152:I152"/>
    <mergeCell ref="F154:I154"/>
    <mergeCell ref="F150:I150"/>
    <mergeCell ref="F151:I151"/>
    <mergeCell ref="F360:I360"/>
    <mergeCell ref="L360:M360"/>
    <mergeCell ref="F153:I153"/>
    <mergeCell ref="F156:I156"/>
    <mergeCell ref="F157:I157"/>
    <mergeCell ref="F158:I158"/>
    <mergeCell ref="F352:I352"/>
    <mergeCell ref="L352:M352"/>
    <mergeCell ref="N352:Q352"/>
    <mergeCell ref="F353:I353"/>
    <mergeCell ref="F354:I354"/>
    <mergeCell ref="N84:Q84"/>
    <mergeCell ref="N88:Q88"/>
    <mergeCell ref="N90:Q90"/>
    <mergeCell ref="F148:I148"/>
    <mergeCell ref="F149:I149"/>
    <mergeCell ref="N347:Q347"/>
    <mergeCell ref="F350:I350"/>
    <mergeCell ref="L350:M350"/>
    <mergeCell ref="N350:Q350"/>
    <mergeCell ref="F348:I348"/>
    <mergeCell ref="L348:M348"/>
    <mergeCell ref="N348:Q348"/>
    <mergeCell ref="F349:I349"/>
    <mergeCell ref="F365:I365"/>
    <mergeCell ref="L175:M175"/>
    <mergeCell ref="N175:Q175"/>
    <mergeCell ref="N310:Q310"/>
    <mergeCell ref="L311:M311"/>
    <mergeCell ref="L249:M249"/>
    <mergeCell ref="N249:Q249"/>
    <mergeCell ref="L264:M264"/>
    <mergeCell ref="N264:Q264"/>
    <mergeCell ref="N228:Q228"/>
    <mergeCell ref="F328:I328"/>
    <mergeCell ref="N361:Q361"/>
    <mergeCell ref="F368:I368"/>
    <mergeCell ref="L368:M368"/>
    <mergeCell ref="N368:Q368"/>
    <mergeCell ref="F362:I362"/>
    <mergeCell ref="L362:M362"/>
    <mergeCell ref="N362:Q362"/>
    <mergeCell ref="F363:I363"/>
    <mergeCell ref="F364:I364"/>
    <mergeCell ref="F190:I190"/>
    <mergeCell ref="F314:I314"/>
    <mergeCell ref="F351:I351"/>
    <mergeCell ref="N311:Q311"/>
    <mergeCell ref="F331:I331"/>
    <mergeCell ref="L331:M331"/>
    <mergeCell ref="N331:Q331"/>
    <mergeCell ref="L326:M326"/>
    <mergeCell ref="F312:I312"/>
    <mergeCell ref="N336:Q336"/>
    <mergeCell ref="F185:I185"/>
    <mergeCell ref="N243:Q243"/>
    <mergeCell ref="N270:Q270"/>
    <mergeCell ref="N313:Q313"/>
    <mergeCell ref="F169:I169"/>
    <mergeCell ref="L169:M169"/>
    <mergeCell ref="N169:Q169"/>
    <mergeCell ref="F201:I201"/>
    <mergeCell ref="F176:I176"/>
    <mergeCell ref="F191:I191"/>
    <mergeCell ref="F126:I126"/>
    <mergeCell ref="L125:M125"/>
    <mergeCell ref="N125:Q125"/>
    <mergeCell ref="F127:I127"/>
    <mergeCell ref="L179:M179"/>
    <mergeCell ref="L224:M224"/>
    <mergeCell ref="F208:I208"/>
    <mergeCell ref="F189:I189"/>
    <mergeCell ref="F192:I192"/>
    <mergeCell ref="F195:I195"/>
    <mergeCell ref="O19:P19"/>
    <mergeCell ref="C3:Q3"/>
    <mergeCell ref="F5:P5"/>
    <mergeCell ref="F6:P6"/>
    <mergeCell ref="O8:P8"/>
    <mergeCell ref="O10:P10"/>
    <mergeCell ref="O11:P11"/>
    <mergeCell ref="O13:P13"/>
    <mergeCell ref="O14:P14"/>
    <mergeCell ref="O16:P16"/>
    <mergeCell ref="H34:J34"/>
    <mergeCell ref="M34:P34"/>
    <mergeCell ref="O20:P20"/>
    <mergeCell ref="E23:L23"/>
    <mergeCell ref="M26:P26"/>
    <mergeCell ref="M27:P27"/>
    <mergeCell ref="M29:P29"/>
    <mergeCell ref="H31:J31"/>
    <mergeCell ref="O17:P17"/>
    <mergeCell ref="M73:Q73"/>
    <mergeCell ref="M31:P31"/>
    <mergeCell ref="H32:J32"/>
    <mergeCell ref="M32:P32"/>
    <mergeCell ref="H33:J33"/>
    <mergeCell ref="M33:P33"/>
    <mergeCell ref="F67:P67"/>
    <mergeCell ref="F68:P68"/>
    <mergeCell ref="M70:P70"/>
    <mergeCell ref="M72:Q72"/>
    <mergeCell ref="H35:J35"/>
    <mergeCell ref="M35:P35"/>
    <mergeCell ref="L37:P37"/>
    <mergeCell ref="C65:Q65"/>
    <mergeCell ref="F72:I72"/>
    <mergeCell ref="C75:G75"/>
    <mergeCell ref="N75:Q75"/>
    <mergeCell ref="N87:Q87"/>
    <mergeCell ref="N78:Q78"/>
    <mergeCell ref="N81:Q81"/>
    <mergeCell ref="N82:Q82"/>
    <mergeCell ref="N83:Q83"/>
    <mergeCell ref="N85:Q85"/>
    <mergeCell ref="N86:Q86"/>
    <mergeCell ref="N77:Q77"/>
    <mergeCell ref="F292:I292"/>
    <mergeCell ref="F287:I287"/>
    <mergeCell ref="M107:P107"/>
    <mergeCell ref="M109:Q109"/>
    <mergeCell ref="M110:Q110"/>
    <mergeCell ref="F112:I112"/>
    <mergeCell ref="L112:M112"/>
    <mergeCell ref="N112:Q112"/>
    <mergeCell ref="L247:M247"/>
    <mergeCell ref="N247:Q247"/>
    <mergeCell ref="F307:I307"/>
    <mergeCell ref="F308:I308"/>
    <mergeCell ref="F203:I203"/>
    <mergeCell ref="F204:I204"/>
    <mergeCell ref="F300:I300"/>
    <mergeCell ref="F302:I302"/>
    <mergeCell ref="F294:I294"/>
    <mergeCell ref="F295:I295"/>
    <mergeCell ref="F296:I296"/>
    <mergeCell ref="F291:I291"/>
    <mergeCell ref="F313:I313"/>
    <mergeCell ref="F224:I224"/>
    <mergeCell ref="F228:I228"/>
    <mergeCell ref="F225:I225"/>
    <mergeCell ref="F248:I248"/>
    <mergeCell ref="F311:I311"/>
    <mergeCell ref="F249:I249"/>
    <mergeCell ref="F306:I306"/>
    <mergeCell ref="F309:I309"/>
    <mergeCell ref="F288:I288"/>
    <mergeCell ref="F264:I264"/>
    <mergeCell ref="L251:M251"/>
    <mergeCell ref="F202:I202"/>
    <mergeCell ref="F205:I205"/>
    <mergeCell ref="F251:I251"/>
    <mergeCell ref="L228:M228"/>
    <mergeCell ref="F250:I250"/>
    <mergeCell ref="F206:I206"/>
    <mergeCell ref="F207:I207"/>
    <mergeCell ref="F209:I209"/>
    <mergeCell ref="N225:Q225"/>
    <mergeCell ref="L313:M313"/>
    <mergeCell ref="L273:M273"/>
    <mergeCell ref="N273:Q273"/>
    <mergeCell ref="L270:M270"/>
    <mergeCell ref="L271:M271"/>
    <mergeCell ref="L266:M266"/>
    <mergeCell ref="L268:M268"/>
    <mergeCell ref="L253:M253"/>
    <mergeCell ref="L269:M269"/>
    <mergeCell ref="N266:Q266"/>
    <mergeCell ref="N268:Q268"/>
    <mergeCell ref="N253:Q253"/>
    <mergeCell ref="N252:Q252"/>
    <mergeCell ref="N318:Q318"/>
    <mergeCell ref="N231:Q231"/>
    <mergeCell ref="N269:Q269"/>
    <mergeCell ref="N251:Q251"/>
    <mergeCell ref="F346:I346"/>
    <mergeCell ref="L346:M346"/>
    <mergeCell ref="L334:M334"/>
    <mergeCell ref="N346:Q346"/>
    <mergeCell ref="N334:Q334"/>
    <mergeCell ref="F342:I342"/>
    <mergeCell ref="F339:I339"/>
    <mergeCell ref="L339:M339"/>
    <mergeCell ref="N339:Q339"/>
    <mergeCell ref="F340:I340"/>
    <mergeCell ref="F334:I334"/>
    <mergeCell ref="L318:M318"/>
    <mergeCell ref="F320:I320"/>
    <mergeCell ref="L320:M320"/>
    <mergeCell ref="L333:M333"/>
    <mergeCell ref="L323:M323"/>
    <mergeCell ref="L328:M328"/>
    <mergeCell ref="L321:M321"/>
    <mergeCell ref="F333:I333"/>
    <mergeCell ref="F318:I318"/>
    <mergeCell ref="N333:Q333"/>
    <mergeCell ref="N323:Q323"/>
    <mergeCell ref="L322:M322"/>
    <mergeCell ref="N322:Q322"/>
    <mergeCell ref="N332:Q332"/>
    <mergeCell ref="N324:Q324"/>
    <mergeCell ref="N326:Q326"/>
    <mergeCell ref="N325:Q325"/>
    <mergeCell ref="N328:Q328"/>
    <mergeCell ref="N114:Q114"/>
    <mergeCell ref="N146:Q146"/>
    <mergeCell ref="N319:Q319"/>
    <mergeCell ref="N317:Q317"/>
    <mergeCell ref="N271:Q271"/>
    <mergeCell ref="N272:Q272"/>
    <mergeCell ref="N147:Q147"/>
    <mergeCell ref="N143:Q143"/>
    <mergeCell ref="N179:Q179"/>
    <mergeCell ref="N224:Q224"/>
    <mergeCell ref="F323:I323"/>
    <mergeCell ref="F321:I321"/>
    <mergeCell ref="F327:I327"/>
    <mergeCell ref="F326:I326"/>
    <mergeCell ref="F322:I322"/>
    <mergeCell ref="N320:Q320"/>
    <mergeCell ref="N321:Q321"/>
    <mergeCell ref="F329:I329"/>
    <mergeCell ref="F330:I330"/>
    <mergeCell ref="F341:I341"/>
    <mergeCell ref="F297:I297"/>
    <mergeCell ref="F298:I298"/>
    <mergeCell ref="F299:I299"/>
    <mergeCell ref="F301:I301"/>
    <mergeCell ref="F303:I303"/>
    <mergeCell ref="F304:I304"/>
    <mergeCell ref="F305:I305"/>
    <mergeCell ref="F337:I337"/>
    <mergeCell ref="F316:I316"/>
    <mergeCell ref="F179:I179"/>
    <mergeCell ref="F199:I199"/>
    <mergeCell ref="F181:I181"/>
    <mergeCell ref="F182:I182"/>
    <mergeCell ref="F183:I183"/>
    <mergeCell ref="F184:I184"/>
    <mergeCell ref="F180:I180"/>
    <mergeCell ref="F193:I193"/>
    <mergeCell ref="F284:I284"/>
    <mergeCell ref="F285:I285"/>
    <mergeCell ref="F286:I286"/>
    <mergeCell ref="F273:I273"/>
    <mergeCell ref="F283:I283"/>
    <mergeCell ref="F276:I276"/>
    <mergeCell ref="F277:I277"/>
    <mergeCell ref="F278:I278"/>
    <mergeCell ref="F271:I271"/>
    <mergeCell ref="F270:I270"/>
    <mergeCell ref="F197:I197"/>
    <mergeCell ref="F198:I198"/>
    <mergeCell ref="F200:I200"/>
    <mergeCell ref="F230:I230"/>
    <mergeCell ref="F234:I234"/>
    <mergeCell ref="F269:I269"/>
    <mergeCell ref="F265:I265"/>
    <mergeCell ref="F266:I266"/>
    <mergeCell ref="L293:M293"/>
    <mergeCell ref="N293:Q293"/>
    <mergeCell ref="F186:I186"/>
    <mergeCell ref="F188:I188"/>
    <mergeCell ref="F187:I187"/>
    <mergeCell ref="F282:I282"/>
    <mergeCell ref="F245:I245"/>
    <mergeCell ref="F247:I247"/>
    <mergeCell ref="F256:I256"/>
    <mergeCell ref="F254:I254"/>
    <mergeCell ref="F211:I211"/>
    <mergeCell ref="F214:I214"/>
    <mergeCell ref="L240:M240"/>
    <mergeCell ref="F147:I147"/>
    <mergeCell ref="L147:M147"/>
    <mergeCell ref="F155:I155"/>
    <mergeCell ref="F170:I170"/>
    <mergeCell ref="L225:M225"/>
    <mergeCell ref="F196:I196"/>
    <mergeCell ref="F194:I194"/>
    <mergeCell ref="L231:M231"/>
    <mergeCell ref="F220:I220"/>
    <mergeCell ref="F281:I281"/>
    <mergeCell ref="F212:I212"/>
    <mergeCell ref="F213:I213"/>
    <mergeCell ref="F215:I215"/>
    <mergeCell ref="F268:I268"/>
    <mergeCell ref="F260:I260"/>
    <mergeCell ref="F280:I280"/>
    <mergeCell ref="F243:I243"/>
    <mergeCell ref="F279:I279"/>
    <mergeCell ref="F289:I289"/>
    <mergeCell ref="F290:I290"/>
    <mergeCell ref="F171:I171"/>
    <mergeCell ref="F172:I172"/>
    <mergeCell ref="F173:I173"/>
    <mergeCell ref="F177:I177"/>
    <mergeCell ref="F174:I174"/>
    <mergeCell ref="F175:I175"/>
    <mergeCell ref="F178:I178"/>
    <mergeCell ref="L143:M143"/>
    <mergeCell ref="F229:I229"/>
    <mergeCell ref="F210:I210"/>
    <mergeCell ref="F373:I373"/>
    <mergeCell ref="F369:I369"/>
    <mergeCell ref="F370:I370"/>
    <mergeCell ref="F242:I242"/>
    <mergeCell ref="F336:I336"/>
    <mergeCell ref="F371:I371"/>
    <mergeCell ref="F293:I293"/>
    <mergeCell ref="F372:I372"/>
    <mergeCell ref="N137:Q137"/>
    <mergeCell ref="F138:I138"/>
    <mergeCell ref="L138:M138"/>
    <mergeCell ref="N138:Q138"/>
    <mergeCell ref="F139:I139"/>
    <mergeCell ref="F140:I140"/>
    <mergeCell ref="F141:I141"/>
    <mergeCell ref="N240:Q240"/>
    <mergeCell ref="F221:I221"/>
    <mergeCell ref="F117:I117"/>
    <mergeCell ref="F118:I118"/>
    <mergeCell ref="F119:I119"/>
    <mergeCell ref="L119:M119"/>
    <mergeCell ref="L371:M371"/>
    <mergeCell ref="N371:Q371"/>
    <mergeCell ref="L141:M141"/>
    <mergeCell ref="N141:Q141"/>
    <mergeCell ref="F142:I142"/>
    <mergeCell ref="F143:I143"/>
    <mergeCell ref="N80:Q80"/>
    <mergeCell ref="F116:I116"/>
    <mergeCell ref="L116:M116"/>
    <mergeCell ref="N116:Q116"/>
    <mergeCell ref="N91:Q91"/>
    <mergeCell ref="D94:H94"/>
    <mergeCell ref="N94:Q94"/>
    <mergeCell ref="L96:Q96"/>
    <mergeCell ref="C102:Q102"/>
    <mergeCell ref="N113:Q113"/>
    <mergeCell ref="N119:Q119"/>
    <mergeCell ref="F120:I120"/>
    <mergeCell ref="F121:I121"/>
    <mergeCell ref="F246:I246"/>
    <mergeCell ref="L246:M246"/>
    <mergeCell ref="N246:Q246"/>
    <mergeCell ref="F167:I167"/>
    <mergeCell ref="F168:I168"/>
    <mergeCell ref="F144:I144"/>
    <mergeCell ref="F145:I145"/>
    <mergeCell ref="F315:I315"/>
    <mergeCell ref="F219:I219"/>
    <mergeCell ref="F218:I218"/>
    <mergeCell ref="F222:I222"/>
    <mergeCell ref="F223:I223"/>
    <mergeCell ref="F240:I240"/>
    <mergeCell ref="F274:I274"/>
    <mergeCell ref="F275:I275"/>
    <mergeCell ref="F233:I233"/>
    <mergeCell ref="F237:I237"/>
  </mergeCells>
  <printOptions horizontalCentered="1"/>
  <pageMargins left="0.5905511811023623" right="0.5905511811023623" top="0.5118110236220472" bottom="0.4724409448818898" header="0" footer="0"/>
  <pageSetup fitToHeight="100" orientation="portrait" paperSize="9" scale="91" r:id="rId1"/>
  <headerFooter alignWithMargins="0">
    <oddFooter>&amp;CStrana &amp;P z &amp;N</oddFooter>
  </headerFooter>
  <rowBreaks count="5" manualBreakCount="5">
    <brk id="145" min="2" max="16" man="1"/>
    <brk id="193" min="2" max="16" man="1"/>
    <brk id="242" min="2" max="16" man="1"/>
    <brk id="292" min="2" max="16" man="1"/>
    <brk id="331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krizovaj</cp:lastModifiedBy>
  <cp:lastPrinted>2017-09-04T08:39:11Z</cp:lastPrinted>
  <dcterms:created xsi:type="dcterms:W3CDTF">2015-05-28T08:50:15Z</dcterms:created>
  <dcterms:modified xsi:type="dcterms:W3CDTF">2017-09-08T09:38:09Z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