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tuální projekty vašek\opletalova\14_VR\odpovědi soutěžícím\P6_Rozpocet\Přílohy - soupis prací - restaurátorský záměr\"/>
    </mc:Choice>
  </mc:AlternateContent>
  <bookViews>
    <workbookView xWindow="0" yWindow="0" windowWidth="29325" windowHeight="14460" activeTab="1"/>
  </bookViews>
  <sheets>
    <sheet name="Rekapitulace stavby" sheetId="1" r:id="rId1"/>
    <sheet name="10 - RESTAURÁTORSKÝ ZÁMĚR..." sheetId="2" r:id="rId2"/>
    <sheet name="11 - RESTAURÁTORSKÝ ZÁMĚR..." sheetId="3" r:id="rId3"/>
    <sheet name="12 - RESTAURÁTORSKÝ ZÁMĚR..." sheetId="4" r:id="rId4"/>
    <sheet name="13 - RESTAURÁTORSKÝ ZÁMĚR..." sheetId="5" r:id="rId5"/>
    <sheet name="14 - RESTAURÁTORSKÝ ZÁMĚR..." sheetId="6" r:id="rId6"/>
    <sheet name="15 - RESTAURÁTORSKÝ ZÁMĚR..." sheetId="7" r:id="rId7"/>
  </sheets>
  <definedNames>
    <definedName name="_xlnm._FilterDatabase" localSheetId="1" hidden="1">'10 - RESTAURÁTORSKÝ ZÁMĚR...'!$C$137:$K$220</definedName>
    <definedName name="_xlnm._FilterDatabase" localSheetId="2" hidden="1">'11 - RESTAURÁTORSKÝ ZÁMĚR...'!$C$143:$K$410</definedName>
    <definedName name="_xlnm._FilterDatabase" localSheetId="3" hidden="1">'12 - RESTAURÁTORSKÝ ZÁMĚR...'!$C$141:$K$670</definedName>
    <definedName name="_xlnm._FilterDatabase" localSheetId="4" hidden="1">'13 - RESTAURÁTORSKÝ ZÁMĚR...'!$C$136:$K$314</definedName>
    <definedName name="_xlnm._FilterDatabase" localSheetId="5" hidden="1">'14 - RESTAURÁTORSKÝ ZÁMĚR...'!$C$119:$K$204</definedName>
    <definedName name="_xlnm._FilterDatabase" localSheetId="6" hidden="1">'15 - RESTAURÁTORSKÝ ZÁMĚR...'!$C$117:$K$134</definedName>
    <definedName name="_xlnm.Print_Titles" localSheetId="1">'10 - RESTAURÁTORSKÝ ZÁMĚR...'!$137:$137</definedName>
    <definedName name="_xlnm.Print_Titles" localSheetId="2">'11 - RESTAURÁTORSKÝ ZÁMĚR...'!$143:$143</definedName>
    <definedName name="_xlnm.Print_Titles" localSheetId="3">'12 - RESTAURÁTORSKÝ ZÁMĚR...'!$141:$141</definedName>
    <definedName name="_xlnm.Print_Titles" localSheetId="4">'13 - RESTAURÁTORSKÝ ZÁMĚR...'!$136:$136</definedName>
    <definedName name="_xlnm.Print_Titles" localSheetId="5">'14 - RESTAURÁTORSKÝ ZÁMĚR...'!$119:$119</definedName>
    <definedName name="_xlnm.Print_Titles" localSheetId="6">'15 - RESTAURÁTORSKÝ ZÁMĚR...'!$117:$117</definedName>
    <definedName name="_xlnm.Print_Titles" localSheetId="0">'Rekapitulace stavby'!$92:$92</definedName>
    <definedName name="_xlnm.Print_Area" localSheetId="1">'10 - RESTAURÁTORSKÝ ZÁMĚR...'!$C$4:$J$39,'10 - RESTAURÁTORSKÝ ZÁMĚR...'!$C$50:$J$76,'10 - RESTAURÁTORSKÝ ZÁMĚR...'!$C$82:$J$119,'10 - RESTAURÁTORSKÝ ZÁMĚR...'!$C$125:$K$220</definedName>
    <definedName name="_xlnm.Print_Area" localSheetId="2">'11 - RESTAURÁTORSKÝ ZÁMĚR...'!$C$4:$J$39,'11 - RESTAURÁTORSKÝ ZÁMĚR...'!$C$50:$J$76,'11 - RESTAURÁTORSKÝ ZÁMĚR...'!$C$82:$J$125,'11 - RESTAURÁTORSKÝ ZÁMĚR...'!$C$131:$K$410</definedName>
    <definedName name="_xlnm.Print_Area" localSheetId="3">'12 - RESTAURÁTORSKÝ ZÁMĚR...'!$C$4:$J$39,'12 - RESTAURÁTORSKÝ ZÁMĚR...'!$C$50:$J$76,'12 - RESTAURÁTORSKÝ ZÁMĚR...'!$C$82:$J$123,'12 - RESTAURÁTORSKÝ ZÁMĚR...'!$C$129:$K$670</definedName>
    <definedName name="_xlnm.Print_Area" localSheetId="4">'13 - RESTAURÁTORSKÝ ZÁMĚR...'!$C$4:$J$39,'13 - RESTAURÁTORSKÝ ZÁMĚR...'!$C$50:$J$76,'13 - RESTAURÁTORSKÝ ZÁMĚR...'!$C$82:$J$118,'13 - RESTAURÁTORSKÝ ZÁMĚR...'!$C$124:$K$314</definedName>
    <definedName name="_xlnm.Print_Area" localSheetId="5">'14 - RESTAURÁTORSKÝ ZÁMĚR...'!$C$4:$J$39,'14 - RESTAURÁTORSKÝ ZÁMĚR...'!$C$50:$J$76,'14 - RESTAURÁTORSKÝ ZÁMĚR...'!$C$82:$J$101,'14 - RESTAURÁTORSKÝ ZÁMĚR...'!$C$107:$K$204</definedName>
    <definedName name="_xlnm.Print_Area" localSheetId="6">'15 - RESTAURÁTORSKÝ ZÁMĚR...'!$C$4:$J$39,'15 - RESTAURÁTORSKÝ ZÁMĚR...'!$C$50:$J$76,'15 - RESTAURÁTORSKÝ ZÁMĚR...'!$C$82:$J$99,'15 - RESTAURÁTORSKÝ ZÁMĚR...'!$C$105:$K$134</definedName>
    <definedName name="_xlnm.Print_Area" localSheetId="0">'Rekapitulace stavby'!$D$4:$AO$76,'Rekapitulace stavby'!$C$82:$AQ$101</definedName>
  </definedNames>
  <calcPr calcId="152511"/>
</workbook>
</file>

<file path=xl/calcChain.xml><?xml version="1.0" encoding="utf-8"?>
<calcChain xmlns="http://schemas.openxmlformats.org/spreadsheetml/2006/main">
  <c r="J199" i="5" l="1"/>
  <c r="H655" i="4"/>
  <c r="H654" i="4"/>
  <c r="H671" i="4"/>
  <c r="H657" i="4"/>
  <c r="H649" i="4"/>
  <c r="H628" i="4"/>
  <c r="H627" i="4"/>
  <c r="H622" i="4"/>
  <c r="H602" i="4"/>
  <c r="H601" i="4"/>
  <c r="H599" i="4"/>
  <c r="H597" i="4"/>
  <c r="H577" i="4"/>
  <c r="H576" i="4"/>
  <c r="H571" i="4"/>
  <c r="H551" i="4"/>
  <c r="H550" i="4"/>
  <c r="H530" i="4"/>
  <c r="H529" i="4"/>
  <c r="H527" i="4"/>
  <c r="H511" i="4"/>
  <c r="H510" i="4"/>
  <c r="H505" i="4"/>
  <c r="H503" i="4"/>
  <c r="H486" i="4"/>
  <c r="H481" i="4"/>
  <c r="H461" i="4"/>
  <c r="H460" i="4"/>
  <c r="G457" i="4"/>
  <c r="H437" i="4"/>
  <c r="H436" i="4"/>
  <c r="H421" i="4"/>
  <c r="H405" i="4"/>
  <c r="H389" i="4"/>
  <c r="H373" i="4"/>
  <c r="H357" i="4"/>
  <c r="H341" i="4"/>
  <c r="H325" i="4"/>
  <c r="H308" i="4"/>
  <c r="H292" i="4"/>
  <c r="H276" i="4"/>
  <c r="H273" i="4"/>
  <c r="H257" i="4"/>
  <c r="H256" i="4"/>
  <c r="G224" i="4"/>
  <c r="H254" i="4"/>
  <c r="G252" i="4"/>
  <c r="H230" i="4"/>
  <c r="H229" i="4"/>
  <c r="H205" i="4"/>
  <c r="H204" i="4"/>
  <c r="H187" i="4"/>
  <c r="H186" i="4"/>
  <c r="H164" i="4"/>
  <c r="H163" i="4"/>
  <c r="H146" i="4"/>
  <c r="H145" i="4"/>
  <c r="H310" i="5"/>
  <c r="H305" i="5"/>
  <c r="H298" i="5"/>
  <c r="H289" i="5"/>
  <c r="H280" i="5"/>
  <c r="H273" i="5"/>
  <c r="H267" i="5"/>
  <c r="H254" i="5"/>
  <c r="H245" i="5"/>
  <c r="H236" i="5"/>
  <c r="H229" i="5"/>
  <c r="H220" i="5"/>
  <c r="H211" i="5"/>
  <c r="H205" i="5"/>
  <c r="H193" i="5"/>
  <c r="H184" i="5"/>
  <c r="H178" i="5"/>
  <c r="H169" i="5"/>
  <c r="H159" i="5"/>
  <c r="H152" i="5"/>
  <c r="H140" i="5"/>
  <c r="H188" i="6"/>
  <c r="H169" i="6"/>
  <c r="H143" i="6"/>
  <c r="H123" i="6"/>
  <c r="H129" i="7"/>
  <c r="H128" i="7"/>
  <c r="H127" i="7"/>
  <c r="H126" i="7"/>
  <c r="H125" i="7"/>
  <c r="H124" i="7"/>
  <c r="H123" i="7"/>
  <c r="H130" i="7" s="1"/>
  <c r="H399" i="3"/>
  <c r="H388" i="3"/>
  <c r="H378" i="3"/>
  <c r="H370" i="3"/>
  <c r="H354" i="3"/>
  <c r="H344" i="3"/>
  <c r="H330" i="3"/>
  <c r="H323" i="3"/>
  <c r="H316" i="3"/>
  <c r="H309" i="3"/>
  <c r="H302" i="3"/>
  <c r="H294" i="3"/>
  <c r="H284" i="3"/>
  <c r="H270" i="3"/>
  <c r="H263" i="3"/>
  <c r="H256" i="3"/>
  <c r="H242" i="3"/>
  <c r="H234" i="3"/>
  <c r="H220" i="3"/>
  <c r="H207" i="3"/>
  <c r="H170" i="3"/>
  <c r="H148" i="3"/>
  <c r="J37" i="7"/>
  <c r="J36" i="7"/>
  <c r="AY100" i="1" s="1"/>
  <c r="J35" i="7"/>
  <c r="AX100" i="1" s="1"/>
  <c r="BI134" i="7"/>
  <c r="BH134" i="7"/>
  <c r="BG134" i="7"/>
  <c r="BF134" i="7"/>
  <c r="T134" i="7"/>
  <c r="R134" i="7"/>
  <c r="P134" i="7"/>
  <c r="BI132" i="7"/>
  <c r="BH132" i="7"/>
  <c r="BG132" i="7"/>
  <c r="F35" i="7" s="1"/>
  <c r="BF132" i="7"/>
  <c r="T132" i="7"/>
  <c r="R132" i="7"/>
  <c r="P132" i="7"/>
  <c r="BI122" i="7"/>
  <c r="BH122" i="7"/>
  <c r="BG122" i="7"/>
  <c r="BF122" i="7"/>
  <c r="T122" i="7"/>
  <c r="R122" i="7"/>
  <c r="P122" i="7"/>
  <c r="F112" i="7"/>
  <c r="E110" i="7"/>
  <c r="F89" i="7"/>
  <c r="E87" i="7"/>
  <c r="J24" i="7"/>
  <c r="J92" i="7"/>
  <c r="J23" i="7"/>
  <c r="J21" i="7"/>
  <c r="J91" i="7"/>
  <c r="J20" i="7"/>
  <c r="J18" i="7"/>
  <c r="E18" i="7"/>
  <c r="F115" i="7" s="1"/>
  <c r="J17" i="7"/>
  <c r="J15" i="7"/>
  <c r="F114" i="7"/>
  <c r="J14" i="7"/>
  <c r="J12" i="7"/>
  <c r="J89" i="7" s="1"/>
  <c r="E7" i="7"/>
  <c r="E108" i="7" s="1"/>
  <c r="J37" i="6"/>
  <c r="J36" i="6"/>
  <c r="AY99" i="1" s="1"/>
  <c r="J35" i="6"/>
  <c r="AX99" i="1" s="1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F114" i="6"/>
  <c r="E112" i="6"/>
  <c r="F89" i="6"/>
  <c r="E87" i="6"/>
  <c r="J24" i="6"/>
  <c r="J92" i="6"/>
  <c r="J23" i="6"/>
  <c r="J21" i="6"/>
  <c r="J116" i="6"/>
  <c r="J20" i="6"/>
  <c r="J18" i="6"/>
  <c r="E18" i="6"/>
  <c r="F117" i="6" s="1"/>
  <c r="J17" i="6"/>
  <c r="J15" i="6"/>
  <c r="F91" i="6"/>
  <c r="J14" i="6"/>
  <c r="J12" i="6"/>
  <c r="J114" i="6" s="1"/>
  <c r="E7" i="6"/>
  <c r="E85" i="6" s="1"/>
  <c r="J37" i="5"/>
  <c r="J36" i="5"/>
  <c r="AY98" i="1" s="1"/>
  <c r="J35" i="5"/>
  <c r="AX98" i="1" s="1"/>
  <c r="BI314" i="5"/>
  <c r="BH314" i="5"/>
  <c r="BG314" i="5"/>
  <c r="BF314" i="5"/>
  <c r="T314" i="5"/>
  <c r="R314" i="5"/>
  <c r="P314" i="5"/>
  <c r="BI313" i="5"/>
  <c r="BH313" i="5"/>
  <c r="BG313" i="5"/>
  <c r="BF313" i="5"/>
  <c r="T313" i="5"/>
  <c r="R313" i="5"/>
  <c r="P313" i="5"/>
  <c r="BI312" i="5"/>
  <c r="BH312" i="5"/>
  <c r="BG312" i="5"/>
  <c r="BF312" i="5"/>
  <c r="T312" i="5"/>
  <c r="R312" i="5"/>
  <c r="P312" i="5"/>
  <c r="BI311" i="5"/>
  <c r="BH311" i="5"/>
  <c r="BG311" i="5"/>
  <c r="BF311" i="5"/>
  <c r="T311" i="5"/>
  <c r="R311" i="5"/>
  <c r="P311" i="5"/>
  <c r="BI308" i="5"/>
  <c r="BH308" i="5"/>
  <c r="BG308" i="5"/>
  <c r="BF308" i="5"/>
  <c r="T308" i="5"/>
  <c r="R308" i="5"/>
  <c r="P308" i="5"/>
  <c r="BI307" i="5"/>
  <c r="BH307" i="5"/>
  <c r="BG307" i="5"/>
  <c r="BF307" i="5"/>
  <c r="T307" i="5"/>
  <c r="R307" i="5"/>
  <c r="P307" i="5"/>
  <c r="BI303" i="5"/>
  <c r="BH303" i="5"/>
  <c r="BG303" i="5"/>
  <c r="BF303" i="5"/>
  <c r="T303" i="5"/>
  <c r="R303" i="5"/>
  <c r="P303" i="5"/>
  <c r="BI302" i="5"/>
  <c r="BH302" i="5"/>
  <c r="BG302" i="5"/>
  <c r="BF302" i="5"/>
  <c r="T302" i="5"/>
  <c r="R302" i="5"/>
  <c r="P302" i="5"/>
  <c r="BI301" i="5"/>
  <c r="BH301" i="5"/>
  <c r="BG301" i="5"/>
  <c r="BF301" i="5"/>
  <c r="T301" i="5"/>
  <c r="R301" i="5"/>
  <c r="P301" i="5"/>
  <c r="BI300" i="5"/>
  <c r="BH300" i="5"/>
  <c r="BG300" i="5"/>
  <c r="BF300" i="5"/>
  <c r="T300" i="5"/>
  <c r="R300" i="5"/>
  <c r="P300" i="5"/>
  <c r="BI296" i="5"/>
  <c r="BH296" i="5"/>
  <c r="BG296" i="5"/>
  <c r="BF296" i="5"/>
  <c r="T296" i="5"/>
  <c r="R296" i="5"/>
  <c r="P296" i="5"/>
  <c r="BI293" i="5"/>
  <c r="BH293" i="5"/>
  <c r="BG293" i="5"/>
  <c r="BF293" i="5"/>
  <c r="T293" i="5"/>
  <c r="R293" i="5"/>
  <c r="P293" i="5"/>
  <c r="BI292" i="5"/>
  <c r="BH292" i="5"/>
  <c r="BG292" i="5"/>
  <c r="BF292" i="5"/>
  <c r="T292" i="5"/>
  <c r="R292" i="5"/>
  <c r="P292" i="5"/>
  <c r="BI291" i="5"/>
  <c r="BH291" i="5"/>
  <c r="BG291" i="5"/>
  <c r="BF291" i="5"/>
  <c r="T291" i="5"/>
  <c r="R291" i="5"/>
  <c r="P291" i="5"/>
  <c r="BI287" i="5"/>
  <c r="BH287" i="5"/>
  <c r="BG287" i="5"/>
  <c r="BF287" i="5"/>
  <c r="T287" i="5"/>
  <c r="R287" i="5"/>
  <c r="P287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2" i="5"/>
  <c r="BH252" i="5"/>
  <c r="BG252" i="5"/>
  <c r="BF252" i="5"/>
  <c r="T252" i="5"/>
  <c r="R252" i="5"/>
  <c r="P252" i="5"/>
  <c r="BI249" i="5"/>
  <c r="BH249" i="5"/>
  <c r="BG249" i="5"/>
  <c r="BF249" i="5"/>
  <c r="T249" i="5"/>
  <c r="R249" i="5"/>
  <c r="P249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F131" i="5"/>
  <c r="E129" i="5"/>
  <c r="F89" i="5"/>
  <c r="E87" i="5"/>
  <c r="J24" i="5"/>
  <c r="J92" i="5"/>
  <c r="J23" i="5"/>
  <c r="J21" i="5"/>
  <c r="J133" i="5"/>
  <c r="J20" i="5"/>
  <c r="J18" i="5"/>
  <c r="E18" i="5"/>
  <c r="F134" i="5" s="1"/>
  <c r="J17" i="5"/>
  <c r="J15" i="5"/>
  <c r="F91" i="5"/>
  <c r="J14" i="5"/>
  <c r="J12" i="5"/>
  <c r="J131" i="5" s="1"/>
  <c r="E7" i="5"/>
  <c r="E85" i="5" s="1"/>
  <c r="J37" i="4"/>
  <c r="J36" i="4"/>
  <c r="AY97" i="1" s="1"/>
  <c r="J35" i="4"/>
  <c r="AX97" i="1" s="1"/>
  <c r="BI670" i="4"/>
  <c r="BH670" i="4"/>
  <c r="BG670" i="4"/>
  <c r="BF670" i="4"/>
  <c r="T670" i="4"/>
  <c r="R670" i="4"/>
  <c r="P670" i="4"/>
  <c r="BI668" i="4"/>
  <c r="BH668" i="4"/>
  <c r="BG668" i="4"/>
  <c r="BF668" i="4"/>
  <c r="T668" i="4"/>
  <c r="R668" i="4"/>
  <c r="P668" i="4"/>
  <c r="BI667" i="4"/>
  <c r="BH667" i="4"/>
  <c r="BG667" i="4"/>
  <c r="BF667" i="4"/>
  <c r="T667" i="4"/>
  <c r="R667" i="4"/>
  <c r="P667" i="4"/>
  <c r="BI666" i="4"/>
  <c r="BH666" i="4"/>
  <c r="BG666" i="4"/>
  <c r="BF666" i="4"/>
  <c r="T666" i="4"/>
  <c r="R666" i="4"/>
  <c r="P666" i="4"/>
  <c r="BI664" i="4"/>
  <c r="BH664" i="4"/>
  <c r="BG664" i="4"/>
  <c r="BF664" i="4"/>
  <c r="T664" i="4"/>
  <c r="R664" i="4"/>
  <c r="P664" i="4"/>
  <c r="BI663" i="4"/>
  <c r="BH663" i="4"/>
  <c r="BG663" i="4"/>
  <c r="BF663" i="4"/>
  <c r="T663" i="4"/>
  <c r="R663" i="4"/>
  <c r="P663" i="4"/>
  <c r="BI662" i="4"/>
  <c r="BH662" i="4"/>
  <c r="BG662" i="4"/>
  <c r="BF662" i="4"/>
  <c r="T662" i="4"/>
  <c r="R662" i="4"/>
  <c r="P662" i="4"/>
  <c r="BI660" i="4"/>
  <c r="BH660" i="4"/>
  <c r="BG660" i="4"/>
  <c r="BF660" i="4"/>
  <c r="T660" i="4"/>
  <c r="R660" i="4"/>
  <c r="P660" i="4"/>
  <c r="BI658" i="4"/>
  <c r="BH658" i="4"/>
  <c r="BG658" i="4"/>
  <c r="BF658" i="4"/>
  <c r="T658" i="4"/>
  <c r="R658" i="4"/>
  <c r="P658" i="4"/>
  <c r="BI656" i="4"/>
  <c r="BH656" i="4"/>
  <c r="BG656" i="4"/>
  <c r="BF656" i="4"/>
  <c r="T656" i="4"/>
  <c r="R656" i="4"/>
  <c r="P656" i="4"/>
  <c r="BI650" i="4"/>
  <c r="BH650" i="4"/>
  <c r="BG650" i="4"/>
  <c r="BF650" i="4"/>
  <c r="T650" i="4"/>
  <c r="R650" i="4"/>
  <c r="P650" i="4"/>
  <c r="BI648" i="4"/>
  <c r="BH648" i="4"/>
  <c r="BG648" i="4"/>
  <c r="BF648" i="4"/>
  <c r="T648" i="4"/>
  <c r="R648" i="4"/>
  <c r="P648" i="4"/>
  <c r="BI646" i="4"/>
  <c r="BH646" i="4"/>
  <c r="BG646" i="4"/>
  <c r="BF646" i="4"/>
  <c r="T646" i="4"/>
  <c r="R646" i="4"/>
  <c r="P646" i="4"/>
  <c r="BI644" i="4"/>
  <c r="BH644" i="4"/>
  <c r="BG644" i="4"/>
  <c r="BF644" i="4"/>
  <c r="T644" i="4"/>
  <c r="R644" i="4"/>
  <c r="P644" i="4"/>
  <c r="BI642" i="4"/>
  <c r="BH642" i="4"/>
  <c r="BG642" i="4"/>
  <c r="BF642" i="4"/>
  <c r="T642" i="4"/>
  <c r="R642" i="4"/>
  <c r="P642" i="4"/>
  <c r="BI641" i="4"/>
  <c r="BH641" i="4"/>
  <c r="BG641" i="4"/>
  <c r="BF641" i="4"/>
  <c r="T641" i="4"/>
  <c r="R641" i="4"/>
  <c r="P641" i="4"/>
  <c r="BI640" i="4"/>
  <c r="BH640" i="4"/>
  <c r="BG640" i="4"/>
  <c r="BF640" i="4"/>
  <c r="T640" i="4"/>
  <c r="R640" i="4"/>
  <c r="P640" i="4"/>
  <c r="BI638" i="4"/>
  <c r="BH638" i="4"/>
  <c r="BG638" i="4"/>
  <c r="BF638" i="4"/>
  <c r="T638" i="4"/>
  <c r="R638" i="4"/>
  <c r="P638" i="4"/>
  <c r="BI637" i="4"/>
  <c r="BH637" i="4"/>
  <c r="BG637" i="4"/>
  <c r="BF637" i="4"/>
  <c r="T637" i="4"/>
  <c r="R637" i="4"/>
  <c r="P637" i="4"/>
  <c r="BI636" i="4"/>
  <c r="BH636" i="4"/>
  <c r="BG636" i="4"/>
  <c r="BF636" i="4"/>
  <c r="T636" i="4"/>
  <c r="R636" i="4"/>
  <c r="P636" i="4"/>
  <c r="BI634" i="4"/>
  <c r="BH634" i="4"/>
  <c r="BG634" i="4"/>
  <c r="BF634" i="4"/>
  <c r="T634" i="4"/>
  <c r="R634" i="4"/>
  <c r="P634" i="4"/>
  <c r="BI632" i="4"/>
  <c r="BH632" i="4"/>
  <c r="BG632" i="4"/>
  <c r="BF632" i="4"/>
  <c r="T632" i="4"/>
  <c r="R632" i="4"/>
  <c r="P632" i="4"/>
  <c r="BI629" i="4"/>
  <c r="BH629" i="4"/>
  <c r="BG629" i="4"/>
  <c r="BF629" i="4"/>
  <c r="T629" i="4"/>
  <c r="R629" i="4"/>
  <c r="P629" i="4"/>
  <c r="BI623" i="4"/>
  <c r="BH623" i="4"/>
  <c r="BG623" i="4"/>
  <c r="BF623" i="4"/>
  <c r="T623" i="4"/>
  <c r="R623" i="4"/>
  <c r="P623" i="4"/>
  <c r="BI621" i="4"/>
  <c r="BH621" i="4"/>
  <c r="BG621" i="4"/>
  <c r="BF621" i="4"/>
  <c r="T621" i="4"/>
  <c r="R621" i="4"/>
  <c r="P621" i="4"/>
  <c r="BI619" i="4"/>
  <c r="BH619" i="4"/>
  <c r="BG619" i="4"/>
  <c r="BF619" i="4"/>
  <c r="T619" i="4"/>
  <c r="R619" i="4"/>
  <c r="P619" i="4"/>
  <c r="BI617" i="4"/>
  <c r="BH617" i="4"/>
  <c r="BG617" i="4"/>
  <c r="BF617" i="4"/>
  <c r="T617" i="4"/>
  <c r="R617" i="4"/>
  <c r="P617" i="4"/>
  <c r="BI616" i="4"/>
  <c r="BH616" i="4"/>
  <c r="BG616" i="4"/>
  <c r="BF616" i="4"/>
  <c r="T616" i="4"/>
  <c r="R616" i="4"/>
  <c r="P616" i="4"/>
  <c r="BI615" i="4"/>
  <c r="BH615" i="4"/>
  <c r="BG615" i="4"/>
  <c r="BF615" i="4"/>
  <c r="T615" i="4"/>
  <c r="R615" i="4"/>
  <c r="P615" i="4"/>
  <c r="BI613" i="4"/>
  <c r="BH613" i="4"/>
  <c r="BG613" i="4"/>
  <c r="BF613" i="4"/>
  <c r="T613" i="4"/>
  <c r="R613" i="4"/>
  <c r="P613" i="4"/>
  <c r="BI611" i="4"/>
  <c r="BH611" i="4"/>
  <c r="BG611" i="4"/>
  <c r="BF611" i="4"/>
  <c r="T611" i="4"/>
  <c r="R611" i="4"/>
  <c r="P611" i="4"/>
  <c r="BI610" i="4"/>
  <c r="BH610" i="4"/>
  <c r="BG610" i="4"/>
  <c r="BF610" i="4"/>
  <c r="T610" i="4"/>
  <c r="R610" i="4"/>
  <c r="P610" i="4"/>
  <c r="BI609" i="4"/>
  <c r="BH609" i="4"/>
  <c r="BG609" i="4"/>
  <c r="BF609" i="4"/>
  <c r="T609" i="4"/>
  <c r="R609" i="4"/>
  <c r="P609" i="4"/>
  <c r="BI608" i="4"/>
  <c r="BH608" i="4"/>
  <c r="BG608" i="4"/>
  <c r="BF608" i="4"/>
  <c r="T608" i="4"/>
  <c r="R608" i="4"/>
  <c r="P608" i="4"/>
  <c r="BI606" i="4"/>
  <c r="BH606" i="4"/>
  <c r="BG606" i="4"/>
  <c r="BF606" i="4"/>
  <c r="T606" i="4"/>
  <c r="R606" i="4"/>
  <c r="P606" i="4"/>
  <c r="BI603" i="4"/>
  <c r="BH603" i="4"/>
  <c r="BG603" i="4"/>
  <c r="BF603" i="4"/>
  <c r="T603" i="4"/>
  <c r="R603" i="4"/>
  <c r="P603" i="4"/>
  <c r="BI598" i="4"/>
  <c r="BH598" i="4"/>
  <c r="BG598" i="4"/>
  <c r="BF598" i="4"/>
  <c r="T598" i="4"/>
  <c r="R598" i="4"/>
  <c r="P598" i="4"/>
  <c r="BI596" i="4"/>
  <c r="BH596" i="4"/>
  <c r="BG596" i="4"/>
  <c r="BF596" i="4"/>
  <c r="T596" i="4"/>
  <c r="R596" i="4"/>
  <c r="P596" i="4"/>
  <c r="BI594" i="4"/>
  <c r="BH594" i="4"/>
  <c r="BG594" i="4"/>
  <c r="BF594" i="4"/>
  <c r="T594" i="4"/>
  <c r="R594" i="4"/>
  <c r="P594" i="4"/>
  <c r="BI592" i="4"/>
  <c r="BH592" i="4"/>
  <c r="BG592" i="4"/>
  <c r="BF592" i="4"/>
  <c r="T592" i="4"/>
  <c r="R592" i="4"/>
  <c r="P592" i="4"/>
  <c r="BI591" i="4"/>
  <c r="BH591" i="4"/>
  <c r="BG591" i="4"/>
  <c r="BF591" i="4"/>
  <c r="T591" i="4"/>
  <c r="R591" i="4"/>
  <c r="P591" i="4"/>
  <c r="BI590" i="4"/>
  <c r="BH590" i="4"/>
  <c r="BG590" i="4"/>
  <c r="BF590" i="4"/>
  <c r="T590" i="4"/>
  <c r="R590" i="4"/>
  <c r="P590" i="4"/>
  <c r="BI588" i="4"/>
  <c r="BH588" i="4"/>
  <c r="BG588" i="4"/>
  <c r="BF588" i="4"/>
  <c r="T588" i="4"/>
  <c r="R588" i="4"/>
  <c r="P588" i="4"/>
  <c r="BI586" i="4"/>
  <c r="BH586" i="4"/>
  <c r="BG586" i="4"/>
  <c r="BF586" i="4"/>
  <c r="T586" i="4"/>
  <c r="R586" i="4"/>
  <c r="P586" i="4"/>
  <c r="BI585" i="4"/>
  <c r="BH585" i="4"/>
  <c r="BG585" i="4"/>
  <c r="BF585" i="4"/>
  <c r="T585" i="4"/>
  <c r="R585" i="4"/>
  <c r="P585" i="4"/>
  <c r="BI584" i="4"/>
  <c r="BH584" i="4"/>
  <c r="BG584" i="4"/>
  <c r="BF584" i="4"/>
  <c r="T584" i="4"/>
  <c r="R584" i="4"/>
  <c r="P584" i="4"/>
  <c r="BI583" i="4"/>
  <c r="BH583" i="4"/>
  <c r="BG583" i="4"/>
  <c r="BF583" i="4"/>
  <c r="T583" i="4"/>
  <c r="R583" i="4"/>
  <c r="P583" i="4"/>
  <c r="BI581" i="4"/>
  <c r="BH581" i="4"/>
  <c r="BG581" i="4"/>
  <c r="BF581" i="4"/>
  <c r="T581" i="4"/>
  <c r="R581" i="4"/>
  <c r="P581" i="4"/>
  <c r="BI578" i="4"/>
  <c r="BH578" i="4"/>
  <c r="BG578" i="4"/>
  <c r="BF578" i="4"/>
  <c r="T578" i="4"/>
  <c r="R578" i="4"/>
  <c r="P578" i="4"/>
  <c r="BI572" i="4"/>
  <c r="BH572" i="4"/>
  <c r="BG572" i="4"/>
  <c r="BF572" i="4"/>
  <c r="T572" i="4"/>
  <c r="R572" i="4"/>
  <c r="P572" i="4"/>
  <c r="BI570" i="4"/>
  <c r="BH570" i="4"/>
  <c r="BG570" i="4"/>
  <c r="BF570" i="4"/>
  <c r="T570" i="4"/>
  <c r="R570" i="4"/>
  <c r="P570" i="4"/>
  <c r="BI568" i="4"/>
  <c r="BH568" i="4"/>
  <c r="BG568" i="4"/>
  <c r="BF568" i="4"/>
  <c r="T568" i="4"/>
  <c r="R568" i="4"/>
  <c r="P568" i="4"/>
  <c r="BI566" i="4"/>
  <c r="BH566" i="4"/>
  <c r="BG566" i="4"/>
  <c r="BF566" i="4"/>
  <c r="T566" i="4"/>
  <c r="R566" i="4"/>
  <c r="P566" i="4"/>
  <c r="BI565" i="4"/>
  <c r="BH565" i="4"/>
  <c r="BG565" i="4"/>
  <c r="BF565" i="4"/>
  <c r="T565" i="4"/>
  <c r="R565" i="4"/>
  <c r="P565" i="4"/>
  <c r="BI564" i="4"/>
  <c r="BH564" i="4"/>
  <c r="BG564" i="4"/>
  <c r="BF564" i="4"/>
  <c r="T564" i="4"/>
  <c r="R564" i="4"/>
  <c r="P564" i="4"/>
  <c r="BI562" i="4"/>
  <c r="BH562" i="4"/>
  <c r="BG562" i="4"/>
  <c r="BF562" i="4"/>
  <c r="T562" i="4"/>
  <c r="R562" i="4"/>
  <c r="P562" i="4"/>
  <c r="BI560" i="4"/>
  <c r="BH560" i="4"/>
  <c r="BG560" i="4"/>
  <c r="BF560" i="4"/>
  <c r="T560" i="4"/>
  <c r="R560" i="4"/>
  <c r="P560" i="4"/>
  <c r="BI559" i="4"/>
  <c r="BH559" i="4"/>
  <c r="BG559" i="4"/>
  <c r="BF559" i="4"/>
  <c r="T559" i="4"/>
  <c r="R559" i="4"/>
  <c r="P559" i="4"/>
  <c r="BI558" i="4"/>
  <c r="BH558" i="4"/>
  <c r="BG558" i="4"/>
  <c r="BF558" i="4"/>
  <c r="T558" i="4"/>
  <c r="R558" i="4"/>
  <c r="P558" i="4"/>
  <c r="BI557" i="4"/>
  <c r="BH557" i="4"/>
  <c r="BG557" i="4"/>
  <c r="BF557" i="4"/>
  <c r="T557" i="4"/>
  <c r="R557" i="4"/>
  <c r="P557" i="4"/>
  <c r="BI555" i="4"/>
  <c r="BH555" i="4"/>
  <c r="BG555" i="4"/>
  <c r="BF555" i="4"/>
  <c r="T555" i="4"/>
  <c r="R555" i="4"/>
  <c r="P555" i="4"/>
  <c r="BI552" i="4"/>
  <c r="BH552" i="4"/>
  <c r="BG552" i="4"/>
  <c r="BF552" i="4"/>
  <c r="T552" i="4"/>
  <c r="R552" i="4"/>
  <c r="P552" i="4"/>
  <c r="BI546" i="4"/>
  <c r="BH546" i="4"/>
  <c r="BG546" i="4"/>
  <c r="BF546" i="4"/>
  <c r="T546" i="4"/>
  <c r="R546" i="4"/>
  <c r="P546" i="4"/>
  <c r="BI544" i="4"/>
  <c r="BH544" i="4"/>
  <c r="BG544" i="4"/>
  <c r="BF544" i="4"/>
  <c r="T544" i="4"/>
  <c r="R544" i="4"/>
  <c r="P544" i="4"/>
  <c r="BI543" i="4"/>
  <c r="BH543" i="4"/>
  <c r="BG543" i="4"/>
  <c r="BF543" i="4"/>
  <c r="T543" i="4"/>
  <c r="R543" i="4"/>
  <c r="P543" i="4"/>
  <c r="BI541" i="4"/>
  <c r="BH541" i="4"/>
  <c r="BG541" i="4"/>
  <c r="BF541" i="4"/>
  <c r="T541" i="4"/>
  <c r="R541" i="4"/>
  <c r="P541" i="4"/>
  <c r="BI539" i="4"/>
  <c r="BH539" i="4"/>
  <c r="BG539" i="4"/>
  <c r="BF539" i="4"/>
  <c r="T539" i="4"/>
  <c r="R539" i="4"/>
  <c r="P539" i="4"/>
  <c r="BI538" i="4"/>
  <c r="BH538" i="4"/>
  <c r="BG538" i="4"/>
  <c r="BF538" i="4"/>
  <c r="T538" i="4"/>
  <c r="R538" i="4"/>
  <c r="P538" i="4"/>
  <c r="BI537" i="4"/>
  <c r="BH537" i="4"/>
  <c r="BG537" i="4"/>
  <c r="BF537" i="4"/>
  <c r="T537" i="4"/>
  <c r="R537" i="4"/>
  <c r="P537" i="4"/>
  <c r="BI536" i="4"/>
  <c r="BH536" i="4"/>
  <c r="BG536" i="4"/>
  <c r="BF536" i="4"/>
  <c r="T536" i="4"/>
  <c r="R536" i="4"/>
  <c r="P536" i="4"/>
  <c r="BI534" i="4"/>
  <c r="BH534" i="4"/>
  <c r="BG534" i="4"/>
  <c r="BF534" i="4"/>
  <c r="T534" i="4"/>
  <c r="R534" i="4"/>
  <c r="P534" i="4"/>
  <c r="BI531" i="4"/>
  <c r="BH531" i="4"/>
  <c r="BG531" i="4"/>
  <c r="BF531" i="4"/>
  <c r="T531" i="4"/>
  <c r="R531" i="4"/>
  <c r="P531" i="4"/>
  <c r="BI526" i="4"/>
  <c r="BH526" i="4"/>
  <c r="BG526" i="4"/>
  <c r="BF526" i="4"/>
  <c r="T526" i="4"/>
  <c r="R526" i="4"/>
  <c r="P526" i="4"/>
  <c r="BI524" i="4"/>
  <c r="BH524" i="4"/>
  <c r="BG524" i="4"/>
  <c r="BF524" i="4"/>
  <c r="T524" i="4"/>
  <c r="R524" i="4"/>
  <c r="P524" i="4"/>
  <c r="BI523" i="4"/>
  <c r="BH523" i="4"/>
  <c r="BG523" i="4"/>
  <c r="BF523" i="4"/>
  <c r="T523" i="4"/>
  <c r="R523" i="4"/>
  <c r="P523" i="4"/>
  <c r="BI521" i="4"/>
  <c r="BH521" i="4"/>
  <c r="BG521" i="4"/>
  <c r="BF521" i="4"/>
  <c r="T521" i="4"/>
  <c r="R521" i="4"/>
  <c r="P521" i="4"/>
  <c r="BI520" i="4"/>
  <c r="BH520" i="4"/>
  <c r="BG520" i="4"/>
  <c r="BF520" i="4"/>
  <c r="T520" i="4"/>
  <c r="R520" i="4"/>
  <c r="P520" i="4"/>
  <c r="BI519" i="4"/>
  <c r="BH519" i="4"/>
  <c r="BG519" i="4"/>
  <c r="BF519" i="4"/>
  <c r="T519" i="4"/>
  <c r="R519" i="4"/>
  <c r="P519" i="4"/>
  <c r="BI517" i="4"/>
  <c r="BH517" i="4"/>
  <c r="BG517" i="4"/>
  <c r="BF517" i="4"/>
  <c r="T517" i="4"/>
  <c r="R517" i="4"/>
  <c r="P517" i="4"/>
  <c r="BI515" i="4"/>
  <c r="BH515" i="4"/>
  <c r="BG515" i="4"/>
  <c r="BF515" i="4"/>
  <c r="T515" i="4"/>
  <c r="R515" i="4"/>
  <c r="P515" i="4"/>
  <c r="BI512" i="4"/>
  <c r="BH512" i="4"/>
  <c r="BG512" i="4"/>
  <c r="BF512" i="4"/>
  <c r="T512" i="4"/>
  <c r="R512" i="4"/>
  <c r="P512" i="4"/>
  <c r="BI506" i="4"/>
  <c r="BH506" i="4"/>
  <c r="BG506" i="4"/>
  <c r="BF506" i="4"/>
  <c r="T506" i="4"/>
  <c r="R506" i="4"/>
  <c r="P506" i="4"/>
  <c r="BI504" i="4"/>
  <c r="BH504" i="4"/>
  <c r="BG504" i="4"/>
  <c r="BF504" i="4"/>
  <c r="T504" i="4"/>
  <c r="R504" i="4"/>
  <c r="P504" i="4"/>
  <c r="BI502" i="4"/>
  <c r="BH502" i="4"/>
  <c r="BG502" i="4"/>
  <c r="BF502" i="4"/>
  <c r="T502" i="4"/>
  <c r="R502" i="4"/>
  <c r="P502" i="4"/>
  <c r="BI500" i="4"/>
  <c r="BH500" i="4"/>
  <c r="BG500" i="4"/>
  <c r="BF500" i="4"/>
  <c r="T500" i="4"/>
  <c r="R500" i="4"/>
  <c r="P500" i="4"/>
  <c r="BI499" i="4"/>
  <c r="BH499" i="4"/>
  <c r="BG499" i="4"/>
  <c r="BF499" i="4"/>
  <c r="T499" i="4"/>
  <c r="R499" i="4"/>
  <c r="P499" i="4"/>
  <c r="BI498" i="4"/>
  <c r="BH498" i="4"/>
  <c r="BG498" i="4"/>
  <c r="BF498" i="4"/>
  <c r="T498" i="4"/>
  <c r="R498" i="4"/>
  <c r="P498" i="4"/>
  <c r="BI496" i="4"/>
  <c r="BH496" i="4"/>
  <c r="BG496" i="4"/>
  <c r="BF496" i="4"/>
  <c r="T496" i="4"/>
  <c r="R496" i="4"/>
  <c r="P496" i="4"/>
  <c r="BI494" i="4"/>
  <c r="BH494" i="4"/>
  <c r="BG494" i="4"/>
  <c r="BF494" i="4"/>
  <c r="T494" i="4"/>
  <c r="R494" i="4"/>
  <c r="P494" i="4"/>
  <c r="BI493" i="4"/>
  <c r="BH493" i="4"/>
  <c r="BG493" i="4"/>
  <c r="BF493" i="4"/>
  <c r="T493" i="4"/>
  <c r="R493" i="4"/>
  <c r="P493" i="4"/>
  <c r="BI492" i="4"/>
  <c r="BH492" i="4"/>
  <c r="BG492" i="4"/>
  <c r="BF492" i="4"/>
  <c r="T492" i="4"/>
  <c r="R492" i="4"/>
  <c r="P492" i="4"/>
  <c r="BI490" i="4"/>
  <c r="BH490" i="4"/>
  <c r="BG490" i="4"/>
  <c r="BF490" i="4"/>
  <c r="T490" i="4"/>
  <c r="R490" i="4"/>
  <c r="P490" i="4"/>
  <c r="BI488" i="4"/>
  <c r="BH488" i="4"/>
  <c r="BG488" i="4"/>
  <c r="BF488" i="4"/>
  <c r="T488" i="4"/>
  <c r="R488" i="4"/>
  <c r="P488" i="4"/>
  <c r="BI487" i="4"/>
  <c r="BH487" i="4"/>
  <c r="BG487" i="4"/>
  <c r="BF487" i="4"/>
  <c r="T487" i="4"/>
  <c r="R487" i="4"/>
  <c r="P487" i="4"/>
  <c r="BI482" i="4"/>
  <c r="BH482" i="4"/>
  <c r="BG482" i="4"/>
  <c r="BF482" i="4"/>
  <c r="T482" i="4"/>
  <c r="R482" i="4"/>
  <c r="P482" i="4"/>
  <c r="BI480" i="4"/>
  <c r="BH480" i="4"/>
  <c r="BG480" i="4"/>
  <c r="BF480" i="4"/>
  <c r="T480" i="4"/>
  <c r="R480" i="4"/>
  <c r="P480" i="4"/>
  <c r="BI478" i="4"/>
  <c r="BH478" i="4"/>
  <c r="BG478" i="4"/>
  <c r="BF478" i="4"/>
  <c r="T478" i="4"/>
  <c r="R478" i="4"/>
  <c r="P478" i="4"/>
  <c r="BI477" i="4"/>
  <c r="BH477" i="4"/>
  <c r="BG477" i="4"/>
  <c r="BF477" i="4"/>
  <c r="T477" i="4"/>
  <c r="R477" i="4"/>
  <c r="P477" i="4"/>
  <c r="BI475" i="4"/>
  <c r="BH475" i="4"/>
  <c r="BG475" i="4"/>
  <c r="BF475" i="4"/>
  <c r="T475" i="4"/>
  <c r="R475" i="4"/>
  <c r="P475" i="4"/>
  <c r="BI473" i="4"/>
  <c r="BH473" i="4"/>
  <c r="BG473" i="4"/>
  <c r="BF473" i="4"/>
  <c r="T473" i="4"/>
  <c r="R473" i="4"/>
  <c r="P473" i="4"/>
  <c r="BI472" i="4"/>
  <c r="BH472" i="4"/>
  <c r="BG472" i="4"/>
  <c r="BF472" i="4"/>
  <c r="T472" i="4"/>
  <c r="R472" i="4"/>
  <c r="P472" i="4"/>
  <c r="BI471" i="4"/>
  <c r="BH471" i="4"/>
  <c r="BG471" i="4"/>
  <c r="BF471" i="4"/>
  <c r="T471" i="4"/>
  <c r="R471" i="4"/>
  <c r="P471" i="4"/>
  <c r="BI469" i="4"/>
  <c r="BH469" i="4"/>
  <c r="BG469" i="4"/>
  <c r="BF469" i="4"/>
  <c r="T469" i="4"/>
  <c r="R469" i="4"/>
  <c r="P469" i="4"/>
  <c r="BI467" i="4"/>
  <c r="BH467" i="4"/>
  <c r="BG467" i="4"/>
  <c r="BF467" i="4"/>
  <c r="T467" i="4"/>
  <c r="R467" i="4"/>
  <c r="P467" i="4"/>
  <c r="BI465" i="4"/>
  <c r="BH465" i="4"/>
  <c r="BG465" i="4"/>
  <c r="BF465" i="4"/>
  <c r="T465" i="4"/>
  <c r="R465" i="4"/>
  <c r="P465" i="4"/>
  <c r="BI462" i="4"/>
  <c r="BH462" i="4"/>
  <c r="BG462" i="4"/>
  <c r="BF462" i="4"/>
  <c r="T462" i="4"/>
  <c r="R462" i="4"/>
  <c r="P462" i="4"/>
  <c r="BI458" i="4"/>
  <c r="BH458" i="4"/>
  <c r="BG458" i="4"/>
  <c r="BF458" i="4"/>
  <c r="T458" i="4"/>
  <c r="R458" i="4"/>
  <c r="P458" i="4"/>
  <c r="BI456" i="4"/>
  <c r="BH456" i="4"/>
  <c r="BG456" i="4"/>
  <c r="BF456" i="4"/>
  <c r="T456" i="4"/>
  <c r="R456" i="4"/>
  <c r="P456" i="4"/>
  <c r="BI454" i="4"/>
  <c r="BH454" i="4"/>
  <c r="BG454" i="4"/>
  <c r="BF454" i="4"/>
  <c r="T454" i="4"/>
  <c r="R454" i="4"/>
  <c r="P454" i="4"/>
  <c r="BI453" i="4"/>
  <c r="BH453" i="4"/>
  <c r="BG453" i="4"/>
  <c r="BF453" i="4"/>
  <c r="T453" i="4"/>
  <c r="R453" i="4"/>
  <c r="P453" i="4"/>
  <c r="BI450" i="4"/>
  <c r="BH450" i="4"/>
  <c r="BG450" i="4"/>
  <c r="BF450" i="4"/>
  <c r="T450" i="4"/>
  <c r="R450" i="4"/>
  <c r="P450" i="4"/>
  <c r="BI449" i="4"/>
  <c r="BH449" i="4"/>
  <c r="BG449" i="4"/>
  <c r="BF449" i="4"/>
  <c r="T449" i="4"/>
  <c r="R449" i="4"/>
  <c r="P449" i="4"/>
  <c r="BI447" i="4"/>
  <c r="BH447" i="4"/>
  <c r="BG447" i="4"/>
  <c r="BF447" i="4"/>
  <c r="T447" i="4"/>
  <c r="R447" i="4"/>
  <c r="P447" i="4"/>
  <c r="BI446" i="4"/>
  <c r="BH446" i="4"/>
  <c r="BG446" i="4"/>
  <c r="BF446" i="4"/>
  <c r="T446" i="4"/>
  <c r="R446" i="4"/>
  <c r="P446" i="4"/>
  <c r="BI445" i="4"/>
  <c r="BH445" i="4"/>
  <c r="BG445" i="4"/>
  <c r="BF445" i="4"/>
  <c r="T445" i="4"/>
  <c r="R445" i="4"/>
  <c r="P445" i="4"/>
  <c r="BI443" i="4"/>
  <c r="BH443" i="4"/>
  <c r="BG443" i="4"/>
  <c r="BF443" i="4"/>
  <c r="T443" i="4"/>
  <c r="R443" i="4"/>
  <c r="P443" i="4"/>
  <c r="BI441" i="4"/>
  <c r="BH441" i="4"/>
  <c r="BG441" i="4"/>
  <c r="BF441" i="4"/>
  <c r="T441" i="4"/>
  <c r="R441" i="4"/>
  <c r="P441" i="4"/>
  <c r="BI439" i="4"/>
  <c r="BH439" i="4"/>
  <c r="BG439" i="4"/>
  <c r="BF439" i="4"/>
  <c r="T439" i="4"/>
  <c r="R439" i="4"/>
  <c r="P439" i="4"/>
  <c r="BI438" i="4"/>
  <c r="BH438" i="4"/>
  <c r="BG438" i="4"/>
  <c r="BF438" i="4"/>
  <c r="T438" i="4"/>
  <c r="R438" i="4"/>
  <c r="P438" i="4"/>
  <c r="BI433" i="4"/>
  <c r="BH433" i="4"/>
  <c r="BG433" i="4"/>
  <c r="BF433" i="4"/>
  <c r="T433" i="4"/>
  <c r="R433" i="4"/>
  <c r="P433" i="4"/>
  <c r="BI432" i="4"/>
  <c r="BH432" i="4"/>
  <c r="BG432" i="4"/>
  <c r="BF432" i="4"/>
  <c r="T432" i="4"/>
  <c r="R432" i="4"/>
  <c r="P432" i="4"/>
  <c r="BI431" i="4"/>
  <c r="BH431" i="4"/>
  <c r="BG431" i="4"/>
  <c r="BF431" i="4"/>
  <c r="T431" i="4"/>
  <c r="R431" i="4"/>
  <c r="P431" i="4"/>
  <c r="BI429" i="4"/>
  <c r="BH429" i="4"/>
  <c r="BG429" i="4"/>
  <c r="BF429" i="4"/>
  <c r="T429" i="4"/>
  <c r="R429" i="4"/>
  <c r="P429" i="4"/>
  <c r="BI428" i="4"/>
  <c r="BH428" i="4"/>
  <c r="BG428" i="4"/>
  <c r="BF428" i="4"/>
  <c r="T428" i="4"/>
  <c r="R428" i="4"/>
  <c r="P428" i="4"/>
  <c r="BI427" i="4"/>
  <c r="BH427" i="4"/>
  <c r="BG427" i="4"/>
  <c r="BF427" i="4"/>
  <c r="T427" i="4"/>
  <c r="R427" i="4"/>
  <c r="P427" i="4"/>
  <c r="BI425" i="4"/>
  <c r="BH425" i="4"/>
  <c r="BG425" i="4"/>
  <c r="BF425" i="4"/>
  <c r="T425" i="4"/>
  <c r="R425" i="4"/>
  <c r="P425" i="4"/>
  <c r="BI423" i="4"/>
  <c r="BH423" i="4"/>
  <c r="BG423" i="4"/>
  <c r="BF423" i="4"/>
  <c r="T423" i="4"/>
  <c r="R423" i="4"/>
  <c r="P423" i="4"/>
  <c r="BI422" i="4"/>
  <c r="BH422" i="4"/>
  <c r="BG422" i="4"/>
  <c r="BF422" i="4"/>
  <c r="T422" i="4"/>
  <c r="R422" i="4"/>
  <c r="P422" i="4"/>
  <c r="BI417" i="4"/>
  <c r="BH417" i="4"/>
  <c r="BG417" i="4"/>
  <c r="BF417" i="4"/>
  <c r="T417" i="4"/>
  <c r="R417" i="4"/>
  <c r="P417" i="4"/>
  <c r="BI416" i="4"/>
  <c r="BH416" i="4"/>
  <c r="BG416" i="4"/>
  <c r="BF416" i="4"/>
  <c r="T416" i="4"/>
  <c r="R416" i="4"/>
  <c r="P416" i="4"/>
  <c r="BI415" i="4"/>
  <c r="BH415" i="4"/>
  <c r="BG415" i="4"/>
  <c r="BF415" i="4"/>
  <c r="T415" i="4"/>
  <c r="R415" i="4"/>
  <c r="P415" i="4"/>
  <c r="BI413" i="4"/>
  <c r="BH413" i="4"/>
  <c r="BG413" i="4"/>
  <c r="BF413" i="4"/>
  <c r="T413" i="4"/>
  <c r="R413" i="4"/>
  <c r="P413" i="4"/>
  <c r="BI412" i="4"/>
  <c r="BH412" i="4"/>
  <c r="BG412" i="4"/>
  <c r="BF412" i="4"/>
  <c r="T412" i="4"/>
  <c r="R412" i="4"/>
  <c r="P412" i="4"/>
  <c r="BI411" i="4"/>
  <c r="BH411" i="4"/>
  <c r="BG411" i="4"/>
  <c r="BF411" i="4"/>
  <c r="T411" i="4"/>
  <c r="R411" i="4"/>
  <c r="P411" i="4"/>
  <c r="BI409" i="4"/>
  <c r="BH409" i="4"/>
  <c r="BG409" i="4"/>
  <c r="BF409" i="4"/>
  <c r="T409" i="4"/>
  <c r="R409" i="4"/>
  <c r="P409" i="4"/>
  <c r="BI407" i="4"/>
  <c r="BH407" i="4"/>
  <c r="BG407" i="4"/>
  <c r="BF407" i="4"/>
  <c r="T407" i="4"/>
  <c r="R407" i="4"/>
  <c r="P407" i="4"/>
  <c r="BI406" i="4"/>
  <c r="BH406" i="4"/>
  <c r="BG406" i="4"/>
  <c r="BF406" i="4"/>
  <c r="T406" i="4"/>
  <c r="R406" i="4"/>
  <c r="P406" i="4"/>
  <c r="BI401" i="4"/>
  <c r="BH401" i="4"/>
  <c r="BG401" i="4"/>
  <c r="BF401" i="4"/>
  <c r="T401" i="4"/>
  <c r="R401" i="4"/>
  <c r="P401" i="4"/>
  <c r="BI400" i="4"/>
  <c r="BH400" i="4"/>
  <c r="BG400" i="4"/>
  <c r="BF400" i="4"/>
  <c r="T400" i="4"/>
  <c r="R400" i="4"/>
  <c r="P400" i="4"/>
  <c r="BI399" i="4"/>
  <c r="BH399" i="4"/>
  <c r="BG399" i="4"/>
  <c r="BF399" i="4"/>
  <c r="T399" i="4"/>
  <c r="R399" i="4"/>
  <c r="P399" i="4"/>
  <c r="BI397" i="4"/>
  <c r="BH397" i="4"/>
  <c r="BG397" i="4"/>
  <c r="BF397" i="4"/>
  <c r="T397" i="4"/>
  <c r="R397" i="4"/>
  <c r="P397" i="4"/>
  <c r="BI396" i="4"/>
  <c r="BH396" i="4"/>
  <c r="BG396" i="4"/>
  <c r="BF396" i="4"/>
  <c r="T396" i="4"/>
  <c r="R396" i="4"/>
  <c r="P396" i="4"/>
  <c r="BI395" i="4"/>
  <c r="BH395" i="4"/>
  <c r="BG395" i="4"/>
  <c r="BF395" i="4"/>
  <c r="T395" i="4"/>
  <c r="R395" i="4"/>
  <c r="P395" i="4"/>
  <c r="BI393" i="4"/>
  <c r="BH393" i="4"/>
  <c r="BG393" i="4"/>
  <c r="BF393" i="4"/>
  <c r="T393" i="4"/>
  <c r="R393" i="4"/>
  <c r="P393" i="4"/>
  <c r="BI391" i="4"/>
  <c r="BH391" i="4"/>
  <c r="BG391" i="4"/>
  <c r="BF391" i="4"/>
  <c r="T391" i="4"/>
  <c r="R391" i="4"/>
  <c r="P391" i="4"/>
  <c r="BI390" i="4"/>
  <c r="BH390" i="4"/>
  <c r="BG390" i="4"/>
  <c r="BF390" i="4"/>
  <c r="T390" i="4"/>
  <c r="R390" i="4"/>
  <c r="P390" i="4"/>
  <c r="BI385" i="4"/>
  <c r="BH385" i="4"/>
  <c r="BG385" i="4"/>
  <c r="BF385" i="4"/>
  <c r="T385" i="4"/>
  <c r="R385" i="4"/>
  <c r="P385" i="4"/>
  <c r="BI384" i="4"/>
  <c r="BH384" i="4"/>
  <c r="BG384" i="4"/>
  <c r="BF384" i="4"/>
  <c r="T384" i="4"/>
  <c r="R384" i="4"/>
  <c r="P384" i="4"/>
  <c r="BI383" i="4"/>
  <c r="BH383" i="4"/>
  <c r="BG383" i="4"/>
  <c r="BF383" i="4"/>
  <c r="T383" i="4"/>
  <c r="R383" i="4"/>
  <c r="P383" i="4"/>
  <c r="BI381" i="4"/>
  <c r="BH381" i="4"/>
  <c r="BG381" i="4"/>
  <c r="BF381" i="4"/>
  <c r="T381" i="4"/>
  <c r="R381" i="4"/>
  <c r="P381" i="4"/>
  <c r="BI380" i="4"/>
  <c r="BH380" i="4"/>
  <c r="BG380" i="4"/>
  <c r="BF380" i="4"/>
  <c r="T380" i="4"/>
  <c r="R380" i="4"/>
  <c r="P380" i="4"/>
  <c r="BI379" i="4"/>
  <c r="BH379" i="4"/>
  <c r="BG379" i="4"/>
  <c r="BF379" i="4"/>
  <c r="T379" i="4"/>
  <c r="R379" i="4"/>
  <c r="P379" i="4"/>
  <c r="BI377" i="4"/>
  <c r="BH377" i="4"/>
  <c r="BG377" i="4"/>
  <c r="BF377" i="4"/>
  <c r="T377" i="4"/>
  <c r="R377" i="4"/>
  <c r="P377" i="4"/>
  <c r="BI375" i="4"/>
  <c r="BH375" i="4"/>
  <c r="BG375" i="4"/>
  <c r="BF375" i="4"/>
  <c r="T375" i="4"/>
  <c r="R375" i="4"/>
  <c r="P375" i="4"/>
  <c r="BI374" i="4"/>
  <c r="BH374" i="4"/>
  <c r="BG374" i="4"/>
  <c r="BF374" i="4"/>
  <c r="T374" i="4"/>
  <c r="R374" i="4"/>
  <c r="P374" i="4"/>
  <c r="BI369" i="4"/>
  <c r="BH369" i="4"/>
  <c r="BG369" i="4"/>
  <c r="BF369" i="4"/>
  <c r="T369" i="4"/>
  <c r="R369" i="4"/>
  <c r="P369" i="4"/>
  <c r="BI368" i="4"/>
  <c r="BH368" i="4"/>
  <c r="BG368" i="4"/>
  <c r="BF368" i="4"/>
  <c r="T368" i="4"/>
  <c r="R368" i="4"/>
  <c r="P368" i="4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9" i="4"/>
  <c r="BH359" i="4"/>
  <c r="BG359" i="4"/>
  <c r="BF359" i="4"/>
  <c r="T359" i="4"/>
  <c r="R359" i="4"/>
  <c r="P359" i="4"/>
  <c r="BI358" i="4"/>
  <c r="BH358" i="4"/>
  <c r="BG358" i="4"/>
  <c r="BF358" i="4"/>
  <c r="T358" i="4"/>
  <c r="R358" i="4"/>
  <c r="P358" i="4"/>
  <c r="BI353" i="4"/>
  <c r="BH353" i="4"/>
  <c r="BG353" i="4"/>
  <c r="BF353" i="4"/>
  <c r="T353" i="4"/>
  <c r="R353" i="4"/>
  <c r="P353" i="4"/>
  <c r="BI352" i="4"/>
  <c r="BH352" i="4"/>
  <c r="BG352" i="4"/>
  <c r="BF352" i="4"/>
  <c r="T352" i="4"/>
  <c r="R352" i="4"/>
  <c r="P352" i="4"/>
  <c r="BI351" i="4"/>
  <c r="BH351" i="4"/>
  <c r="BG351" i="4"/>
  <c r="BF351" i="4"/>
  <c r="T351" i="4"/>
  <c r="R351" i="4"/>
  <c r="P351" i="4"/>
  <c r="BI349" i="4"/>
  <c r="BH349" i="4"/>
  <c r="BG349" i="4"/>
  <c r="BF349" i="4"/>
  <c r="T349" i="4"/>
  <c r="R349" i="4"/>
  <c r="P349" i="4"/>
  <c r="BI348" i="4"/>
  <c r="BH348" i="4"/>
  <c r="BG348" i="4"/>
  <c r="BF348" i="4"/>
  <c r="T348" i="4"/>
  <c r="R348" i="4"/>
  <c r="P348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42" i="4"/>
  <c r="BH342" i="4"/>
  <c r="BG342" i="4"/>
  <c r="BF342" i="4"/>
  <c r="T342" i="4"/>
  <c r="R342" i="4"/>
  <c r="P342" i="4"/>
  <c r="BI337" i="4"/>
  <c r="BH337" i="4"/>
  <c r="BG337" i="4"/>
  <c r="BF337" i="4"/>
  <c r="T337" i="4"/>
  <c r="R337" i="4"/>
  <c r="P337" i="4"/>
  <c r="BI336" i="4"/>
  <c r="BH336" i="4"/>
  <c r="BG336" i="4"/>
  <c r="BF336" i="4"/>
  <c r="T336" i="4"/>
  <c r="R336" i="4"/>
  <c r="P336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6" i="4"/>
  <c r="BH326" i="4"/>
  <c r="BG326" i="4"/>
  <c r="BF326" i="4"/>
  <c r="T326" i="4"/>
  <c r="R326" i="4"/>
  <c r="P326" i="4"/>
  <c r="BI321" i="4"/>
  <c r="BH321" i="4"/>
  <c r="BG321" i="4"/>
  <c r="BF321" i="4"/>
  <c r="T321" i="4"/>
  <c r="R321" i="4"/>
  <c r="P321" i="4"/>
  <c r="BI320" i="4"/>
  <c r="BH320" i="4"/>
  <c r="BG320" i="4"/>
  <c r="BF320" i="4"/>
  <c r="T320" i="4"/>
  <c r="R320" i="4"/>
  <c r="P320" i="4"/>
  <c r="BI319" i="4"/>
  <c r="BH319" i="4"/>
  <c r="BG319" i="4"/>
  <c r="BF319" i="4"/>
  <c r="T319" i="4"/>
  <c r="R319" i="4"/>
  <c r="P319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10" i="4"/>
  <c r="BH310" i="4"/>
  <c r="BG310" i="4"/>
  <c r="BF310" i="4"/>
  <c r="T310" i="4"/>
  <c r="R310" i="4"/>
  <c r="P310" i="4"/>
  <c r="BI309" i="4"/>
  <c r="BH309" i="4"/>
  <c r="BG309" i="4"/>
  <c r="BF309" i="4"/>
  <c r="T309" i="4"/>
  <c r="R309" i="4"/>
  <c r="P309" i="4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88" i="4"/>
  <c r="BH288" i="4"/>
  <c r="BG288" i="4"/>
  <c r="BF288" i="4"/>
  <c r="T288" i="4"/>
  <c r="R288" i="4"/>
  <c r="P288" i="4"/>
  <c r="BI287" i="4"/>
  <c r="BH287" i="4"/>
  <c r="BG287" i="4"/>
  <c r="BF287" i="4"/>
  <c r="T287" i="4"/>
  <c r="R287" i="4"/>
  <c r="P287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F136" i="4"/>
  <c r="E134" i="4"/>
  <c r="F89" i="4"/>
  <c r="E87" i="4"/>
  <c r="J24" i="4"/>
  <c r="J139" i="4"/>
  <c r="J23" i="4"/>
  <c r="J21" i="4"/>
  <c r="J138" i="4"/>
  <c r="J20" i="4"/>
  <c r="J18" i="4"/>
  <c r="E18" i="4"/>
  <c r="F139" i="4" s="1"/>
  <c r="J17" i="4"/>
  <c r="J15" i="4"/>
  <c r="F138" i="4"/>
  <c r="J14" i="4"/>
  <c r="J12" i="4"/>
  <c r="J136" i="4" s="1"/>
  <c r="E7" i="4"/>
  <c r="E132" i="4" s="1"/>
  <c r="J37" i="3"/>
  <c r="J36" i="3"/>
  <c r="AY96" i="1" s="1"/>
  <c r="J35" i="3"/>
  <c r="AX96" i="1" s="1"/>
  <c r="BI410" i="3"/>
  <c r="BH410" i="3"/>
  <c r="BG410" i="3"/>
  <c r="BF410" i="3"/>
  <c r="T410" i="3"/>
  <c r="R410" i="3"/>
  <c r="P410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F138" i="3"/>
  <c r="E136" i="3"/>
  <c r="F89" i="3"/>
  <c r="E87" i="3"/>
  <c r="J24" i="3"/>
  <c r="J92" i="3"/>
  <c r="J23" i="3"/>
  <c r="J21" i="3"/>
  <c r="J140" i="3"/>
  <c r="J20" i="3"/>
  <c r="J18" i="3"/>
  <c r="E18" i="3"/>
  <c r="F141" i="3" s="1"/>
  <c r="J17" i="3"/>
  <c r="J15" i="3"/>
  <c r="F140" i="3"/>
  <c r="J14" i="3"/>
  <c r="J12" i="3"/>
  <c r="J89" i="3" s="1"/>
  <c r="E7" i="3"/>
  <c r="E85" i="3" s="1"/>
  <c r="J37" i="2"/>
  <c r="J36" i="2"/>
  <c r="AY95" i="1"/>
  <c r="J35" i="2"/>
  <c r="AX95" i="1" s="1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T196" i="2" s="1"/>
  <c r="R197" i="2"/>
  <c r="R196" i="2"/>
  <c r="P197" i="2"/>
  <c r="P196" i="2" s="1"/>
  <c r="BI194" i="2"/>
  <c r="BH194" i="2"/>
  <c r="BG194" i="2"/>
  <c r="BF194" i="2"/>
  <c r="T194" i="2"/>
  <c r="T193" i="2" s="1"/>
  <c r="R194" i="2"/>
  <c r="R193" i="2" s="1"/>
  <c r="P194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F132" i="2"/>
  <c r="E130" i="2"/>
  <c r="F89" i="2"/>
  <c r="E87" i="2"/>
  <c r="J24" i="2"/>
  <c r="J135" i="2"/>
  <c r="J23" i="2"/>
  <c r="J21" i="2"/>
  <c r="J134" i="2"/>
  <c r="J20" i="2"/>
  <c r="J18" i="2"/>
  <c r="E18" i="2"/>
  <c r="F135" i="2"/>
  <c r="J17" i="2"/>
  <c r="J15" i="2"/>
  <c r="F134" i="2"/>
  <c r="J14" i="2"/>
  <c r="J12" i="2"/>
  <c r="J132" i="2" s="1"/>
  <c r="E7" i="2"/>
  <c r="E85" i="2" s="1"/>
  <c r="L90" i="1"/>
  <c r="AM90" i="1"/>
  <c r="AM89" i="1"/>
  <c r="L89" i="1"/>
  <c r="AM87" i="1"/>
  <c r="L87" i="1"/>
  <c r="L85" i="1"/>
  <c r="L84" i="1"/>
  <c r="BK134" i="7"/>
  <c r="BK132" i="7"/>
  <c r="J122" i="7"/>
  <c r="BK201" i="6"/>
  <c r="BK194" i="6"/>
  <c r="J190" i="6"/>
  <c r="BK189" i="6"/>
  <c r="J185" i="6"/>
  <c r="BK183" i="6"/>
  <c r="J179" i="6"/>
  <c r="J172" i="6"/>
  <c r="J161" i="6"/>
  <c r="BK152" i="6"/>
  <c r="J150" i="6"/>
  <c r="J147" i="6"/>
  <c r="BK145" i="6"/>
  <c r="BK140" i="6"/>
  <c r="J138" i="6"/>
  <c r="BK127" i="6"/>
  <c r="J125" i="6"/>
  <c r="BK303" i="5"/>
  <c r="BK296" i="5"/>
  <c r="BK291" i="5"/>
  <c r="BK287" i="5"/>
  <c r="BK276" i="5"/>
  <c r="BK275" i="5"/>
  <c r="BK271" i="5"/>
  <c r="J270" i="5"/>
  <c r="BK258" i="5"/>
  <c r="BK257" i="5"/>
  <c r="J249" i="5"/>
  <c r="J239" i="5"/>
  <c r="BK238" i="5"/>
  <c r="J232" i="5"/>
  <c r="BK223" i="5"/>
  <c r="BK222" i="5"/>
  <c r="BK216" i="5"/>
  <c r="J215" i="5"/>
  <c r="J214" i="5"/>
  <c r="J213" i="5"/>
  <c r="BK206" i="5"/>
  <c r="BK203" i="5"/>
  <c r="BK195" i="5"/>
  <c r="J191" i="5"/>
  <c r="BK187" i="5"/>
  <c r="J173" i="5"/>
  <c r="J172" i="5"/>
  <c r="BK165" i="5"/>
  <c r="J163" i="5"/>
  <c r="J162" i="5"/>
  <c r="J161" i="5"/>
  <c r="BK156" i="5"/>
  <c r="J153" i="5"/>
  <c r="BK150" i="5"/>
  <c r="J149" i="5"/>
  <c r="J145" i="5"/>
  <c r="J144" i="5"/>
  <c r="J142" i="5"/>
  <c r="J658" i="4"/>
  <c r="J650" i="4"/>
  <c r="BK646" i="4"/>
  <c r="BK644" i="4"/>
  <c r="BK642" i="4"/>
  <c r="J641" i="4"/>
  <c r="J640" i="4"/>
  <c r="J638" i="4"/>
  <c r="J637" i="4"/>
  <c r="BK636" i="4"/>
  <c r="BK634" i="4"/>
  <c r="J632" i="4"/>
  <c r="J629" i="4"/>
  <c r="BK619" i="4"/>
  <c r="BK617" i="4"/>
  <c r="BK616" i="4"/>
  <c r="J615" i="4"/>
  <c r="J613" i="4"/>
  <c r="J610" i="4"/>
  <c r="BK606" i="4"/>
  <c r="J594" i="4"/>
  <c r="BK592" i="4"/>
  <c r="J591" i="4"/>
  <c r="BK590" i="4"/>
  <c r="J588" i="4"/>
  <c r="BK586" i="4"/>
  <c r="J585" i="4"/>
  <c r="BK584" i="4"/>
  <c r="BK583" i="4"/>
  <c r="J581" i="4"/>
  <c r="BK578" i="4"/>
  <c r="J570" i="4"/>
  <c r="BK568" i="4"/>
  <c r="J566" i="4"/>
  <c r="BK564" i="4"/>
  <c r="J562" i="4"/>
  <c r="BK560" i="4"/>
  <c r="J558" i="4"/>
  <c r="J557" i="4"/>
  <c r="J552" i="4"/>
  <c r="BK546" i="4"/>
  <c r="J541" i="4"/>
  <c r="BK539" i="4"/>
  <c r="BK536" i="4"/>
  <c r="BK534" i="4"/>
  <c r="J531" i="4"/>
  <c r="BK523" i="4"/>
  <c r="BK521" i="4"/>
  <c r="BK520" i="4"/>
  <c r="J517" i="4"/>
  <c r="J512" i="4"/>
  <c r="J506" i="4"/>
  <c r="J504" i="4"/>
  <c r="BK502" i="4"/>
  <c r="J500" i="4"/>
  <c r="J498" i="4"/>
  <c r="BK496" i="4"/>
  <c r="J494" i="4"/>
  <c r="J493" i="4"/>
  <c r="BK492" i="4"/>
  <c r="BK490" i="4"/>
  <c r="J487" i="4"/>
  <c r="J482" i="4"/>
  <c r="BK478" i="4"/>
  <c r="BK475" i="4"/>
  <c r="J473" i="4"/>
  <c r="BK471" i="4"/>
  <c r="J467" i="4"/>
  <c r="BK458" i="4"/>
  <c r="J456" i="4"/>
  <c r="BK454" i="4"/>
  <c r="BK450" i="4"/>
  <c r="J449" i="4"/>
  <c r="J447" i="4"/>
  <c r="BK438" i="4"/>
  <c r="BK431" i="4"/>
  <c r="J428" i="4"/>
  <c r="BK425" i="4"/>
  <c r="BK423" i="4"/>
  <c r="BK422" i="4"/>
  <c r="BK417" i="4"/>
  <c r="J416" i="4"/>
  <c r="J415" i="4"/>
  <c r="J412" i="4"/>
  <c r="BK411" i="4"/>
  <c r="J409" i="4"/>
  <c r="J406" i="4"/>
  <c r="BK400" i="4"/>
  <c r="J399" i="4"/>
  <c r="J397" i="4"/>
  <c r="J396" i="4"/>
  <c r="J395" i="4"/>
  <c r="J385" i="4"/>
  <c r="BK384" i="4"/>
  <c r="J383" i="4"/>
  <c r="J381" i="4"/>
  <c r="BK380" i="4"/>
  <c r="BK379" i="4"/>
  <c r="J375" i="4"/>
  <c r="BK374" i="4"/>
  <c r="BK369" i="4"/>
  <c r="BK368" i="4"/>
  <c r="J364" i="4"/>
  <c r="BK363" i="4"/>
  <c r="BK361" i="4"/>
  <c r="J359" i="4"/>
  <c r="BK353" i="4"/>
  <c r="BK352" i="4"/>
  <c r="BK351" i="4"/>
  <c r="J349" i="4"/>
  <c r="BK348" i="4"/>
  <c r="J345" i="4"/>
  <c r="BK343" i="4"/>
  <c r="BK337" i="4"/>
  <c r="BK336" i="4"/>
  <c r="J335" i="4"/>
  <c r="J332" i="4"/>
  <c r="J331" i="4"/>
  <c r="BK329" i="4"/>
  <c r="BK327" i="4"/>
  <c r="BK326" i="4"/>
  <c r="J320" i="4"/>
  <c r="BK319" i="4"/>
  <c r="BK318" i="4"/>
  <c r="J316" i="4"/>
  <c r="BK315" i="4"/>
  <c r="BK314" i="4"/>
  <c r="J312" i="4"/>
  <c r="J310" i="4"/>
  <c r="BK302" i="4"/>
  <c r="J300" i="4"/>
  <c r="J299" i="4"/>
  <c r="J298" i="4"/>
  <c r="J296" i="4"/>
  <c r="BK294" i="4"/>
  <c r="J293" i="4"/>
  <c r="BK288" i="4"/>
  <c r="BK287" i="4"/>
  <c r="BK284" i="4"/>
  <c r="BK283" i="4"/>
  <c r="BK282" i="4"/>
  <c r="J280" i="4"/>
  <c r="J278" i="4"/>
  <c r="J277" i="4"/>
  <c r="J272" i="4"/>
  <c r="BK270" i="4"/>
  <c r="BK269" i="4"/>
  <c r="J266" i="4"/>
  <c r="J265" i="4"/>
  <c r="J261" i="4"/>
  <c r="BK258" i="4"/>
  <c r="J253" i="4"/>
  <c r="J249" i="4"/>
  <c r="BK246" i="4"/>
  <c r="J243" i="4"/>
  <c r="BK241" i="4"/>
  <c r="J240" i="4"/>
  <c r="BK238" i="4"/>
  <c r="J236" i="4"/>
  <c r="BK234" i="4"/>
  <c r="J231" i="4"/>
  <c r="BK225" i="4"/>
  <c r="BK223" i="4"/>
  <c r="BK221" i="4"/>
  <c r="BK220" i="4"/>
  <c r="BK218" i="4"/>
  <c r="J216" i="4"/>
  <c r="BK213" i="4"/>
  <c r="BK212" i="4"/>
  <c r="BK209" i="4"/>
  <c r="J202" i="4"/>
  <c r="J200" i="4"/>
  <c r="BK198" i="4"/>
  <c r="BK197" i="4"/>
  <c r="BK195" i="4"/>
  <c r="BK193" i="4"/>
  <c r="J191" i="4"/>
  <c r="J188" i="4"/>
  <c r="BK182" i="4"/>
  <c r="BK180" i="4"/>
  <c r="BK177" i="4"/>
  <c r="J175" i="4"/>
  <c r="J173" i="4"/>
  <c r="BK172" i="4"/>
  <c r="J171" i="4"/>
  <c r="J170" i="4"/>
  <c r="J168" i="4"/>
  <c r="J165" i="4"/>
  <c r="J159" i="4"/>
  <c r="J158" i="4"/>
  <c r="J155" i="4"/>
  <c r="BK150" i="4"/>
  <c r="BK147" i="4"/>
  <c r="BK410" i="3"/>
  <c r="J407" i="3"/>
  <c r="BK402" i="3"/>
  <c r="BK401" i="3"/>
  <c r="J400" i="3"/>
  <c r="BK396" i="3"/>
  <c r="J392" i="3"/>
  <c r="J382" i="3"/>
  <c r="J381" i="3"/>
  <c r="J380" i="3"/>
  <c r="J372" i="3"/>
  <c r="BK371" i="3"/>
  <c r="BK367" i="3"/>
  <c r="J363" i="3"/>
  <c r="J362" i="3"/>
  <c r="J361" i="3"/>
  <c r="J357" i="3"/>
  <c r="J356" i="3"/>
  <c r="BK350" i="3"/>
  <c r="BK349" i="3"/>
  <c r="BK347" i="3"/>
  <c r="BK346" i="3"/>
  <c r="BK338" i="3"/>
  <c r="J337" i="3"/>
  <c r="J334" i="3"/>
  <c r="J332" i="3"/>
  <c r="BK320" i="3"/>
  <c r="BK319" i="3"/>
  <c r="BK318" i="3"/>
  <c r="BK311" i="3"/>
  <c r="BK310" i="3"/>
  <c r="J306" i="3"/>
  <c r="BK305" i="3"/>
  <c r="BK304" i="3"/>
  <c r="J303" i="3"/>
  <c r="J298" i="3"/>
  <c r="BK296" i="3"/>
  <c r="J295" i="3"/>
  <c r="BK291" i="3"/>
  <c r="BK290" i="3"/>
  <c r="BK286" i="3"/>
  <c r="BK281" i="3"/>
  <c r="J278" i="3"/>
  <c r="J277" i="3"/>
  <c r="BK273" i="3"/>
  <c r="J272" i="3"/>
  <c r="BK257" i="3"/>
  <c r="BK253" i="3"/>
  <c r="J250" i="3"/>
  <c r="BK249" i="3"/>
  <c r="J246" i="3"/>
  <c r="BK243" i="3"/>
  <c r="BK239" i="3"/>
  <c r="J238" i="3"/>
  <c r="BK237" i="3"/>
  <c r="BK235" i="3"/>
  <c r="J223" i="3"/>
  <c r="BK213" i="3"/>
  <c r="J212" i="3"/>
  <c r="BK211" i="3"/>
  <c r="BK209" i="3"/>
  <c r="BK208" i="3"/>
  <c r="J205" i="3"/>
  <c r="J203" i="3"/>
  <c r="J198" i="3"/>
  <c r="J197" i="3"/>
  <c r="BK196" i="3"/>
  <c r="J187" i="3"/>
  <c r="BK185" i="3"/>
  <c r="BK184" i="3"/>
  <c r="BK182" i="3"/>
  <c r="J178" i="3"/>
  <c r="BK177" i="3"/>
  <c r="J176" i="3"/>
  <c r="BK174" i="3"/>
  <c r="BK173" i="3"/>
  <c r="BK172" i="3"/>
  <c r="BK171" i="3"/>
  <c r="BK167" i="3"/>
  <c r="J165" i="3"/>
  <c r="J164" i="3"/>
  <c r="BK162" i="3"/>
  <c r="BK159" i="3"/>
  <c r="J155" i="3"/>
  <c r="J152" i="3"/>
  <c r="J149" i="3"/>
  <c r="J219" i="2"/>
  <c r="BK217" i="2"/>
  <c r="J216" i="2"/>
  <c r="J213" i="2"/>
  <c r="J212" i="2"/>
  <c r="J210" i="2"/>
  <c r="J204" i="2"/>
  <c r="BK201" i="2"/>
  <c r="J200" i="2"/>
  <c r="J197" i="2"/>
  <c r="BK191" i="2"/>
  <c r="BK187" i="2"/>
  <c r="J186" i="2"/>
  <c r="J184" i="2"/>
  <c r="J183" i="2"/>
  <c r="BK180" i="2"/>
  <c r="J178" i="2"/>
  <c r="BK176" i="2"/>
  <c r="J175" i="2"/>
  <c r="BK173" i="2"/>
  <c r="J168" i="2"/>
  <c r="J167" i="2"/>
  <c r="BK163" i="2"/>
  <c r="J162" i="2"/>
  <c r="BK160" i="2"/>
  <c r="BK157" i="2"/>
  <c r="BK156" i="2"/>
  <c r="BK155" i="2"/>
  <c r="J153" i="2"/>
  <c r="BK149" i="2"/>
  <c r="BK145" i="2"/>
  <c r="BK144" i="2"/>
  <c r="BK141" i="2"/>
  <c r="J134" i="7"/>
  <c r="J132" i="7"/>
  <c r="BK122" i="7"/>
  <c r="J201" i="6"/>
  <c r="BK181" i="6"/>
  <c r="J176" i="6"/>
  <c r="BK163" i="6"/>
  <c r="BK161" i="6"/>
  <c r="BK159" i="6"/>
  <c r="BK157" i="6"/>
  <c r="BK155" i="6"/>
  <c r="J152" i="6"/>
  <c r="J148" i="6"/>
  <c r="BK138" i="6"/>
  <c r="BK136" i="6"/>
  <c r="BK132" i="6"/>
  <c r="BK129" i="6"/>
  <c r="J127" i="6"/>
  <c r="BK125" i="6"/>
  <c r="J124" i="6"/>
  <c r="BK314" i="5"/>
  <c r="J313" i="5"/>
  <c r="J312" i="5"/>
  <c r="BK311" i="5"/>
  <c r="J308" i="5"/>
  <c r="BK307" i="5"/>
  <c r="J307" i="5"/>
  <c r="J303" i="5"/>
  <c r="J302" i="5"/>
  <c r="BK301" i="5"/>
  <c r="J300" i="5"/>
  <c r="J296" i="5"/>
  <c r="BK292" i="5"/>
  <c r="BK284" i="5"/>
  <c r="J283" i="5"/>
  <c r="BK278" i="5"/>
  <c r="BK270" i="5"/>
  <c r="BK269" i="5"/>
  <c r="J265" i="5"/>
  <c r="J264" i="5"/>
  <c r="J260" i="5"/>
  <c r="BK256" i="5"/>
  <c r="J252" i="5"/>
  <c r="BK249" i="5"/>
  <c r="J240" i="5"/>
  <c r="BK234" i="5"/>
  <c r="BK233" i="5"/>
  <c r="J225" i="5"/>
  <c r="BK224" i="5"/>
  <c r="J222" i="5"/>
  <c r="BK209" i="5"/>
  <c r="J207" i="5"/>
  <c r="J206" i="5"/>
  <c r="J203" i="5"/>
  <c r="J202" i="5"/>
  <c r="BK199" i="5"/>
  <c r="BK198" i="5"/>
  <c r="J197" i="5"/>
  <c r="BK196" i="5"/>
  <c r="J187" i="5"/>
  <c r="BK186" i="5"/>
  <c r="BK182" i="5"/>
  <c r="BK179" i="5"/>
  <c r="J174" i="5"/>
  <c r="J171" i="5"/>
  <c r="J164" i="5"/>
  <c r="BK163" i="5"/>
  <c r="BK162" i="5"/>
  <c r="BK157" i="5"/>
  <c r="J156" i="5"/>
  <c r="J155" i="5"/>
  <c r="BK154" i="5"/>
  <c r="BK153" i="5"/>
  <c r="J150" i="5"/>
  <c r="BK149" i="5"/>
  <c r="J146" i="5"/>
  <c r="BK145" i="5"/>
  <c r="BK144" i="5"/>
  <c r="BK143" i="5"/>
  <c r="BK142" i="5"/>
  <c r="BK670" i="4"/>
  <c r="BK668" i="4"/>
  <c r="BK667" i="4"/>
  <c r="J666" i="4"/>
  <c r="BK664" i="4"/>
  <c r="J663" i="4"/>
  <c r="BK662" i="4"/>
  <c r="J660" i="4"/>
  <c r="BK658" i="4"/>
  <c r="J656" i="4"/>
  <c r="BK650" i="4"/>
  <c r="J648" i="4"/>
  <c r="J646" i="4"/>
  <c r="J644" i="4"/>
  <c r="BK641" i="4"/>
  <c r="BK637" i="4"/>
  <c r="J634" i="4"/>
  <c r="BK632" i="4"/>
  <c r="BK623" i="4"/>
  <c r="BK621" i="4"/>
  <c r="BK611" i="4"/>
  <c r="BK610" i="4"/>
  <c r="BK609" i="4"/>
  <c r="J608" i="4"/>
  <c r="J606" i="4"/>
  <c r="BK603" i="4"/>
  <c r="J598" i="4"/>
  <c r="J596" i="4"/>
  <c r="BK594" i="4"/>
  <c r="BK591" i="4"/>
  <c r="J586" i="4"/>
  <c r="BK585" i="4"/>
  <c r="J578" i="4"/>
  <c r="BK572" i="4"/>
  <c r="BK570" i="4"/>
  <c r="BK566" i="4"/>
  <c r="J565" i="4"/>
  <c r="BK562" i="4"/>
  <c r="J560" i="4"/>
  <c r="J559" i="4"/>
  <c r="BK557" i="4"/>
  <c r="J555" i="4"/>
  <c r="BK552" i="4"/>
  <c r="BK544" i="4"/>
  <c r="BK543" i="4"/>
  <c r="J539" i="4"/>
  <c r="J538" i="4"/>
  <c r="BK537" i="4"/>
  <c r="J534" i="4"/>
  <c r="BK526" i="4"/>
  <c r="J524" i="4"/>
  <c r="J523" i="4"/>
  <c r="BK519" i="4"/>
  <c r="BK515" i="4"/>
  <c r="J502" i="4"/>
  <c r="J499" i="4"/>
  <c r="J496" i="4"/>
  <c r="BK494" i="4"/>
  <c r="J488" i="4"/>
  <c r="BK480" i="4"/>
  <c r="BK477" i="4"/>
  <c r="J475" i="4"/>
  <c r="BK472" i="4"/>
  <c r="J469" i="4"/>
  <c r="J465" i="4"/>
  <c r="J462" i="4"/>
  <c r="J453" i="4"/>
  <c r="BK449" i="4"/>
  <c r="J446" i="4"/>
  <c r="J443" i="4"/>
  <c r="J441" i="4"/>
  <c r="BK439" i="4"/>
  <c r="J438" i="4"/>
  <c r="J433" i="4"/>
  <c r="J432" i="4"/>
  <c r="BK429" i="4"/>
  <c r="BK427" i="4"/>
  <c r="J422" i="4"/>
  <c r="J417" i="4"/>
  <c r="BK416" i="4"/>
  <c r="BK413" i="4"/>
  <c r="J411" i="4"/>
  <c r="J407" i="4"/>
  <c r="BK406" i="4"/>
  <c r="J401" i="4"/>
  <c r="J400" i="4"/>
  <c r="BK397" i="4"/>
  <c r="BK393" i="4"/>
  <c r="BK391" i="4"/>
  <c r="BK390" i="4"/>
  <c r="J380" i="4"/>
  <c r="J379" i="4"/>
  <c r="J377" i="4"/>
  <c r="BK375" i="4"/>
  <c r="J369" i="4"/>
  <c r="J368" i="4"/>
  <c r="J367" i="4"/>
  <c r="J365" i="4"/>
  <c r="BK364" i="4"/>
  <c r="J361" i="4"/>
  <c r="BK359" i="4"/>
  <c r="J358" i="4"/>
  <c r="J347" i="4"/>
  <c r="J343" i="4"/>
  <c r="BK342" i="4"/>
  <c r="BK335" i="4"/>
  <c r="BK333" i="4"/>
  <c r="J329" i="4"/>
  <c r="J321" i="4"/>
  <c r="BK316" i="4"/>
  <c r="J315" i="4"/>
  <c r="BK312" i="4"/>
  <c r="BK310" i="4"/>
  <c r="BK309" i="4"/>
  <c r="J304" i="4"/>
  <c r="BK303" i="4"/>
  <c r="BK299" i="4"/>
  <c r="BK293" i="4"/>
  <c r="J288" i="4"/>
  <c r="J287" i="4"/>
  <c r="BK286" i="4"/>
  <c r="J282" i="4"/>
  <c r="BK280" i="4"/>
  <c r="BK277" i="4"/>
  <c r="BK267" i="4"/>
  <c r="BK263" i="4"/>
  <c r="BK251" i="4"/>
  <c r="J246" i="4"/>
  <c r="BK245" i="4"/>
  <c r="BK240" i="4"/>
  <c r="BK239" i="4"/>
  <c r="BK236" i="4"/>
  <c r="J234" i="4"/>
  <c r="BK216" i="4"/>
  <c r="BK214" i="4"/>
  <c r="J213" i="4"/>
  <c r="J212" i="4"/>
  <c r="J206" i="4"/>
  <c r="J197" i="4"/>
  <c r="J195" i="4"/>
  <c r="BK194" i="4"/>
  <c r="BK188" i="4"/>
  <c r="J180" i="4"/>
  <c r="J179" i="4"/>
  <c r="BK173" i="4"/>
  <c r="BK171" i="4"/>
  <c r="BK158" i="4"/>
  <c r="J156" i="4"/>
  <c r="BK155" i="4"/>
  <c r="J410" i="3"/>
  <c r="BK406" i="3"/>
  <c r="BK403" i="3"/>
  <c r="J396" i="3"/>
  <c r="J395" i="3"/>
  <c r="BK391" i="3"/>
  <c r="J383" i="3"/>
  <c r="BK379" i="3"/>
  <c r="J375" i="3"/>
  <c r="BK374" i="3"/>
  <c r="J373" i="3"/>
  <c r="BK372" i="3"/>
  <c r="J371" i="3"/>
  <c r="J367" i="3"/>
  <c r="J366" i="3"/>
  <c r="BK364" i="3"/>
  <c r="BK362" i="3"/>
  <c r="J359" i="3"/>
  <c r="J358" i="3"/>
  <c r="BK357" i="3"/>
  <c r="J355" i="3"/>
  <c r="J346" i="3"/>
  <c r="J345" i="3"/>
  <c r="J333" i="3"/>
  <c r="BK332" i="3"/>
  <c r="BK325" i="3"/>
  <c r="BK324" i="3"/>
  <c r="J318" i="3"/>
  <c r="BK317" i="3"/>
  <c r="J310" i="3"/>
  <c r="BK306" i="3"/>
  <c r="J304" i="3"/>
  <c r="J290" i="3"/>
  <c r="BK289" i="3"/>
  <c r="J288" i="3"/>
  <c r="J287" i="3"/>
  <c r="BK278" i="3"/>
  <c r="BK274" i="3"/>
  <c r="BK271" i="3"/>
  <c r="BK267" i="3"/>
  <c r="J266" i="3"/>
  <c r="BK250" i="3"/>
  <c r="BK238" i="3"/>
  <c r="BK228" i="3"/>
  <c r="J224" i="3"/>
  <c r="J222" i="3"/>
  <c r="BK212" i="3"/>
  <c r="J211" i="3"/>
  <c r="J208" i="3"/>
  <c r="BK205" i="3"/>
  <c r="J204" i="3"/>
  <c r="BK203" i="3"/>
  <c r="BK200" i="3"/>
  <c r="BK199" i="3"/>
  <c r="BK197" i="3"/>
  <c r="J186" i="3"/>
  <c r="J177" i="3"/>
  <c r="BK176" i="3"/>
  <c r="J173" i="3"/>
  <c r="J166" i="3"/>
  <c r="BK165" i="3"/>
  <c r="BK163" i="3"/>
  <c r="J162" i="3"/>
  <c r="J159" i="3"/>
  <c r="BK156" i="3"/>
  <c r="BK151" i="3"/>
  <c r="BK150" i="3"/>
  <c r="BK220" i="2"/>
  <c r="BK219" i="2"/>
  <c r="J217" i="2"/>
  <c r="BK212" i="2"/>
  <c r="J208" i="2"/>
  <c r="J207" i="2"/>
  <c r="BK203" i="2"/>
  <c r="J201" i="2"/>
  <c r="BK197" i="2"/>
  <c r="J194" i="2"/>
  <c r="J191" i="2"/>
  <c r="J190" i="2"/>
  <c r="J187" i="2"/>
  <c r="BK186" i="2"/>
  <c r="BK184" i="2"/>
  <c r="BK183" i="2"/>
  <c r="BK182" i="2"/>
  <c r="J180" i="2"/>
  <c r="BK179" i="2"/>
  <c r="J176" i="2"/>
  <c r="BK175" i="2"/>
  <c r="J173" i="2"/>
  <c r="BK172" i="2"/>
  <c r="J169" i="2"/>
  <c r="BK168" i="2"/>
  <c r="BK167" i="2"/>
  <c r="BK166" i="2"/>
  <c r="J163" i="2"/>
  <c r="BK162" i="2"/>
  <c r="BK159" i="2"/>
  <c r="J157" i="2"/>
  <c r="J156" i="2"/>
  <c r="BK153" i="2"/>
  <c r="BK152" i="2"/>
  <c r="J150" i="2"/>
  <c r="J147" i="2"/>
  <c r="J145" i="2"/>
  <c r="J144" i="2"/>
  <c r="BK142" i="2"/>
  <c r="J141" i="2"/>
  <c r="AS94" i="1"/>
  <c r="J203" i="6"/>
  <c r="J199" i="6"/>
  <c r="BK197" i="6"/>
  <c r="J192" i="6"/>
  <c r="BK190" i="6"/>
  <c r="J189" i="6"/>
  <c r="BK185" i="6"/>
  <c r="J183" i="6"/>
  <c r="J181" i="6"/>
  <c r="J174" i="6"/>
  <c r="BK172" i="6"/>
  <c r="BK171" i="6"/>
  <c r="BK165" i="6"/>
  <c r="J159" i="6"/>
  <c r="J157" i="6"/>
  <c r="J155" i="6"/>
  <c r="BK148" i="6"/>
  <c r="J145" i="6"/>
  <c r="J136" i="6"/>
  <c r="BK134" i="6"/>
  <c r="BK293" i="5"/>
  <c r="J287" i="5"/>
  <c r="J282" i="5"/>
  <c r="J277" i="5"/>
  <c r="J271" i="5"/>
  <c r="J269" i="5"/>
  <c r="BK268" i="5"/>
  <c r="BK265" i="5"/>
  <c r="BK263" i="5"/>
  <c r="BK260" i="5"/>
  <c r="BK259" i="5"/>
  <c r="J258" i="5"/>
  <c r="J257" i="5"/>
  <c r="J256" i="5"/>
  <c r="BK252" i="5"/>
  <c r="J248" i="5"/>
  <c r="BK247" i="5"/>
  <c r="BK241" i="5"/>
  <c r="J238" i="5"/>
  <c r="BK232" i="5"/>
  <c r="J231" i="5"/>
  <c r="J224" i="5"/>
  <c r="J223" i="5"/>
  <c r="BK214" i="5"/>
  <c r="BK213" i="5"/>
  <c r="J209" i="5"/>
  <c r="J208" i="5"/>
  <c r="BK207" i="5"/>
  <c r="J198" i="5"/>
  <c r="J195" i="5"/>
  <c r="BK191" i="5"/>
  <c r="J188" i="5"/>
  <c r="J181" i="5"/>
  <c r="BK180" i="5"/>
  <c r="BK174" i="5"/>
  <c r="BK172" i="5"/>
  <c r="BK171" i="5"/>
  <c r="J670" i="4"/>
  <c r="J668" i="4"/>
  <c r="J667" i="4"/>
  <c r="BK666" i="4"/>
  <c r="J664" i="4"/>
  <c r="BK663" i="4"/>
  <c r="J662" i="4"/>
  <c r="BK660" i="4"/>
  <c r="BK656" i="4"/>
  <c r="BK648" i="4"/>
  <c r="J642" i="4"/>
  <c r="BK640" i="4"/>
  <c r="BK638" i="4"/>
  <c r="J636" i="4"/>
  <c r="BK629" i="4"/>
  <c r="J623" i="4"/>
  <c r="J621" i="4"/>
  <c r="J619" i="4"/>
  <c r="J617" i="4"/>
  <c r="J616" i="4"/>
  <c r="BK615" i="4"/>
  <c r="BK613" i="4"/>
  <c r="J611" i="4"/>
  <c r="J609" i="4"/>
  <c r="BK608" i="4"/>
  <c r="J603" i="4"/>
  <c r="BK598" i="4"/>
  <c r="BK596" i="4"/>
  <c r="J592" i="4"/>
  <c r="J590" i="4"/>
  <c r="BK588" i="4"/>
  <c r="J584" i="4"/>
  <c r="J583" i="4"/>
  <c r="BK581" i="4"/>
  <c r="J572" i="4"/>
  <c r="J568" i="4"/>
  <c r="BK565" i="4"/>
  <c r="J564" i="4"/>
  <c r="BK559" i="4"/>
  <c r="BK558" i="4"/>
  <c r="BK555" i="4"/>
  <c r="J546" i="4"/>
  <c r="J544" i="4"/>
  <c r="J543" i="4"/>
  <c r="BK541" i="4"/>
  <c r="BK538" i="4"/>
  <c r="J537" i="4"/>
  <c r="J536" i="4"/>
  <c r="BK531" i="4"/>
  <c r="J526" i="4"/>
  <c r="BK524" i="4"/>
  <c r="J521" i="4"/>
  <c r="J520" i="4"/>
  <c r="J519" i="4"/>
  <c r="BK517" i="4"/>
  <c r="J515" i="4"/>
  <c r="BK512" i="4"/>
  <c r="BK506" i="4"/>
  <c r="BK504" i="4"/>
  <c r="BK500" i="4"/>
  <c r="BK499" i="4"/>
  <c r="BK498" i="4"/>
  <c r="BK493" i="4"/>
  <c r="J492" i="4"/>
  <c r="J490" i="4"/>
  <c r="BK488" i="4"/>
  <c r="BK487" i="4"/>
  <c r="BK482" i="4"/>
  <c r="J480" i="4"/>
  <c r="J478" i="4"/>
  <c r="J477" i="4"/>
  <c r="BK473" i="4"/>
  <c r="J472" i="4"/>
  <c r="J471" i="4"/>
  <c r="BK469" i="4"/>
  <c r="BK467" i="4"/>
  <c r="BK465" i="4"/>
  <c r="BK462" i="4"/>
  <c r="J458" i="4"/>
  <c r="BK456" i="4"/>
  <c r="J454" i="4"/>
  <c r="BK453" i="4"/>
  <c r="J450" i="4"/>
  <c r="BK447" i="4"/>
  <c r="BK446" i="4"/>
  <c r="BK445" i="4"/>
  <c r="J445" i="4"/>
  <c r="BK443" i="4"/>
  <c r="BK441" i="4"/>
  <c r="J439" i="4"/>
  <c r="BK433" i="4"/>
  <c r="BK432" i="4"/>
  <c r="J431" i="4"/>
  <c r="J429" i="4"/>
  <c r="BK428" i="4"/>
  <c r="J427" i="4"/>
  <c r="J425" i="4"/>
  <c r="J423" i="4"/>
  <c r="BK415" i="4"/>
  <c r="J413" i="4"/>
  <c r="BK412" i="4"/>
  <c r="BK409" i="4"/>
  <c r="BK407" i="4"/>
  <c r="BK401" i="4"/>
  <c r="BK399" i="4"/>
  <c r="BK396" i="4"/>
  <c r="BK395" i="4"/>
  <c r="J393" i="4"/>
  <c r="J391" i="4"/>
  <c r="J390" i="4"/>
  <c r="BK385" i="4"/>
  <c r="J384" i="4"/>
  <c r="BK383" i="4"/>
  <c r="BK381" i="4"/>
  <c r="BK377" i="4"/>
  <c r="J374" i="4"/>
  <c r="BK367" i="4"/>
  <c r="BK365" i="4"/>
  <c r="J363" i="4"/>
  <c r="BK358" i="4"/>
  <c r="J353" i="4"/>
  <c r="J352" i="4"/>
  <c r="J351" i="4"/>
  <c r="BK349" i="4"/>
  <c r="J348" i="4"/>
  <c r="BK347" i="4"/>
  <c r="BK345" i="4"/>
  <c r="J342" i="4"/>
  <c r="J337" i="4"/>
  <c r="J336" i="4"/>
  <c r="J333" i="4"/>
  <c r="BK332" i="4"/>
  <c r="BK331" i="4"/>
  <c r="J327" i="4"/>
  <c r="J326" i="4"/>
  <c r="BK321" i="4"/>
  <c r="BK320" i="4"/>
  <c r="J319" i="4"/>
  <c r="J318" i="4"/>
  <c r="J314" i="4"/>
  <c r="J309" i="4"/>
  <c r="BK304" i="4"/>
  <c r="J303" i="4"/>
  <c r="J302" i="4"/>
  <c r="BK300" i="4"/>
  <c r="BK298" i="4"/>
  <c r="BK296" i="4"/>
  <c r="J294" i="4"/>
  <c r="J286" i="4"/>
  <c r="J284" i="4"/>
  <c r="J283" i="4"/>
  <c r="BK278" i="4"/>
  <c r="BK272" i="4"/>
  <c r="J270" i="4"/>
  <c r="J269" i="4"/>
  <c r="J267" i="4"/>
  <c r="BK266" i="4"/>
  <c r="BK265" i="4"/>
  <c r="J263" i="4"/>
  <c r="BK261" i="4"/>
  <c r="J258" i="4"/>
  <c r="BK253" i="4"/>
  <c r="J251" i="4"/>
  <c r="BK249" i="4"/>
  <c r="J245" i="4"/>
  <c r="BK243" i="4"/>
  <c r="J241" i="4"/>
  <c r="J239" i="4"/>
  <c r="J238" i="4"/>
  <c r="BK231" i="4"/>
  <c r="J225" i="4"/>
  <c r="J223" i="4"/>
  <c r="J221" i="4"/>
  <c r="J220" i="4"/>
  <c r="J218" i="4"/>
  <c r="J214" i="4"/>
  <c r="BK211" i="4"/>
  <c r="J211" i="4"/>
  <c r="J209" i="4"/>
  <c r="BK206" i="4"/>
  <c r="BK202" i="4"/>
  <c r="BK200" i="4"/>
  <c r="J198" i="4"/>
  <c r="J194" i="4"/>
  <c r="J193" i="4"/>
  <c r="BK191" i="4"/>
  <c r="J182" i="4"/>
  <c r="BK179" i="4"/>
  <c r="J177" i="4"/>
  <c r="BK175" i="4"/>
  <c r="J172" i="4"/>
  <c r="BK170" i="4"/>
  <c r="BK168" i="4"/>
  <c r="BK165" i="4"/>
  <c r="BK159" i="4"/>
  <c r="BK156" i="4"/>
  <c r="BK154" i="4"/>
  <c r="J152" i="4"/>
  <c r="J150" i="4"/>
  <c r="J403" i="3"/>
  <c r="J401" i="3"/>
  <c r="BK400" i="3"/>
  <c r="BK395" i="3"/>
  <c r="J394" i="3"/>
  <c r="BK393" i="3"/>
  <c r="J391" i="3"/>
  <c r="BK390" i="3"/>
  <c r="BK389" i="3"/>
  <c r="J385" i="3"/>
  <c r="J384" i="3"/>
  <c r="BK383" i="3"/>
  <c r="BK382" i="3"/>
  <c r="BK381" i="3"/>
  <c r="BK380" i="3"/>
  <c r="BK375" i="3"/>
  <c r="J374" i="3"/>
  <c r="BK366" i="3"/>
  <c r="J365" i="3"/>
  <c r="BK363" i="3"/>
  <c r="BK361" i="3"/>
  <c r="BK359" i="3"/>
  <c r="BK356" i="3"/>
  <c r="BK355" i="3"/>
  <c r="BK351" i="3"/>
  <c r="J349" i="3"/>
  <c r="BK348" i="3"/>
  <c r="J347" i="3"/>
  <c r="BK341" i="3"/>
  <c r="J338" i="3"/>
  <c r="BK334" i="3"/>
  <c r="BK331" i="3"/>
  <c r="J327" i="3"/>
  <c r="J326" i="3"/>
  <c r="J324" i="3"/>
  <c r="J320" i="3"/>
  <c r="J319" i="3"/>
  <c r="J317" i="3"/>
  <c r="J313" i="3"/>
  <c r="J312" i="3"/>
  <c r="J311" i="3"/>
  <c r="J305" i="3"/>
  <c r="J299" i="3"/>
  <c r="BK298" i="3"/>
  <c r="J297" i="3"/>
  <c r="BK287" i="3"/>
  <c r="J286" i="3"/>
  <c r="J285" i="3"/>
  <c r="J274" i="3"/>
  <c r="BK272" i="3"/>
  <c r="J271" i="3"/>
  <c r="J265" i="3"/>
  <c r="J264" i="3"/>
  <c r="BK260" i="3"/>
  <c r="J259" i="3"/>
  <c r="BK258" i="3"/>
  <c r="J253" i="3"/>
  <c r="J249" i="3"/>
  <c r="BK246" i="3"/>
  <c r="BK245" i="3"/>
  <c r="BK244" i="3"/>
  <c r="BK236" i="3"/>
  <c r="BK231" i="3"/>
  <c r="J228" i="3"/>
  <c r="BK227" i="3"/>
  <c r="BK224" i="3"/>
  <c r="BK223" i="3"/>
  <c r="BK222" i="3"/>
  <c r="J221" i="3"/>
  <c r="J217" i="3"/>
  <c r="BK214" i="3"/>
  <c r="J213" i="3"/>
  <c r="J209" i="3"/>
  <c r="BK204" i="3"/>
  <c r="J200" i="3"/>
  <c r="J199" i="3"/>
  <c r="BK198" i="3"/>
  <c r="J196" i="3"/>
  <c r="BK195" i="3"/>
  <c r="J195" i="3"/>
  <c r="BK192" i="3"/>
  <c r="J192" i="3"/>
  <c r="BK188" i="3"/>
  <c r="J188" i="3"/>
  <c r="BK187" i="3"/>
  <c r="BK186" i="3"/>
  <c r="J185" i="3"/>
  <c r="J184" i="3"/>
  <c r="J182" i="3"/>
  <c r="BK178" i="3"/>
  <c r="J174" i="3"/>
  <c r="J172" i="3"/>
  <c r="J171" i="3"/>
  <c r="J167" i="3"/>
  <c r="BK166" i="3"/>
  <c r="BK164" i="3"/>
  <c r="J163" i="3"/>
  <c r="J156" i="3"/>
  <c r="BK155" i="3"/>
  <c r="BK152" i="3"/>
  <c r="J151" i="3"/>
  <c r="J150" i="3"/>
  <c r="BK149" i="3"/>
  <c r="J220" i="2"/>
  <c r="BK216" i="2"/>
  <c r="BK213" i="2"/>
  <c r="BK210" i="2"/>
  <c r="BK208" i="2"/>
  <c r="BK207" i="2"/>
  <c r="BK204" i="2"/>
  <c r="J203" i="2"/>
  <c r="BK200" i="2"/>
  <c r="BK194" i="2"/>
  <c r="BK190" i="2"/>
  <c r="J182" i="2"/>
  <c r="J179" i="2"/>
  <c r="BK178" i="2"/>
  <c r="J172" i="2"/>
  <c r="BK169" i="2"/>
  <c r="J166" i="2"/>
  <c r="J160" i="2"/>
  <c r="J159" i="2"/>
  <c r="J155" i="2"/>
  <c r="J152" i="2"/>
  <c r="BK150" i="2"/>
  <c r="J149" i="2"/>
  <c r="BK147" i="2"/>
  <c r="J142" i="2"/>
  <c r="BK203" i="6"/>
  <c r="BK199" i="6"/>
  <c r="J197" i="6"/>
  <c r="J194" i="6"/>
  <c r="BK192" i="6"/>
  <c r="BK179" i="6"/>
  <c r="BK176" i="6"/>
  <c r="BK174" i="6"/>
  <c r="J171" i="6"/>
  <c r="J165" i="6"/>
  <c r="J163" i="6"/>
  <c r="BK150" i="6"/>
  <c r="BK147" i="6"/>
  <c r="J140" i="6"/>
  <c r="J134" i="6"/>
  <c r="J132" i="6"/>
  <c r="J129" i="6"/>
  <c r="BK124" i="6"/>
  <c r="J314" i="5"/>
  <c r="BK313" i="5"/>
  <c r="BK312" i="5"/>
  <c r="J311" i="5"/>
  <c r="BK308" i="5"/>
  <c r="BK302" i="5"/>
  <c r="J301" i="5"/>
  <c r="BK300" i="5"/>
  <c r="J293" i="5"/>
  <c r="J292" i="5"/>
  <c r="J291" i="5"/>
  <c r="J284" i="5"/>
  <c r="BK283" i="5"/>
  <c r="BK282" i="5"/>
  <c r="J278" i="5"/>
  <c r="BK277" i="5"/>
  <c r="J276" i="5"/>
  <c r="J275" i="5"/>
  <c r="J268" i="5"/>
  <c r="BK264" i="5"/>
  <c r="J263" i="5"/>
  <c r="J259" i="5"/>
  <c r="BK248" i="5"/>
  <c r="J247" i="5"/>
  <c r="J241" i="5"/>
  <c r="BK240" i="5"/>
  <c r="BK239" i="5"/>
  <c r="J234" i="5"/>
  <c r="J233" i="5"/>
  <c r="BK231" i="5"/>
  <c r="BK225" i="5"/>
  <c r="J216" i="5"/>
  <c r="BK215" i="5"/>
  <c r="BK208" i="5"/>
  <c r="BK202" i="5"/>
  <c r="BK197" i="5"/>
  <c r="J196" i="5"/>
  <c r="BK188" i="5"/>
  <c r="J186" i="5"/>
  <c r="J182" i="5"/>
  <c r="BK181" i="5"/>
  <c r="J180" i="5"/>
  <c r="J179" i="5"/>
  <c r="BK173" i="5"/>
  <c r="J165" i="5"/>
  <c r="BK164" i="5"/>
  <c r="BK161" i="5"/>
  <c r="J157" i="5"/>
  <c r="BK155" i="5"/>
  <c r="J154" i="5"/>
  <c r="BK146" i="5"/>
  <c r="J143" i="5"/>
  <c r="J154" i="4"/>
  <c r="BK152" i="4"/>
  <c r="J147" i="4"/>
  <c r="BK407" i="3"/>
  <c r="J406" i="3"/>
  <c r="J402" i="3"/>
  <c r="BK394" i="3"/>
  <c r="J393" i="3"/>
  <c r="BK392" i="3"/>
  <c r="J390" i="3"/>
  <c r="J389" i="3"/>
  <c r="BK385" i="3"/>
  <c r="BK384" i="3"/>
  <c r="J379" i="3"/>
  <c r="BK373" i="3"/>
  <c r="BK365" i="3"/>
  <c r="J364" i="3"/>
  <c r="BK358" i="3"/>
  <c r="J351" i="3"/>
  <c r="J350" i="3"/>
  <c r="J348" i="3"/>
  <c r="BK345" i="3"/>
  <c r="J341" i="3"/>
  <c r="BK337" i="3"/>
  <c r="BK333" i="3"/>
  <c r="J331" i="3"/>
  <c r="BK327" i="3"/>
  <c r="BK326" i="3"/>
  <c r="J325" i="3"/>
  <c r="BK313" i="3"/>
  <c r="BK312" i="3"/>
  <c r="BK303" i="3"/>
  <c r="BK299" i="3"/>
  <c r="BK297" i="3"/>
  <c r="J296" i="3"/>
  <c r="BK295" i="3"/>
  <c r="J291" i="3"/>
  <c r="J289" i="3"/>
  <c r="BK288" i="3"/>
  <c r="BK285" i="3"/>
  <c r="J281" i="3"/>
  <c r="BK277" i="3"/>
  <c r="J273" i="3"/>
  <c r="J267" i="3"/>
  <c r="BK266" i="3"/>
  <c r="BK265" i="3"/>
  <c r="BK264" i="3"/>
  <c r="J260" i="3"/>
  <c r="BK259" i="3"/>
  <c r="J258" i="3"/>
  <c r="J257" i="3"/>
  <c r="J245" i="3"/>
  <c r="J244" i="3"/>
  <c r="J243" i="3"/>
  <c r="J239" i="3"/>
  <c r="J237" i="3"/>
  <c r="J236" i="3"/>
  <c r="J235" i="3"/>
  <c r="J231" i="3"/>
  <c r="J227" i="3"/>
  <c r="BK221" i="3"/>
  <c r="BK217" i="3"/>
  <c r="J214" i="3"/>
  <c r="R600" i="4" l="1"/>
  <c r="P600" i="4"/>
  <c r="T600" i="4"/>
  <c r="BK600" i="4"/>
  <c r="J600" i="4" s="1"/>
  <c r="J120" i="4" s="1"/>
  <c r="BK146" i="3"/>
  <c r="J146" i="3" s="1"/>
  <c r="J97" i="3" s="1"/>
  <c r="R146" i="3"/>
  <c r="P160" i="3"/>
  <c r="BK175" i="3"/>
  <c r="J175" i="3" s="1"/>
  <c r="J100" i="3" s="1"/>
  <c r="R175" i="3"/>
  <c r="T183" i="3"/>
  <c r="BK201" i="3"/>
  <c r="J201" i="3" s="1"/>
  <c r="J103" i="3" s="1"/>
  <c r="T201" i="3"/>
  <c r="P206" i="3"/>
  <c r="P218" i="3"/>
  <c r="T232" i="3"/>
  <c r="R240" i="3"/>
  <c r="BK261" i="3"/>
  <c r="J261" i="3" s="1"/>
  <c r="J109" i="3" s="1"/>
  <c r="R261" i="3"/>
  <c r="P268" i="3"/>
  <c r="BK292" i="3"/>
  <c r="J292" i="3" s="1"/>
  <c r="J112" i="3" s="1"/>
  <c r="T292" i="3"/>
  <c r="BK307" i="3"/>
  <c r="J307" i="3" s="1"/>
  <c r="J114" i="3" s="1"/>
  <c r="T307" i="3"/>
  <c r="BK321" i="3"/>
  <c r="J321" i="3" s="1"/>
  <c r="J116" i="3" s="1"/>
  <c r="R321" i="3"/>
  <c r="T328" i="3"/>
  <c r="P342" i="3"/>
  <c r="BK360" i="3"/>
  <c r="J360" i="3" s="1"/>
  <c r="J120" i="3" s="1"/>
  <c r="BK368" i="3"/>
  <c r="J368" i="3" s="1"/>
  <c r="J121" i="3" s="1"/>
  <c r="R368" i="3"/>
  <c r="R376" i="3"/>
  <c r="T386" i="3"/>
  <c r="P397" i="3"/>
  <c r="BK255" i="4"/>
  <c r="J255" i="4" s="1"/>
  <c r="J102" i="4" s="1"/>
  <c r="R255" i="4"/>
  <c r="P274" i="4"/>
  <c r="T274" i="4"/>
  <c r="T290" i="4"/>
  <c r="R306" i="4"/>
  <c r="P323" i="4"/>
  <c r="BK339" i="4"/>
  <c r="J339" i="4" s="1"/>
  <c r="J107" i="4" s="1"/>
  <c r="R339" i="4"/>
  <c r="P355" i="4"/>
  <c r="BK371" i="4"/>
  <c r="J371" i="4" s="1"/>
  <c r="J109" i="4" s="1"/>
  <c r="T371" i="4"/>
  <c r="R387" i="4"/>
  <c r="P403" i="4"/>
  <c r="BK419" i="4"/>
  <c r="J419" i="4" s="1"/>
  <c r="J112" i="4" s="1"/>
  <c r="T419" i="4"/>
  <c r="R435" i="4"/>
  <c r="P459" i="4"/>
  <c r="BK485" i="4"/>
  <c r="J485" i="4" s="1"/>
  <c r="J115" i="4" s="1"/>
  <c r="T485" i="4"/>
  <c r="T509" i="4"/>
  <c r="R528" i="4"/>
  <c r="P549" i="4"/>
  <c r="BK575" i="4"/>
  <c r="J575" i="4" s="1"/>
  <c r="J119" i="4" s="1"/>
  <c r="T575" i="4"/>
  <c r="R626" i="4"/>
  <c r="R653" i="4"/>
  <c r="R139" i="5"/>
  <c r="P151" i="5"/>
  <c r="P158" i="5"/>
  <c r="P168" i="5"/>
  <c r="T177" i="5"/>
  <c r="BK192" i="5"/>
  <c r="J192" i="5" s="1"/>
  <c r="J103" i="5" s="1"/>
  <c r="R192" i="5"/>
  <c r="P204" i="5"/>
  <c r="BK219" i="5"/>
  <c r="J219" i="5" s="1"/>
  <c r="J106" i="5" s="1"/>
  <c r="R219" i="5"/>
  <c r="P228" i="5"/>
  <c r="P235" i="5"/>
  <c r="P244" i="5"/>
  <c r="P253" i="5"/>
  <c r="BK272" i="5"/>
  <c r="J272" i="5" s="1"/>
  <c r="J112" i="5" s="1"/>
  <c r="R272" i="5"/>
  <c r="P279" i="5"/>
  <c r="T288" i="5"/>
  <c r="P297" i="5"/>
  <c r="T304" i="5"/>
  <c r="P309" i="5"/>
  <c r="BK140" i="2"/>
  <c r="BK143" i="2"/>
  <c r="J143" i="2" s="1"/>
  <c r="J98" i="2" s="1"/>
  <c r="R143" i="2"/>
  <c r="P148" i="2"/>
  <c r="T148" i="2"/>
  <c r="R151" i="2"/>
  <c r="P154" i="2"/>
  <c r="BK158" i="2"/>
  <c r="J158" i="2" s="1"/>
  <c r="J102" i="2" s="1"/>
  <c r="T158" i="2"/>
  <c r="T161" i="2"/>
  <c r="R165" i="2"/>
  <c r="R171" i="2"/>
  <c r="P174" i="2"/>
  <c r="BK177" i="2"/>
  <c r="J177" i="2" s="1"/>
  <c r="J107" i="2" s="1"/>
  <c r="BK181" i="2"/>
  <c r="J181" i="2"/>
  <c r="J108" i="2" s="1"/>
  <c r="BK185" i="2"/>
  <c r="J185" i="2" s="1"/>
  <c r="J109" i="2" s="1"/>
  <c r="R185" i="2"/>
  <c r="BK189" i="2"/>
  <c r="J189" i="2" s="1"/>
  <c r="J110" i="2" s="1"/>
  <c r="BK199" i="2"/>
  <c r="J199" i="2" s="1"/>
  <c r="J113" i="2" s="1"/>
  <c r="R199" i="2"/>
  <c r="R202" i="2"/>
  <c r="R206" i="2"/>
  <c r="R211" i="2"/>
  <c r="P215" i="2"/>
  <c r="P218" i="2"/>
  <c r="T146" i="3"/>
  <c r="R160" i="3"/>
  <c r="T168" i="3"/>
  <c r="T175" i="3"/>
  <c r="R183" i="3"/>
  <c r="P193" i="3"/>
  <c r="R201" i="3"/>
  <c r="T206" i="3"/>
  <c r="R218" i="3"/>
  <c r="BK240" i="3"/>
  <c r="J240" i="3" s="1"/>
  <c r="J107" i="3" s="1"/>
  <c r="BK254" i="3"/>
  <c r="J254" i="3" s="1"/>
  <c r="J108" i="3" s="1"/>
  <c r="T254" i="3"/>
  <c r="T261" i="3"/>
  <c r="T268" i="3"/>
  <c r="T282" i="3"/>
  <c r="BK300" i="3"/>
  <c r="J300" i="3" s="1"/>
  <c r="J113" i="3" s="1"/>
  <c r="R300" i="3"/>
  <c r="BK314" i="3"/>
  <c r="J314" i="3" s="1"/>
  <c r="J115" i="3" s="1"/>
  <c r="P314" i="3"/>
  <c r="T321" i="3"/>
  <c r="P328" i="3"/>
  <c r="R342" i="3"/>
  <c r="P352" i="3"/>
  <c r="P360" i="3"/>
  <c r="T368" i="3"/>
  <c r="T376" i="3"/>
  <c r="R386" i="3"/>
  <c r="T397" i="3"/>
  <c r="T185" i="4"/>
  <c r="R203" i="4"/>
  <c r="T139" i="5"/>
  <c r="T151" i="5"/>
  <c r="R158" i="5"/>
  <c r="BK177" i="5"/>
  <c r="J177" i="5" s="1"/>
  <c r="J101" i="5" s="1"/>
  <c r="P177" i="5"/>
  <c r="P183" i="5"/>
  <c r="P192" i="5"/>
  <c r="R204" i="5"/>
  <c r="P210" i="5"/>
  <c r="P219" i="5"/>
  <c r="BK235" i="5"/>
  <c r="J235" i="5" s="1"/>
  <c r="J108" i="5" s="1"/>
  <c r="BK244" i="5"/>
  <c r="J244" i="5" s="1"/>
  <c r="J109" i="5" s="1"/>
  <c r="R244" i="5"/>
  <c r="T253" i="5"/>
  <c r="P266" i="5"/>
  <c r="BK279" i="5"/>
  <c r="J279" i="5" s="1"/>
  <c r="J113" i="5" s="1"/>
  <c r="T279" i="5"/>
  <c r="P288" i="5"/>
  <c r="T297" i="5"/>
  <c r="R304" i="5"/>
  <c r="T309" i="5"/>
  <c r="R122" i="6"/>
  <c r="R140" i="2"/>
  <c r="P143" i="2"/>
  <c r="BK148" i="2"/>
  <c r="J148" i="2" s="1"/>
  <c r="J99" i="2" s="1"/>
  <c r="R148" i="2"/>
  <c r="P151" i="2"/>
  <c r="BK154" i="2"/>
  <c r="J154" i="2" s="1"/>
  <c r="J101" i="2" s="1"/>
  <c r="R154" i="2"/>
  <c r="P158" i="2"/>
  <c r="BK161" i="2"/>
  <c r="J161" i="2" s="1"/>
  <c r="J103" i="2" s="1"/>
  <c r="R161" i="2"/>
  <c r="P165" i="2"/>
  <c r="BK171" i="2"/>
  <c r="J171" i="2" s="1"/>
  <c r="J105" i="2" s="1"/>
  <c r="T171" i="2"/>
  <c r="R174" i="2"/>
  <c r="R177" i="2"/>
  <c r="P181" i="2"/>
  <c r="T181" i="2"/>
  <c r="P185" i="2"/>
  <c r="P189" i="2"/>
  <c r="T189" i="2"/>
  <c r="P199" i="2"/>
  <c r="BK202" i="2"/>
  <c r="J202" i="2" s="1"/>
  <c r="J114" i="2" s="1"/>
  <c r="BK206" i="2"/>
  <c r="J206" i="2" s="1"/>
  <c r="J115" i="2" s="1"/>
  <c r="T206" i="2"/>
  <c r="P211" i="2"/>
  <c r="BK215" i="2"/>
  <c r="J215" i="2" s="1"/>
  <c r="J117" i="2" s="1"/>
  <c r="R215" i="2"/>
  <c r="BK218" i="2"/>
  <c r="J218" i="2" s="1"/>
  <c r="J118" i="2" s="1"/>
  <c r="T218" i="2"/>
  <c r="P146" i="3"/>
  <c r="BK168" i="3"/>
  <c r="J168" i="3" s="1"/>
  <c r="J99" i="3" s="1"/>
  <c r="R168" i="3"/>
  <c r="P175" i="3"/>
  <c r="P183" i="3"/>
  <c r="R193" i="3"/>
  <c r="BK206" i="3"/>
  <c r="J206" i="3" s="1"/>
  <c r="J104" i="3" s="1"/>
  <c r="R206" i="3"/>
  <c r="T218" i="3"/>
  <c r="R232" i="3"/>
  <c r="T240" i="3"/>
  <c r="R254" i="3"/>
  <c r="BK268" i="3"/>
  <c r="J268" i="3" s="1"/>
  <c r="J110" i="3" s="1"/>
  <c r="BK282" i="3"/>
  <c r="J282" i="3" s="1"/>
  <c r="J111" i="3" s="1"/>
  <c r="P282" i="3"/>
  <c r="R292" i="3"/>
  <c r="P300" i="3"/>
  <c r="P307" i="3"/>
  <c r="T314" i="3"/>
  <c r="P321" i="3"/>
  <c r="R328" i="3"/>
  <c r="T342" i="3"/>
  <c r="R352" i="3"/>
  <c r="T360" i="3"/>
  <c r="BK376" i="3"/>
  <c r="J376" i="3" s="1"/>
  <c r="J122" i="3" s="1"/>
  <c r="BK386" i="3"/>
  <c r="J386" i="3" s="1"/>
  <c r="J123" i="3" s="1"/>
  <c r="BK397" i="3"/>
  <c r="J397" i="3" s="1"/>
  <c r="J124" i="3" s="1"/>
  <c r="R144" i="4"/>
  <c r="T144" i="4"/>
  <c r="P162" i="4"/>
  <c r="T162" i="4"/>
  <c r="R185" i="4"/>
  <c r="P203" i="4"/>
  <c r="BK228" i="4"/>
  <c r="J228" i="4" s="1"/>
  <c r="J101" i="4" s="1"/>
  <c r="R228" i="4"/>
  <c r="P255" i="4"/>
  <c r="BK274" i="4"/>
  <c r="J274" i="4" s="1"/>
  <c r="J103" i="4" s="1"/>
  <c r="BK290" i="4"/>
  <c r="J290" i="4" s="1"/>
  <c r="J104" i="4" s="1"/>
  <c r="R290" i="4"/>
  <c r="P306" i="4"/>
  <c r="BK323" i="4"/>
  <c r="J323" i="4" s="1"/>
  <c r="J106" i="4" s="1"/>
  <c r="T323" i="4"/>
  <c r="P339" i="4"/>
  <c r="BK355" i="4"/>
  <c r="J355" i="4" s="1"/>
  <c r="J108" i="4" s="1"/>
  <c r="T355" i="4"/>
  <c r="R371" i="4"/>
  <c r="P387" i="4"/>
  <c r="BK403" i="4"/>
  <c r="J403" i="4" s="1"/>
  <c r="J111" i="4" s="1"/>
  <c r="R403" i="4"/>
  <c r="P419" i="4"/>
  <c r="BK435" i="4"/>
  <c r="J435" i="4" s="1"/>
  <c r="J113" i="4" s="1"/>
  <c r="T435" i="4"/>
  <c r="R459" i="4"/>
  <c r="P485" i="4"/>
  <c r="BK509" i="4"/>
  <c r="J509" i="4" s="1"/>
  <c r="J116" i="4" s="1"/>
  <c r="R509" i="4"/>
  <c r="P528" i="4"/>
  <c r="BK549" i="4"/>
  <c r="J549" i="4" s="1"/>
  <c r="J118" i="4" s="1"/>
  <c r="R549" i="4"/>
  <c r="P575" i="4"/>
  <c r="P626" i="4"/>
  <c r="BK653" i="4"/>
  <c r="J653" i="4" s="1"/>
  <c r="J122" i="4" s="1"/>
  <c r="P653" i="4"/>
  <c r="BK139" i="5"/>
  <c r="J139" i="5" s="1"/>
  <c r="J97" i="5" s="1"/>
  <c r="P139" i="5"/>
  <c r="BK158" i="5"/>
  <c r="J158" i="5" s="1"/>
  <c r="J99" i="5" s="1"/>
  <c r="T158" i="5"/>
  <c r="R168" i="5"/>
  <c r="BK183" i="5"/>
  <c r="J183" i="5" s="1"/>
  <c r="J102" i="5" s="1"/>
  <c r="R183" i="5"/>
  <c r="BK204" i="5"/>
  <c r="J204" i="5" s="1"/>
  <c r="J104" i="5" s="1"/>
  <c r="BK210" i="5"/>
  <c r="J210" i="5" s="1"/>
  <c r="J105" i="5" s="1"/>
  <c r="R210" i="5"/>
  <c r="T219" i="5"/>
  <c r="T228" i="5"/>
  <c r="R235" i="5"/>
  <c r="BK253" i="5"/>
  <c r="J253" i="5" s="1"/>
  <c r="J110" i="5" s="1"/>
  <c r="BK266" i="5"/>
  <c r="J266" i="5" s="1"/>
  <c r="J111" i="5" s="1"/>
  <c r="T266" i="5"/>
  <c r="T272" i="5"/>
  <c r="BK288" i="5"/>
  <c r="J288" i="5" s="1"/>
  <c r="J114" i="5" s="1"/>
  <c r="R288" i="5"/>
  <c r="BK304" i="5"/>
  <c r="J304" i="5" s="1"/>
  <c r="J116" i="5" s="1"/>
  <c r="P304" i="5"/>
  <c r="R309" i="5"/>
  <c r="P122" i="6"/>
  <c r="BK142" i="6"/>
  <c r="J142" i="6" s="1"/>
  <c r="J98" i="6" s="1"/>
  <c r="R142" i="6"/>
  <c r="BK168" i="6"/>
  <c r="J168" i="6" s="1"/>
  <c r="J99" i="6" s="1"/>
  <c r="R168" i="6"/>
  <c r="BK187" i="6"/>
  <c r="J187" i="6" s="1"/>
  <c r="J100" i="6" s="1"/>
  <c r="R187" i="6"/>
  <c r="R121" i="7"/>
  <c r="R120" i="7" s="1"/>
  <c r="R119" i="7" s="1"/>
  <c r="P140" i="2"/>
  <c r="T140" i="2"/>
  <c r="T143" i="2"/>
  <c r="BK151" i="2"/>
  <c r="J151" i="2" s="1"/>
  <c r="J100" i="2" s="1"/>
  <c r="T151" i="2"/>
  <c r="T154" i="2"/>
  <c r="R158" i="2"/>
  <c r="P161" i="2"/>
  <c r="BK165" i="2"/>
  <c r="J165" i="2" s="1"/>
  <c r="J104" i="2" s="1"/>
  <c r="T165" i="2"/>
  <c r="P171" i="2"/>
  <c r="BK174" i="2"/>
  <c r="J174" i="2" s="1"/>
  <c r="J106" i="2" s="1"/>
  <c r="T174" i="2"/>
  <c r="P177" i="2"/>
  <c r="T177" i="2"/>
  <c r="R181" i="2"/>
  <c r="T185" i="2"/>
  <c r="R189" i="2"/>
  <c r="T199" i="2"/>
  <c r="P202" i="2"/>
  <c r="T202" i="2"/>
  <c r="P206" i="2"/>
  <c r="BK211" i="2"/>
  <c r="J211" i="2"/>
  <c r="J116" i="2" s="1"/>
  <c r="T211" i="2"/>
  <c r="T215" i="2"/>
  <c r="R218" i="2"/>
  <c r="BK160" i="3"/>
  <c r="J160" i="3" s="1"/>
  <c r="J98" i="3" s="1"/>
  <c r="T160" i="3"/>
  <c r="P168" i="3"/>
  <c r="BK183" i="3"/>
  <c r="J183" i="3" s="1"/>
  <c r="J101" i="3" s="1"/>
  <c r="BK193" i="3"/>
  <c r="J193" i="3" s="1"/>
  <c r="J102" i="3" s="1"/>
  <c r="T193" i="3"/>
  <c r="P201" i="3"/>
  <c r="BK218" i="3"/>
  <c r="J218" i="3" s="1"/>
  <c r="J105" i="3" s="1"/>
  <c r="BK232" i="3"/>
  <c r="J232" i="3" s="1"/>
  <c r="J106" i="3" s="1"/>
  <c r="P232" i="3"/>
  <c r="P240" i="3"/>
  <c r="P254" i="3"/>
  <c r="P261" i="3"/>
  <c r="R268" i="3"/>
  <c r="R282" i="3"/>
  <c r="P292" i="3"/>
  <c r="T300" i="3"/>
  <c r="R307" i="3"/>
  <c r="R314" i="3"/>
  <c r="BK328" i="3"/>
  <c r="J328" i="3" s="1"/>
  <c r="J117" i="3" s="1"/>
  <c r="BK342" i="3"/>
  <c r="J342" i="3" s="1"/>
  <c r="J118" i="3" s="1"/>
  <c r="BK352" i="3"/>
  <c r="J352" i="3" s="1"/>
  <c r="J119" i="3" s="1"/>
  <c r="T352" i="3"/>
  <c r="R360" i="3"/>
  <c r="P368" i="3"/>
  <c r="P376" i="3"/>
  <c r="P386" i="3"/>
  <c r="R397" i="3"/>
  <c r="BK144" i="4"/>
  <c r="J144" i="4" s="1"/>
  <c r="J97" i="4" s="1"/>
  <c r="P144" i="4"/>
  <c r="BK162" i="4"/>
  <c r="J162" i="4" s="1"/>
  <c r="J98" i="4" s="1"/>
  <c r="R162" i="4"/>
  <c r="BK185" i="4"/>
  <c r="J185" i="4" s="1"/>
  <c r="J99" i="4" s="1"/>
  <c r="P185" i="4"/>
  <c r="BK203" i="4"/>
  <c r="J203" i="4" s="1"/>
  <c r="J100" i="4" s="1"/>
  <c r="T203" i="4"/>
  <c r="P228" i="4"/>
  <c r="T228" i="4"/>
  <c r="T255" i="4"/>
  <c r="R274" i="4"/>
  <c r="P290" i="4"/>
  <c r="BK306" i="4"/>
  <c r="J306" i="4" s="1"/>
  <c r="J105" i="4" s="1"/>
  <c r="T306" i="4"/>
  <c r="R323" i="4"/>
  <c r="T339" i="4"/>
  <c r="R355" i="4"/>
  <c r="P371" i="4"/>
  <c r="BK387" i="4"/>
  <c r="J387" i="4" s="1"/>
  <c r="J110" i="4" s="1"/>
  <c r="T387" i="4"/>
  <c r="T403" i="4"/>
  <c r="R419" i="4"/>
  <c r="P435" i="4"/>
  <c r="BK459" i="4"/>
  <c r="J459" i="4" s="1"/>
  <c r="J114" i="4" s="1"/>
  <c r="T459" i="4"/>
  <c r="R485" i="4"/>
  <c r="P509" i="4"/>
  <c r="BK528" i="4"/>
  <c r="J528" i="4" s="1"/>
  <c r="J117" i="4" s="1"/>
  <c r="T528" i="4"/>
  <c r="T549" i="4"/>
  <c r="R575" i="4"/>
  <c r="BK626" i="4"/>
  <c r="J626" i="4" s="1"/>
  <c r="J121" i="4" s="1"/>
  <c r="T626" i="4"/>
  <c r="T653" i="4"/>
  <c r="BK151" i="5"/>
  <c r="J151" i="5" s="1"/>
  <c r="J98" i="5" s="1"/>
  <c r="R151" i="5"/>
  <c r="BK168" i="5"/>
  <c r="J168" i="5" s="1"/>
  <c r="J100" i="5" s="1"/>
  <c r="T168" i="5"/>
  <c r="R177" i="5"/>
  <c r="T183" i="5"/>
  <c r="T192" i="5"/>
  <c r="T204" i="5"/>
  <c r="T210" i="5"/>
  <c r="BK228" i="5"/>
  <c r="J228" i="5" s="1"/>
  <c r="J107" i="5" s="1"/>
  <c r="R228" i="5"/>
  <c r="T235" i="5"/>
  <c r="T244" i="5"/>
  <c r="R253" i="5"/>
  <c r="R266" i="5"/>
  <c r="P272" i="5"/>
  <c r="R279" i="5"/>
  <c r="BK297" i="5"/>
  <c r="J297" i="5" s="1"/>
  <c r="J115" i="5" s="1"/>
  <c r="R297" i="5"/>
  <c r="BK309" i="5"/>
  <c r="J309" i="5" s="1"/>
  <c r="J117" i="5" s="1"/>
  <c r="BK122" i="6"/>
  <c r="J122" i="6" s="1"/>
  <c r="J97" i="6" s="1"/>
  <c r="T122" i="6"/>
  <c r="P142" i="6"/>
  <c r="T142" i="6"/>
  <c r="P168" i="6"/>
  <c r="T168" i="6"/>
  <c r="P187" i="6"/>
  <c r="T187" i="6"/>
  <c r="BK121" i="7"/>
  <c r="J121" i="7" s="1"/>
  <c r="J98" i="7" s="1"/>
  <c r="P121" i="7"/>
  <c r="P120" i="7" s="1"/>
  <c r="P119" i="7" s="1"/>
  <c r="AU100" i="1" s="1"/>
  <c r="T121" i="7"/>
  <c r="T120" i="7" s="1"/>
  <c r="T119" i="7" s="1"/>
  <c r="BE211" i="3"/>
  <c r="BE212" i="3"/>
  <c r="BE223" i="3"/>
  <c r="BE228" i="3"/>
  <c r="BE246" i="3"/>
  <c r="BE250" i="3"/>
  <c r="BE253" i="3"/>
  <c r="BE260" i="3"/>
  <c r="BE273" i="3"/>
  <c r="BE286" i="3"/>
  <c r="BE305" i="3"/>
  <c r="BE306" i="3"/>
  <c r="BE310" i="3"/>
  <c r="BE319" i="3"/>
  <c r="BE320" i="3"/>
  <c r="BE346" i="3"/>
  <c r="BE351" i="3"/>
  <c r="BE355" i="3"/>
  <c r="BE356" i="3"/>
  <c r="BE359" i="3"/>
  <c r="BE361" i="3"/>
  <c r="BE363" i="3"/>
  <c r="BE366" i="3"/>
  <c r="BE367" i="3"/>
  <c r="BE371" i="3"/>
  <c r="BE374" i="3"/>
  <c r="BE381" i="3"/>
  <c r="BE382" i="3"/>
  <c r="BE395" i="3"/>
  <c r="BE403" i="3"/>
  <c r="BE410" i="3"/>
  <c r="F91" i="4"/>
  <c r="F92" i="4"/>
  <c r="BE150" i="4"/>
  <c r="J91" i="5"/>
  <c r="E127" i="5"/>
  <c r="F133" i="5"/>
  <c r="J134" i="5"/>
  <c r="BE146" i="5"/>
  <c r="BE150" i="5"/>
  <c r="BE153" i="5"/>
  <c r="BE162" i="5"/>
  <c r="BE163" i="5"/>
  <c r="BE165" i="5"/>
  <c r="BE171" i="5"/>
  <c r="BE174" i="5"/>
  <c r="BE181" i="5"/>
  <c r="BE196" i="5"/>
  <c r="BE206" i="5"/>
  <c r="BE213" i="5"/>
  <c r="BE223" i="5"/>
  <c r="BE225" i="5"/>
  <c r="BE232" i="5"/>
  <c r="BE249" i="5"/>
  <c r="BE257" i="5"/>
  <c r="BE265" i="5"/>
  <c r="BE270" i="5"/>
  <c r="BE271" i="5"/>
  <c r="BE284" i="5"/>
  <c r="BE296" i="5"/>
  <c r="BE308" i="5"/>
  <c r="BE312" i="5"/>
  <c r="BE313" i="5"/>
  <c r="J89" i="6"/>
  <c r="F92" i="6"/>
  <c r="F116" i="6"/>
  <c r="BE138" i="6"/>
  <c r="BE140" i="6"/>
  <c r="BE157" i="6"/>
  <c r="BE159" i="6"/>
  <c r="BE161" i="6"/>
  <c r="BE181" i="6"/>
  <c r="BE183" i="6"/>
  <c r="BE189" i="6"/>
  <c r="BE122" i="7"/>
  <c r="J89" i="2"/>
  <c r="J91" i="2"/>
  <c r="J92" i="2"/>
  <c r="BE144" i="2"/>
  <c r="BE145" i="2"/>
  <c r="BE167" i="2"/>
  <c r="BE175" i="2"/>
  <c r="BE180" i="2"/>
  <c r="BE184" i="2"/>
  <c r="BE186" i="2"/>
  <c r="BE187" i="2"/>
  <c r="BK193" i="2"/>
  <c r="J193" i="2" s="1"/>
  <c r="J111" i="2" s="1"/>
  <c r="J91" i="3"/>
  <c r="E134" i="3"/>
  <c r="J138" i="3"/>
  <c r="J141" i="3"/>
  <c r="BE149" i="3"/>
  <c r="BE150" i="3"/>
  <c r="BE165" i="3"/>
  <c r="BE176" i="3"/>
  <c r="BE177" i="3"/>
  <c r="BE187" i="3"/>
  <c r="BE188" i="3"/>
  <c r="BE192" i="3"/>
  <c r="BE197" i="3"/>
  <c r="BE198" i="3"/>
  <c r="BE203" i="3"/>
  <c r="BE222" i="3"/>
  <c r="BE237" i="3"/>
  <c r="BE238" i="3"/>
  <c r="BE249" i="3"/>
  <c r="BE257" i="3"/>
  <c r="BE258" i="3"/>
  <c r="BE259" i="3"/>
  <c r="BE264" i="3"/>
  <c r="BE266" i="3"/>
  <c r="BE278" i="3"/>
  <c r="BE288" i="3"/>
  <c r="BE289" i="3"/>
  <c r="BE290" i="3"/>
  <c r="BE291" i="3"/>
  <c r="BE295" i="3"/>
  <c r="BE299" i="3"/>
  <c r="BE303" i="3"/>
  <c r="BE324" i="3"/>
  <c r="BE332" i="3"/>
  <c r="BE337" i="3"/>
  <c r="BE345" i="3"/>
  <c r="BE349" i="3"/>
  <c r="BE357" i="3"/>
  <c r="BE362" i="3"/>
  <c r="BE372" i="3"/>
  <c r="BE391" i="3"/>
  <c r="BE396" i="3"/>
  <c r="BE402" i="3"/>
  <c r="E85" i="4"/>
  <c r="J89" i="4"/>
  <c r="J91" i="4"/>
  <c r="BE155" i="4"/>
  <c r="BE165" i="4"/>
  <c r="BE173" i="4"/>
  <c r="BE177" i="4"/>
  <c r="BE188" i="4"/>
  <c r="BE191" i="4"/>
  <c r="BE193" i="4"/>
  <c r="BE206" i="4"/>
  <c r="BE213" i="4"/>
  <c r="BE218" i="4"/>
  <c r="BE221" i="4"/>
  <c r="BE225" i="4"/>
  <c r="BE234" i="4"/>
  <c r="BE236" i="4"/>
  <c r="BE240" i="4"/>
  <c r="BE245" i="4"/>
  <c r="BE246" i="4"/>
  <c r="BE249" i="4"/>
  <c r="BE251" i="4"/>
  <c r="BE258" i="4"/>
  <c r="BE261" i="4"/>
  <c r="BE263" i="4"/>
  <c r="BE265" i="4"/>
  <c r="BE266" i="4"/>
  <c r="BE269" i="4"/>
  <c r="BE277" i="4"/>
  <c r="BE282" i="4"/>
  <c r="BE283" i="4"/>
  <c r="BE284" i="4"/>
  <c r="BE287" i="4"/>
  <c r="BE294" i="4"/>
  <c r="BE299" i="4"/>
  <c r="BE303" i="4"/>
  <c r="BE304" i="4"/>
  <c r="BE319" i="4"/>
  <c r="BE320" i="4"/>
  <c r="BE321" i="4"/>
  <c r="BE327" i="4"/>
  <c r="BE336" i="4"/>
  <c r="BE364" i="4"/>
  <c r="BE365" i="4"/>
  <c r="BE369" i="4"/>
  <c r="BE375" i="4"/>
  <c r="BE379" i="4"/>
  <c r="BE380" i="4"/>
  <c r="BE381" i="4"/>
  <c r="BE383" i="4"/>
  <c r="BE384" i="4"/>
  <c r="BE391" i="4"/>
  <c r="BE393" i="4"/>
  <c r="BE397" i="4"/>
  <c r="BE400" i="4"/>
  <c r="BE401" i="4"/>
  <c r="BE406" i="4"/>
  <c r="BE411" i="4"/>
  <c r="BE422" i="4"/>
  <c r="BE428" i="4"/>
  <c r="BE431" i="4"/>
  <c r="BE432" i="4"/>
  <c r="BE433" i="4"/>
  <c r="BE439" i="4"/>
  <c r="BE443" i="4"/>
  <c r="BE446" i="4"/>
  <c r="BE450" i="4"/>
  <c r="BE454" i="4"/>
  <c r="BE462" i="4"/>
  <c r="BE465" i="4"/>
  <c r="BE467" i="4"/>
  <c r="BE472" i="4"/>
  <c r="BE475" i="4"/>
  <c r="BE487" i="4"/>
  <c r="BE488" i="4"/>
  <c r="BE490" i="4"/>
  <c r="BE499" i="4"/>
  <c r="BE502" i="4"/>
  <c r="BE506" i="4"/>
  <c r="BE512" i="4"/>
  <c r="BE520" i="4"/>
  <c r="BE523" i="4"/>
  <c r="BE534" i="4"/>
  <c r="BE536" i="4"/>
  <c r="BE537" i="4"/>
  <c r="BE543" i="4"/>
  <c r="BE552" i="4"/>
  <c r="BE558" i="4"/>
  <c r="BE562" i="4"/>
  <c r="BE570" i="4"/>
  <c r="BE591" i="4"/>
  <c r="BE594" i="4"/>
  <c r="BE596" i="4"/>
  <c r="BE608" i="4"/>
  <c r="BE610" i="4"/>
  <c r="BE611" i="4"/>
  <c r="BE621" i="4"/>
  <c r="BE623" i="4"/>
  <c r="BE634" i="4"/>
  <c r="BE638" i="4"/>
  <c r="BE641" i="4"/>
  <c r="BE656" i="4"/>
  <c r="BE658" i="4"/>
  <c r="BE660" i="4"/>
  <c r="BE664" i="4"/>
  <c r="BE666" i="4"/>
  <c r="BE667" i="4"/>
  <c r="BE186" i="5"/>
  <c r="BE187" i="5"/>
  <c r="BE199" i="5"/>
  <c r="BE202" i="5"/>
  <c r="BE203" i="5"/>
  <c r="BE208" i="5"/>
  <c r="BE215" i="5"/>
  <c r="BE216" i="5"/>
  <c r="BE224" i="5"/>
  <c r="BE239" i="5"/>
  <c r="BE240" i="5"/>
  <c r="BE256" i="5"/>
  <c r="BE269" i="5"/>
  <c r="BE278" i="5"/>
  <c r="BE283" i="5"/>
  <c r="BE292" i="5"/>
  <c r="BE300" i="5"/>
  <c r="J117" i="6"/>
  <c r="BE124" i="6"/>
  <c r="BE125" i="6"/>
  <c r="BE127" i="6"/>
  <c r="BE129" i="6"/>
  <c r="BE132" i="6"/>
  <c r="BE136" i="6"/>
  <c r="BE145" i="6"/>
  <c r="BE152" i="6"/>
  <c r="BE176" i="6"/>
  <c r="BE192" i="6"/>
  <c r="BE194" i="6"/>
  <c r="F92" i="2"/>
  <c r="E128" i="2"/>
  <c r="BE141" i="2"/>
  <c r="BE147" i="2"/>
  <c r="BE149" i="2"/>
  <c r="BE153" i="2"/>
  <c r="BE155" i="2"/>
  <c r="BE156" i="2"/>
  <c r="BE160" i="2"/>
  <c r="BE168" i="2"/>
  <c r="BE172" i="2"/>
  <c r="BE173" i="2"/>
  <c r="BE178" i="2"/>
  <c r="BE182" i="2"/>
  <c r="BE197" i="2"/>
  <c r="BE200" i="2"/>
  <c r="BE201" i="2"/>
  <c r="BE207" i="2"/>
  <c r="BE208" i="2"/>
  <c r="BE216" i="2"/>
  <c r="BE217" i="2"/>
  <c r="BE219" i="2"/>
  <c r="BE220" i="2"/>
  <c r="F91" i="3"/>
  <c r="BE152" i="3"/>
  <c r="BE155" i="3"/>
  <c r="BE159" i="3"/>
  <c r="BE162" i="3"/>
  <c r="BE172" i="3"/>
  <c r="BE178" i="3"/>
  <c r="BE185" i="3"/>
  <c r="BE195" i="3"/>
  <c r="BE196" i="3"/>
  <c r="BE199" i="3"/>
  <c r="BE204" i="3"/>
  <c r="BE208" i="3"/>
  <c r="BE209" i="3"/>
  <c r="BE213" i="3"/>
  <c r="BE221" i="3"/>
  <c r="BE227" i="3"/>
  <c r="BE231" i="3"/>
  <c r="BE235" i="3"/>
  <c r="BE236" i="3"/>
  <c r="BE239" i="3"/>
  <c r="BE243" i="3"/>
  <c r="BE244" i="3"/>
  <c r="BE272" i="3"/>
  <c r="BE277" i="3"/>
  <c r="BE281" i="3"/>
  <c r="BE285" i="3"/>
  <c r="BE296" i="3"/>
  <c r="BE297" i="3"/>
  <c r="BE298" i="3"/>
  <c r="BE304" i="3"/>
  <c r="BE311" i="3"/>
  <c r="BE313" i="3"/>
  <c r="BE318" i="3"/>
  <c r="BE326" i="3"/>
  <c r="BE334" i="3"/>
  <c r="BE338" i="3"/>
  <c r="BE341" i="3"/>
  <c r="BE347" i="3"/>
  <c r="BE348" i="3"/>
  <c r="BE350" i="3"/>
  <c r="BE380" i="3"/>
  <c r="BE384" i="3"/>
  <c r="BE389" i="3"/>
  <c r="BE392" i="3"/>
  <c r="BE393" i="3"/>
  <c r="BE400" i="3"/>
  <c r="BE401" i="3"/>
  <c r="BE407" i="3"/>
  <c r="BE156" i="4"/>
  <c r="BE159" i="4"/>
  <c r="BE168" i="4"/>
  <c r="BE170" i="4"/>
  <c r="BE172" i="4"/>
  <c r="BE198" i="4"/>
  <c r="BE200" i="4"/>
  <c r="BE202" i="4"/>
  <c r="BE209" i="4"/>
  <c r="BE220" i="4"/>
  <c r="BE238" i="4"/>
  <c r="BE241" i="4"/>
  <c r="BE243" i="4"/>
  <c r="BE296" i="4"/>
  <c r="BE298" i="4"/>
  <c r="BE300" i="4"/>
  <c r="BE302" i="4"/>
  <c r="BE318" i="4"/>
  <c r="BE326" i="4"/>
  <c r="BE331" i="4"/>
  <c r="BE332" i="4"/>
  <c r="BE337" i="4"/>
  <c r="BE343" i="4"/>
  <c r="BE345" i="4"/>
  <c r="BE348" i="4"/>
  <c r="BE349" i="4"/>
  <c r="BE351" i="4"/>
  <c r="BE352" i="4"/>
  <c r="BE353" i="4"/>
  <c r="BE361" i="4"/>
  <c r="BE363" i="4"/>
  <c r="BE374" i="4"/>
  <c r="BE385" i="4"/>
  <c r="BE395" i="4"/>
  <c r="BE396" i="4"/>
  <c r="BE412" i="4"/>
  <c r="BE417" i="4"/>
  <c r="BE425" i="4"/>
  <c r="BE438" i="4"/>
  <c r="BE447" i="4"/>
  <c r="BE469" i="4"/>
  <c r="BE471" i="4"/>
  <c r="BE473" i="4"/>
  <c r="BE477" i="4"/>
  <c r="BE478" i="4"/>
  <c r="BE492" i="4"/>
  <c r="BE498" i="4"/>
  <c r="BE517" i="4"/>
  <c r="BE541" i="4"/>
  <c r="BE546" i="4"/>
  <c r="BE555" i="4"/>
  <c r="BE564" i="4"/>
  <c r="BE568" i="4"/>
  <c r="BE578" i="4"/>
  <c r="BE581" i="4"/>
  <c r="BE583" i="4"/>
  <c r="BE584" i="4"/>
  <c r="BE588" i="4"/>
  <c r="BE590" i="4"/>
  <c r="BE592" i="4"/>
  <c r="BE603" i="4"/>
  <c r="BE617" i="4"/>
  <c r="BE619" i="4"/>
  <c r="BE629" i="4"/>
  <c r="BE648" i="4"/>
  <c r="BE662" i="4"/>
  <c r="BE663" i="4"/>
  <c r="BE668" i="4"/>
  <c r="BE670" i="4"/>
  <c r="J89" i="5"/>
  <c r="F92" i="5"/>
  <c r="BE142" i="5"/>
  <c r="BE143" i="5"/>
  <c r="BE144" i="5"/>
  <c r="BE145" i="5"/>
  <c r="BE154" i="5"/>
  <c r="BE156" i="5"/>
  <c r="BE157" i="5"/>
  <c r="BE161" i="5"/>
  <c r="BE172" i="5"/>
  <c r="BE173" i="5"/>
  <c r="BE180" i="5"/>
  <c r="BE182" i="5"/>
  <c r="BE191" i="5"/>
  <c r="BE195" i="5"/>
  <c r="BE209" i="5"/>
  <c r="BE214" i="5"/>
  <c r="BE222" i="5"/>
  <c r="BE231" i="5"/>
  <c r="BE238" i="5"/>
  <c r="BE258" i="5"/>
  <c r="BE275" i="5"/>
  <c r="BE276" i="5"/>
  <c r="BE287" i="5"/>
  <c r="BE291" i="5"/>
  <c r="BE302" i="5"/>
  <c r="BE303" i="5"/>
  <c r="BE307" i="5"/>
  <c r="BE311" i="5"/>
  <c r="BE314" i="5"/>
  <c r="J91" i="6"/>
  <c r="E110" i="6"/>
  <c r="BE148" i="6"/>
  <c r="BE150" i="6"/>
  <c r="BE165" i="6"/>
  <c r="BE171" i="6"/>
  <c r="BE172" i="6"/>
  <c r="BE174" i="6"/>
  <c r="BE199" i="6"/>
  <c r="BE203" i="6"/>
  <c r="E85" i="7"/>
  <c r="F91" i="7"/>
  <c r="F92" i="7"/>
  <c r="J112" i="7"/>
  <c r="J114" i="7"/>
  <c r="J115" i="7"/>
  <c r="BB100" i="1"/>
  <c r="F91" i="2"/>
  <c r="BE142" i="2"/>
  <c r="BE150" i="2"/>
  <c r="BE152" i="2"/>
  <c r="BE157" i="2"/>
  <c r="BE159" i="2"/>
  <c r="BE162" i="2"/>
  <c r="BE163" i="2"/>
  <c r="BE166" i="2"/>
  <c r="BE169" i="2"/>
  <c r="BE176" i="2"/>
  <c r="BE179" i="2"/>
  <c r="BE183" i="2"/>
  <c r="BE190" i="2"/>
  <c r="BE191" i="2"/>
  <c r="BE194" i="2"/>
  <c r="BE203" i="2"/>
  <c r="BE204" i="2"/>
  <c r="BE210" i="2"/>
  <c r="BE212" i="2"/>
  <c r="BE213" i="2"/>
  <c r="BK196" i="2"/>
  <c r="J196" i="2" s="1"/>
  <c r="J112" i="2" s="1"/>
  <c r="F92" i="3"/>
  <c r="BE151" i="3"/>
  <c r="BE156" i="3"/>
  <c r="BE163" i="3"/>
  <c r="BE164" i="3"/>
  <c r="BE166" i="3"/>
  <c r="BE167" i="3"/>
  <c r="BE171" i="3"/>
  <c r="BE173" i="3"/>
  <c r="BE174" i="3"/>
  <c r="BE182" i="3"/>
  <c r="BE184" i="3"/>
  <c r="BE186" i="3"/>
  <c r="BE200" i="3"/>
  <c r="BE205" i="3"/>
  <c r="BE214" i="3"/>
  <c r="BE217" i="3"/>
  <c r="BE224" i="3"/>
  <c r="BE245" i="3"/>
  <c r="BE265" i="3"/>
  <c r="BE267" i="3"/>
  <c r="BE271" i="3"/>
  <c r="BE274" i="3"/>
  <c r="BE287" i="3"/>
  <c r="BE312" i="3"/>
  <c r="BE317" i="3"/>
  <c r="BE325" i="3"/>
  <c r="BE327" i="3"/>
  <c r="BE331" i="3"/>
  <c r="BE333" i="3"/>
  <c r="BE358" i="3"/>
  <c r="BE364" i="3"/>
  <c r="BE365" i="3"/>
  <c r="BE373" i="3"/>
  <c r="BE375" i="3"/>
  <c r="BE379" i="3"/>
  <c r="BE383" i="3"/>
  <c r="BE385" i="3"/>
  <c r="BE390" i="3"/>
  <c r="BE394" i="3"/>
  <c r="BE406" i="3"/>
  <c r="J92" i="4"/>
  <c r="BE147" i="4"/>
  <c r="BE152" i="4"/>
  <c r="BE154" i="4"/>
  <c r="BE158" i="4"/>
  <c r="BE171" i="4"/>
  <c r="BE175" i="4"/>
  <c r="BE179" i="4"/>
  <c r="BE180" i="4"/>
  <c r="BE182" i="4"/>
  <c r="BE194" i="4"/>
  <c r="BE195" i="4"/>
  <c r="BE197" i="4"/>
  <c r="BE211" i="4"/>
  <c r="BE212" i="4"/>
  <c r="BE214" i="4"/>
  <c r="BE216" i="4"/>
  <c r="BE223" i="4"/>
  <c r="BE231" i="4"/>
  <c r="BE239" i="4"/>
  <c r="BE253" i="4"/>
  <c r="BE267" i="4"/>
  <c r="BE270" i="4"/>
  <c r="BE272" i="4"/>
  <c r="BE278" i="4"/>
  <c r="BE280" i="4"/>
  <c r="BE286" i="4"/>
  <c r="BE288" i="4"/>
  <c r="BE293" i="4"/>
  <c r="BE309" i="4"/>
  <c r="BE310" i="4"/>
  <c r="BE312" i="4"/>
  <c r="BE314" i="4"/>
  <c r="BE315" i="4"/>
  <c r="BE316" i="4"/>
  <c r="BE329" i="4"/>
  <c r="BE333" i="4"/>
  <c r="BE335" i="4"/>
  <c r="BE342" i="4"/>
  <c r="BE347" i="4"/>
  <c r="BE358" i="4"/>
  <c r="BE359" i="4"/>
  <c r="BE367" i="4"/>
  <c r="BE368" i="4"/>
  <c r="BE377" i="4"/>
  <c r="BE390" i="4"/>
  <c r="BE399" i="4"/>
  <c r="BE407" i="4"/>
  <c r="BE409" i="4"/>
  <c r="BE413" i="4"/>
  <c r="BE415" i="4"/>
  <c r="BE416" i="4"/>
  <c r="BE423" i="4"/>
  <c r="BE427" i="4"/>
  <c r="BE429" i="4"/>
  <c r="BE441" i="4"/>
  <c r="BE445" i="4"/>
  <c r="BE449" i="4"/>
  <c r="BE453" i="4"/>
  <c r="BE456" i="4"/>
  <c r="BE458" i="4"/>
  <c r="BE480" i="4"/>
  <c r="BE482" i="4"/>
  <c r="BE493" i="4"/>
  <c r="BE494" i="4"/>
  <c r="BE496" i="4"/>
  <c r="BE500" i="4"/>
  <c r="BE504" i="4"/>
  <c r="BE515" i="4"/>
  <c r="BE519" i="4"/>
  <c r="BE521" i="4"/>
  <c r="BE524" i="4"/>
  <c r="BE526" i="4"/>
  <c r="BE531" i="4"/>
  <c r="BE538" i="4"/>
  <c r="BE539" i="4"/>
  <c r="BE544" i="4"/>
  <c r="BE557" i="4"/>
  <c r="BE559" i="4"/>
  <c r="BE560" i="4"/>
  <c r="BE565" i="4"/>
  <c r="BE566" i="4"/>
  <c r="BE572" i="4"/>
  <c r="BE585" i="4"/>
  <c r="BE586" i="4"/>
  <c r="BE598" i="4"/>
  <c r="BE606" i="4"/>
  <c r="BE609" i="4"/>
  <c r="BE613" i="4"/>
  <c r="BE615" i="4"/>
  <c r="BE616" i="4"/>
  <c r="BE632" i="4"/>
  <c r="BE636" i="4"/>
  <c r="BE637" i="4"/>
  <c r="BE640" i="4"/>
  <c r="BE642" i="4"/>
  <c r="BE644" i="4"/>
  <c r="BE646" i="4"/>
  <c r="BE650" i="4"/>
  <c r="BE149" i="5"/>
  <c r="BE155" i="5"/>
  <c r="BE164" i="5"/>
  <c r="BE179" i="5"/>
  <c r="BE188" i="5"/>
  <c r="BE197" i="5"/>
  <c r="BE198" i="5"/>
  <c r="BE207" i="5"/>
  <c r="BE233" i="5"/>
  <c r="BE234" i="5"/>
  <c r="BE241" i="5"/>
  <c r="BE247" i="5"/>
  <c r="BE248" i="5"/>
  <c r="BE252" i="5"/>
  <c r="BE259" i="5"/>
  <c r="BE260" i="5"/>
  <c r="BE263" i="5"/>
  <c r="BE264" i="5"/>
  <c r="BE268" i="5"/>
  <c r="BE277" i="5"/>
  <c r="BE282" i="5"/>
  <c r="BE293" i="5"/>
  <c r="BE301" i="5"/>
  <c r="BE134" i="6"/>
  <c r="BE147" i="6"/>
  <c r="BE155" i="6"/>
  <c r="BE163" i="6"/>
  <c r="BE179" i="6"/>
  <c r="BE185" i="6"/>
  <c r="BE190" i="6"/>
  <c r="BE197" i="6"/>
  <c r="BE201" i="6"/>
  <c r="BE132" i="7"/>
  <c r="BE134" i="7"/>
  <c r="F35" i="2"/>
  <c r="BB95" i="1" s="1"/>
  <c r="F37" i="2"/>
  <c r="BD95" i="1" s="1"/>
  <c r="J34" i="7"/>
  <c r="AW100" i="1" s="1"/>
  <c r="F37" i="4"/>
  <c r="BD97" i="1" s="1"/>
  <c r="F36" i="6"/>
  <c r="BC99" i="1" s="1"/>
  <c r="F37" i="3"/>
  <c r="BD96" i="1" s="1"/>
  <c r="J34" i="6"/>
  <c r="AW99" i="1" s="1"/>
  <c r="F34" i="3"/>
  <c r="BA96" i="1" s="1"/>
  <c r="F37" i="6"/>
  <c r="BD99" i="1" s="1"/>
  <c r="F35" i="5"/>
  <c r="BB98" i="1" s="1"/>
  <c r="F37" i="7"/>
  <c r="BD100" i="1" s="1"/>
  <c r="F34" i="4"/>
  <c r="BA97" i="1" s="1"/>
  <c r="F36" i="7"/>
  <c r="BC100" i="1" s="1"/>
  <c r="F34" i="2"/>
  <c r="BA95" i="1" s="1"/>
  <c r="F36" i="3"/>
  <c r="BC96" i="1" s="1"/>
  <c r="F36" i="5"/>
  <c r="BC98" i="1" s="1"/>
  <c r="J34" i="3"/>
  <c r="AW96" i="1" s="1"/>
  <c r="J34" i="4"/>
  <c r="AW97" i="1" s="1"/>
  <c r="F34" i="5"/>
  <c r="BA98" i="1" s="1"/>
  <c r="F35" i="4"/>
  <c r="BB97" i="1" s="1"/>
  <c r="F34" i="7"/>
  <c r="BA100" i="1" s="1"/>
  <c r="F37" i="5"/>
  <c r="BD98" i="1" s="1"/>
  <c r="F34" i="6"/>
  <c r="BA99" i="1" s="1"/>
  <c r="J34" i="2"/>
  <c r="AW95" i="1" s="1"/>
  <c r="F36" i="4"/>
  <c r="BC97" i="1" s="1"/>
  <c r="F35" i="6"/>
  <c r="BB99" i="1" s="1"/>
  <c r="F36" i="2"/>
  <c r="BC95" i="1" s="1"/>
  <c r="F35" i="3"/>
  <c r="BB96" i="1" s="1"/>
  <c r="J34" i="5"/>
  <c r="AW98" i="1" s="1"/>
  <c r="T121" i="6" l="1"/>
  <c r="P143" i="4"/>
  <c r="AU97" i="1" s="1"/>
  <c r="R139" i="2"/>
  <c r="T145" i="3"/>
  <c r="BK139" i="2"/>
  <c r="J139" i="2" s="1"/>
  <c r="J96" i="2" s="1"/>
  <c r="T139" i="2"/>
  <c r="R145" i="3"/>
  <c r="P139" i="2"/>
  <c r="AU95" i="1" s="1"/>
  <c r="T143" i="4"/>
  <c r="R138" i="5"/>
  <c r="P121" i="6"/>
  <c r="AU99" i="1" s="1"/>
  <c r="P138" i="5"/>
  <c r="AU98" i="1" s="1"/>
  <c r="R143" i="4"/>
  <c r="P145" i="3"/>
  <c r="AU96" i="1" s="1"/>
  <c r="R121" i="6"/>
  <c r="T138" i="5"/>
  <c r="BK120" i="7"/>
  <c r="BK119" i="7" s="1"/>
  <c r="J119" i="7" s="1"/>
  <c r="J96" i="7" s="1"/>
  <c r="J140" i="2"/>
  <c r="J97" i="2" s="1"/>
  <c r="BK145" i="3"/>
  <c r="J145" i="3" s="1"/>
  <c r="J30" i="3" s="1"/>
  <c r="AG96" i="1" s="1"/>
  <c r="BK143" i="4"/>
  <c r="J143" i="4" s="1"/>
  <c r="J96" i="4" s="1"/>
  <c r="BK121" i="6"/>
  <c r="J121" i="6" s="1"/>
  <c r="J96" i="6" s="1"/>
  <c r="BK138" i="5"/>
  <c r="J138" i="5" s="1"/>
  <c r="J96" i="5" s="1"/>
  <c r="J33" i="5"/>
  <c r="AV98" i="1" s="1"/>
  <c r="AT98" i="1" s="1"/>
  <c r="F33" i="2"/>
  <c r="AZ95" i="1" s="1"/>
  <c r="F33" i="4"/>
  <c r="AZ97" i="1" s="1"/>
  <c r="BB94" i="1"/>
  <c r="W31" i="1" s="1"/>
  <c r="J33" i="4"/>
  <c r="AV97" i="1" s="1"/>
  <c r="AT97" i="1" s="1"/>
  <c r="F33" i="3"/>
  <c r="AZ96" i="1" s="1"/>
  <c r="J33" i="3"/>
  <c r="AV96" i="1" s="1"/>
  <c r="AT96" i="1" s="1"/>
  <c r="J33" i="6"/>
  <c r="AV99" i="1" s="1"/>
  <c r="AT99" i="1" s="1"/>
  <c r="BA94" i="1"/>
  <c r="AW94" i="1" s="1"/>
  <c r="AK30" i="1" s="1"/>
  <c r="BC94" i="1"/>
  <c r="AY94" i="1" s="1"/>
  <c r="F33" i="6"/>
  <c r="AZ99" i="1" s="1"/>
  <c r="J33" i="7"/>
  <c r="AV100" i="1" s="1"/>
  <c r="AT100" i="1" s="1"/>
  <c r="BD94" i="1"/>
  <c r="W33" i="1" s="1"/>
  <c r="J33" i="2"/>
  <c r="AV95" i="1" s="1"/>
  <c r="AT95" i="1" s="1"/>
  <c r="F33" i="5"/>
  <c r="AZ98" i="1" s="1"/>
  <c r="F33" i="7"/>
  <c r="AZ100" i="1" s="1"/>
  <c r="AN96" i="1" l="1"/>
  <c r="J39" i="3"/>
  <c r="J96" i="3"/>
  <c r="J120" i="7"/>
  <c r="J97" i="7"/>
  <c r="AZ94" i="1"/>
  <c r="W29" i="1" s="1"/>
  <c r="J30" i="5"/>
  <c r="AG98" i="1" s="1"/>
  <c r="AN98" i="1" s="1"/>
  <c r="J30" i="2"/>
  <c r="AG95" i="1" s="1"/>
  <c r="AN95" i="1" s="1"/>
  <c r="AU94" i="1"/>
  <c r="W32" i="1"/>
  <c r="J30" i="7"/>
  <c r="AG100" i="1" s="1"/>
  <c r="AN100" i="1" s="1"/>
  <c r="J30" i="6"/>
  <c r="AG99" i="1" s="1"/>
  <c r="AN99" i="1" s="1"/>
  <c r="AX94" i="1"/>
  <c r="W30" i="1"/>
  <c r="J30" i="4"/>
  <c r="AG97" i="1" s="1"/>
  <c r="AN97" i="1" s="1"/>
  <c r="J39" i="5" l="1"/>
  <c r="J39" i="6"/>
  <c r="J39" i="2"/>
  <c r="J39" i="4"/>
  <c r="J39" i="7"/>
  <c r="AV94" i="1"/>
  <c r="AK29" i="1" s="1"/>
  <c r="AG94" i="1"/>
  <c r="AT94" i="1" l="1"/>
  <c r="AK26" i="1"/>
  <c r="AK35" i="1" s="1"/>
  <c r="AN94" i="1" l="1"/>
</calcChain>
</file>

<file path=xl/sharedStrings.xml><?xml version="1.0" encoding="utf-8"?>
<sst xmlns="http://schemas.openxmlformats.org/spreadsheetml/2006/main" count="13072" uniqueCount="1296">
  <si>
    <t>Export Komplet</t>
  </si>
  <si>
    <t/>
  </si>
  <si>
    <t>2.0</t>
  </si>
  <si>
    <t>False</t>
  </si>
  <si>
    <t>{9fa8dad6-f514-41c9-bc65-cae3052eac1f}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</si>
  <si>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</si>
  <si>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</si>
  <si>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</si>
  <si>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</si>
  <si>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</si>
  <si>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</si>
  <si>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</si>
  <si>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</si>
  <si>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IMPORT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</si>
  <si>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</si>
  <si>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</si>
  <si>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</si>
  <si>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</si>
  <si>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</si>
  <si>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</si>
  <si>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</si>
  <si>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</si>
  <si>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</si>
  <si>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</si>
  <si>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</si>
  <si>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</si>
  <si>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</si>
  <si>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</si>
  <si>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</si>
  <si>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</si>
  <si>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</si>
  <si>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</si>
  <si>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</si>
  <si>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</si>
  <si>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</si>
  <si>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</si>
  <si>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</si>
  <si>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</si>
  <si>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</si>
  <si>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</si>
  <si>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</si>
  <si>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</si>
  <si>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</si>
  <si>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</si>
  <si>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</si>
  <si>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</si>
  <si>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</si>
  <si>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</si>
  <si>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</si>
  <si>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</si>
  <si>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</si>
  <si>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</si>
  <si>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</si>
  <si>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</si>
  <si>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</si>
  <si>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</si>
  <si>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</si>
  <si>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</si>
  <si>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</si>
  <si>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</si>
  <si>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</si>
  <si>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</si>
  <si>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</si>
  <si>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</si>
  <si>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</si>
  <si>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</si>
  <si>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</si>
  <si>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</si>
  <si>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</si>
  <si>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</si>
  <si>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</si>
  <si>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</si>
  <si>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10</t>
  </si>
  <si>
    <t>STA</t>
  </si>
  <si>
    <t>1</t>
  </si>
  <si>
    <t>{bd84d79f-b5a4-43a5-a471-937673a2dd01}</t>
  </si>
  <si>
    <t>2</t>
  </si>
  <si>
    <t>11</t>
  </si>
  <si>
    <t>{da7032e0-8679-4800-9d2e-f363c155bc54}</t>
  </si>
  <si>
    <t>12</t>
  </si>
  <si>
    <t>{e3e787e7-bb4b-4171-b20b-95282ef86316}</t>
  </si>
  <si>
    <t>13</t>
  </si>
  <si>
    <t>{ea0edb71-fbfb-4220-806f-f97021095f32}</t>
  </si>
  <si>
    <t>14</t>
  </si>
  <si>
    <t>{e30b84c1-19ca-40cf-a901-2316ae97c7a5}</t>
  </si>
  <si>
    <t>{ec82c0ea-3d13-4f9e-ab03-db00e6861e3f}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</si>
  <si>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</si>
  <si>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</si>
  <si>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</si>
  <si>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</si>
  <si>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</si>
  <si>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</si>
  <si>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</si>
  <si>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D1 - RT01 místnost č. 021_1.48</t>
  </si>
  <si>
    <t>D2 - RT02 místnost č. 059_1.47</t>
  </si>
  <si>
    <t>D3 - RT03 místnost č. 059_1.47</t>
  </si>
  <si>
    <t>D4 - RT04 místnost č. 059_1.47</t>
  </si>
  <si>
    <t>D5 - RT05 místnost č. 059_1.47</t>
  </si>
  <si>
    <t>D6 - RT06 místnost č. S124_1.49, 056_1.49</t>
  </si>
  <si>
    <t>D7 - RT07 místnost č. 119_2.49</t>
  </si>
  <si>
    <t>D8 - RT08 místnost č. 129_2.48</t>
  </si>
  <si>
    <t>D9 - RT09 místnost č. 129_2.48</t>
  </si>
  <si>
    <t>D10 - RT10 místnost č. 129_2.48</t>
  </si>
  <si>
    <t>D11 - RT11 místnost č. 129_2.48</t>
  </si>
  <si>
    <t>D12 - RT12 místnost č. 129_2.48</t>
  </si>
  <si>
    <t>D13 - RT13 místnost č. 125_2.46</t>
  </si>
  <si>
    <t>D14 - RT14 místnost č. 130_2.46</t>
  </si>
  <si>
    <t>D15 - RT15 místnost č. 125_2.46</t>
  </si>
  <si>
    <t>D16 - RT16 místnost č. 117_2.26</t>
  </si>
  <si>
    <t>D17 - RT17 místnost č. 155_2.50</t>
  </si>
  <si>
    <t>D18 - RT18 místnost č. 220_3.49</t>
  </si>
  <si>
    <t>D19 - RT19 místnost č. 255_3.48</t>
  </si>
  <si>
    <t>D20 - RT20 místnost č. 227_3.47</t>
  </si>
  <si>
    <t>D21 - RT21 místnost č. 251_3.50</t>
  </si>
  <si>
    <t>D22 - RT22 místnost č. 334_4.51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</si>
  <si>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</si>
  <si>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</si>
  <si>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</si>
  <si>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</si>
  <si>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</si>
  <si>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</si>
  <si>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</si>
  <si>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</si>
  <si>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</si>
  <si>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</si>
  <si>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</si>
  <si>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</si>
  <si>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</si>
  <si>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</si>
  <si>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RT01 místnost č. 021_1.48</t>
  </si>
  <si>
    <t>ROZPOCET</t>
  </si>
  <si>
    <t>K</t>
  </si>
  <si>
    <t>Pol109</t>
  </si>
  <si>
    <t>Obalení madla geotextilií</t>
  </si>
  <si>
    <t>m2</t>
  </si>
  <si>
    <t>4</t>
  </si>
  <si>
    <t>Pol56.2</t>
  </si>
  <si>
    <t>Repase schodišťového madla délky 711 cm</t>
  </si>
  <si>
    <t>soubor</t>
  </si>
  <si>
    <t>D2</t>
  </si>
  <si>
    <t>RT02 místnost č. 059_1.47</t>
  </si>
  <si>
    <t>3</t>
  </si>
  <si>
    <t>Pol14</t>
  </si>
  <si>
    <t>Ochrana prvku - geotextílie 300 g/m2</t>
  </si>
  <si>
    <t>6</t>
  </si>
  <si>
    <t>Pol15</t>
  </si>
  <si>
    <t>Ochrana prvku - OSB desky + ztužení přes hrany stupňů</t>
  </si>
  <si>
    <t>8</t>
  </si>
  <si>
    <t>P</t>
  </si>
  <si>
    <t>Poznámka k položce:_x000D_
Poznámka k položce: Během hrubé stavby budou schodišťové stupně zakryty OSB deskami, práce na schodišti budou prováděny až po ukončení hrubé stavby. Typ barvy a konkrétní odstín bude předem konzultován se zástupcem odboru památkové péče</t>
  </si>
  <si>
    <t>5</t>
  </si>
  <si>
    <t>Pol66</t>
  </si>
  <si>
    <t>Celé kompletní schodiště – stupně oprava schodiště z dubového masivu</t>
  </si>
  <si>
    <t>D3</t>
  </si>
  <si>
    <t>RT03 místnost č. 059_1.47</t>
  </si>
  <si>
    <t>Pol113</t>
  </si>
  <si>
    <t>Oprava parapetu v nice, délka 77 cm, hloubka 33 cm</t>
  </si>
  <si>
    <t>ks</t>
  </si>
  <si>
    <t>7</t>
  </si>
  <si>
    <t>Pol114</t>
  </si>
  <si>
    <t>Ochrana prvku - OSB desky opatřené z vnitřní strany geotextilií</t>
  </si>
  <si>
    <t>D4</t>
  </si>
  <si>
    <t>RT04 místnost č. 059_1.47</t>
  </si>
  <si>
    <t>16</t>
  </si>
  <si>
    <t>9</t>
  </si>
  <si>
    <t>18</t>
  </si>
  <si>
    <t>D5</t>
  </si>
  <si>
    <t>RT05 místnost č. 059_1.47</t>
  </si>
  <si>
    <t>Pol115</t>
  </si>
  <si>
    <t>Oprava madla, délka 150 cm</t>
  </si>
  <si>
    <t>m</t>
  </si>
  <si>
    <t>20</t>
  </si>
  <si>
    <t>Pol116</t>
  </si>
  <si>
    <t>Oprava parapetu pod zábradlím, délka 150 cm, hloubka 33 cm</t>
  </si>
  <si>
    <t>22</t>
  </si>
  <si>
    <t>Pol117</t>
  </si>
  <si>
    <t>Obalení geotextilií</t>
  </si>
  <si>
    <t>24</t>
  </si>
  <si>
    <t>D6</t>
  </si>
  <si>
    <t>RT06 místnost č. S124_1.49, 056_1.49</t>
  </si>
  <si>
    <t>26</t>
  </si>
  <si>
    <t>Pol118</t>
  </si>
  <si>
    <t>Oprava madla, celková délka 1026 cm</t>
  </si>
  <si>
    <t>28</t>
  </si>
  <si>
    <t>D7</t>
  </si>
  <si>
    <t>RT07 místnost č. 119_2.49</t>
  </si>
  <si>
    <t>30</t>
  </si>
  <si>
    <t>Pol56</t>
  </si>
  <si>
    <t>Repase schodišťového madla délky 641 cm</t>
  </si>
  <si>
    <t>32</t>
  </si>
  <si>
    <t>Poznámka k položce:_x000D_
Poznámka k položce: V místě výtahové šachty se vyrobí a napasuje nový kus madla délky 202 cm</t>
  </si>
  <si>
    <t>D8</t>
  </si>
  <si>
    <t>RT08 místnost č. 129_2.48</t>
  </si>
  <si>
    <t>17</t>
  </si>
  <si>
    <t>Pol111</t>
  </si>
  <si>
    <t>Oprava schodiště z borovicového masivu</t>
  </si>
  <si>
    <t>34</t>
  </si>
  <si>
    <t>Pol112</t>
  </si>
  <si>
    <t>Repase dřevěné rohové lišty, délka 170 cm</t>
  </si>
  <si>
    <t>36</t>
  </si>
  <si>
    <t>19</t>
  </si>
  <si>
    <t>38</t>
  </si>
  <si>
    <t>40</t>
  </si>
  <si>
    <t>D9</t>
  </si>
  <si>
    <t>RT09 místnost č. 129_2.48</t>
  </si>
  <si>
    <t>42</t>
  </si>
  <si>
    <t>44</t>
  </si>
  <si>
    <t>D10</t>
  </si>
  <si>
    <t>RT10 místnost č. 129_2.48</t>
  </si>
  <si>
    <t>23</t>
  </si>
  <si>
    <t>46</t>
  </si>
  <si>
    <t>48</t>
  </si>
  <si>
    <t>D11</t>
  </si>
  <si>
    <t>RT11 místnost č. 129_2.48</t>
  </si>
  <si>
    <t>25</t>
  </si>
  <si>
    <t>50</t>
  </si>
  <si>
    <t>52</t>
  </si>
  <si>
    <t>27</t>
  </si>
  <si>
    <t>Pol119</t>
  </si>
  <si>
    <t>54</t>
  </si>
  <si>
    <t>D12</t>
  </si>
  <si>
    <t>RT12 místnost č. 129_2.48</t>
  </si>
  <si>
    <t>56</t>
  </si>
  <si>
    <t>29</t>
  </si>
  <si>
    <t>58</t>
  </si>
  <si>
    <t>60</t>
  </si>
  <si>
    <t>D13</t>
  </si>
  <si>
    <t>RT13 místnost č. 125_2.46</t>
  </si>
  <si>
    <t>31</t>
  </si>
  <si>
    <t>Pol110</t>
  </si>
  <si>
    <t>Zakrytí pavlačové stěny v průběhu stavby samostaně stojícím bedněním z OSB desek do výšky 2,2 m</t>
  </si>
  <si>
    <t>62</t>
  </si>
  <si>
    <t>Pol57</t>
  </si>
  <si>
    <t>Pavlačová stěna vč. oken – 800x376 cm</t>
  </si>
  <si>
    <t>64</t>
  </si>
  <si>
    <t>Poznámka k položce:_x000D_
Poznámka k položce: Součástí restaurování truhlářského prvku bude zhotovení nových okapnic na vnější straně oken a nahrazení současných, silně poškozených okapnic. Odstín finální vrstvy se určí dle předem vytvořeného a zástupcem odboru památkové péče schváleného vzoru.</t>
  </si>
  <si>
    <t>D14</t>
  </si>
  <si>
    <t>RT14 místnost č. 130_2.46</t>
  </si>
  <si>
    <t>33</t>
  </si>
  <si>
    <t>66</t>
  </si>
  <si>
    <t>Pol59</t>
  </si>
  <si>
    <t>Pavlačová stěna vč. oken a dveří – 500x376 cm</t>
  </si>
  <si>
    <t>68</t>
  </si>
  <si>
    <t>D15</t>
  </si>
  <si>
    <t>RT15 místnost č. 125_2.46</t>
  </si>
  <si>
    <t>35</t>
  </si>
  <si>
    <t>Pol58</t>
  </si>
  <si>
    <t>Pavlačová stěna vč. oken – 230x346 cm</t>
  </si>
  <si>
    <t>70</t>
  </si>
  <si>
    <t>Poznámka k položce:_x000D_
Poznámka k položce: Součástí ceny je demontáž, oprava, přesun a zpětná montáž pavlačové stěny. Součástí restaurování truhlářského prvku bude zhotovení nových okapnic na vnější straně oken a nahrazení současných, silně poškozených okapnic. Odstín finální vrstvy se určí dle předem vytvořeného a zástupcem odboru památkové péče schváleného vzoru.</t>
  </si>
  <si>
    <t>D16</t>
  </si>
  <si>
    <t>RT16 místnost č. 117_2.26</t>
  </si>
  <si>
    <t>Pol60</t>
  </si>
  <si>
    <t>4-dílná vestavěná skříň - 322x57x244 cm</t>
  </si>
  <si>
    <t>72</t>
  </si>
  <si>
    <t>Poznámka k položce:_x000D_
Poznámka k položce: Vnitřní hloubka skříně bude zkrácena ze současných 54 cm na 32 cm</t>
  </si>
  <si>
    <t>D17</t>
  </si>
  <si>
    <t>RT17 místnost č. 155_2.50</t>
  </si>
  <si>
    <t>37</t>
  </si>
  <si>
    <t>74</t>
  </si>
  <si>
    <t>Pol120</t>
  </si>
  <si>
    <t>Oprava madla, celková délka 673 cm</t>
  </si>
  <si>
    <t>76</t>
  </si>
  <si>
    <t>D18</t>
  </si>
  <si>
    <t>RT18 místnost č. 220_3.49</t>
  </si>
  <si>
    <t>39</t>
  </si>
  <si>
    <t>78</t>
  </si>
  <si>
    <t>Pol56.1</t>
  </si>
  <si>
    <t>Repase schodišťového madla délky 177 cm</t>
  </si>
  <si>
    <t>80</t>
  </si>
  <si>
    <t>Poznámka k položce:_x000D_
Poznámka k položce: V místě výtahové šachty se vyrobí a napasuje nový kus madla délky 182 cm</t>
  </si>
  <si>
    <t>D19</t>
  </si>
  <si>
    <t>RT19 místnost č. 255_3.48</t>
  </si>
  <si>
    <t>41</t>
  </si>
  <si>
    <t>82</t>
  </si>
  <si>
    <t>84</t>
  </si>
  <si>
    <t>Poznámka k položce:_x000D_
Poznámka k položce: Práce na schodišti budou prováděny až po ukončení hrubé stavby. Typ barvy a konkrétní odstín bude předem konzultován se zástupcem odboru památkové péče</t>
  </si>
  <si>
    <t>43</t>
  </si>
  <si>
    <t>Pol62</t>
  </si>
  <si>
    <t>86</t>
  </si>
  <si>
    <t>D20</t>
  </si>
  <si>
    <t>RT20 místnost č. 227_3.47</t>
  </si>
  <si>
    <t>88</t>
  </si>
  <si>
    <t>45</t>
  </si>
  <si>
    <t>Pol61</t>
  </si>
  <si>
    <t>Pavlačová stěna vč. oken a dveří - 520x349 cm</t>
  </si>
  <si>
    <t>90</t>
  </si>
  <si>
    <t>Poznámka k položce:_x000D_
Poznámka k položce: Součástí restaurování truhlářského prvku bude zhotovení nových okapnic na vnější straně oken a nahrazení současných, silně poškozených okapnic. Odstín finální vrstvy se určí dle předem vytvořeného a zástupcem odboru památkové péče schváleného vzoru</t>
  </si>
  <si>
    <t>D21</t>
  </si>
  <si>
    <t>RT21 místnost č. 251_3.50</t>
  </si>
  <si>
    <t>92</t>
  </si>
  <si>
    <t>47</t>
  </si>
  <si>
    <t>94</t>
  </si>
  <si>
    <t>D22</t>
  </si>
  <si>
    <t>RT22 místnost č. 334_4.51</t>
  </si>
  <si>
    <t>Pol121</t>
  </si>
  <si>
    <t>Demontáž madla, celková délka 134 cm</t>
  </si>
  <si>
    <t>96</t>
  </si>
  <si>
    <t>49</t>
  </si>
  <si>
    <t>Pol122</t>
  </si>
  <si>
    <t>Likvidace madla, celková délka 134 cm</t>
  </si>
  <si>
    <t>98</t>
  </si>
  <si>
    <t>D1 - RK01 Mramor schodiště, místnost č. 021_1.48</t>
  </si>
  <si>
    <t>D2 - RK02 Parapet - mramor, místnost č. 019_1.48</t>
  </si>
  <si>
    <t>D3 - RK03 Parapet - mramor, místnost č. 019_1.48</t>
  </si>
  <si>
    <t>D4 - RK04 Schodiště - mramor, místnost č. 015_1.51</t>
  </si>
  <si>
    <t>D5 - RK05 Schodiště - mramor, místnost č. 015_1.51</t>
  </si>
  <si>
    <t>D6 - RK06 Pískovcové schodiště, místnost č. 039_1.74</t>
  </si>
  <si>
    <t>D7 - RK07 Pískovcový stupeň, místnost č. 039_1.74</t>
  </si>
  <si>
    <t>D8 - RK08 Obklad - travertin, nešpachtlovaný, místnost č. 006_1.40</t>
  </si>
  <si>
    <t>D10 - RK10 - teracové schodiště, místnost č. 062_1.41</t>
  </si>
  <si>
    <t>D11 - RK11 - teracové schodiště, místnost č. S124_1.49, 056_1.49</t>
  </si>
  <si>
    <t>D12 - RK12 Mramor schodiště, místnost č. 119_2.49</t>
  </si>
  <si>
    <t>D13 - RK13 Parapet - mramor, místnost č. 119_2.49</t>
  </si>
  <si>
    <t>D14 - RK14 Parapet - mramor, místnost č. 119_2.49</t>
  </si>
  <si>
    <t>D15 - RK15 - teracové schodiště, místnost č. 137_2.41</t>
  </si>
  <si>
    <t>D16 - RK16 - Teraco parapet, místnost č. 137_2.41</t>
  </si>
  <si>
    <t>D17 - RK17 - teracové schodiště, místnost č. 155_2.50</t>
  </si>
  <si>
    <t>D18 - RK18 Parapet - mramor, místnost č. 256_3.49</t>
  </si>
  <si>
    <t>D19 - RK19 Parapet - mramor, místnost č. 256_3.49</t>
  </si>
  <si>
    <t>D20 - RK20 Parapet - mramor, místnost č. 220_3.49</t>
  </si>
  <si>
    <t>D21 - RK21 Parapet - mramor, místnost č. 220_3.49</t>
  </si>
  <si>
    <t>D22 - RK22 - teracové schodiště, místnost č. 254_3.41</t>
  </si>
  <si>
    <t>D23 - RK23 - Teraco parapet, místnost č. 254_3.41</t>
  </si>
  <si>
    <t>D24 - RK24 - teracové schodiště, místnost č. 251_3.50</t>
  </si>
  <si>
    <t>D25 - RK25 – Kachlová kamna, místnost č. 211_3.07</t>
  </si>
  <si>
    <t>D26 - RK26 - teracové schodiště, místnost č. 336_4.41</t>
  </si>
  <si>
    <t>D27 - RK27 - Teraco parapet, místnost č. 336_4.41</t>
  </si>
  <si>
    <t>D28 - RK28 - Pískovcové schodiště 1PP, místnost č. S145_-1.47</t>
  </si>
  <si>
    <t>D29 - RK29 - Teracové schodiště, místnost č. S123_-1.49</t>
  </si>
  <si>
    <t>RK01 Mramor schodiště, místnost č. 021_1.48</t>
  </si>
  <si>
    <t>Pol18.1</t>
  </si>
  <si>
    <t>Očištění včetně vysazení částí s velkým poškozením</t>
  </si>
  <si>
    <t>bm</t>
  </si>
  <si>
    <t>Pol19.1</t>
  </si>
  <si>
    <t>Mosazné kobercové úchyty</t>
  </si>
  <si>
    <t>Pol11</t>
  </si>
  <si>
    <t>Impregnace</t>
  </si>
  <si>
    <t>Pol34.1</t>
  </si>
  <si>
    <t>Podesta v 2.NP - vyspravení a přebroušení splávku</t>
  </si>
  <si>
    <t>VV</t>
  </si>
  <si>
    <t>(5,19*1,63)+(1,31*0,17)</t>
  </si>
  <si>
    <t>Součet</t>
  </si>
  <si>
    <t>Pol11.1</t>
  </si>
  <si>
    <t>Podesta v 2.NP - impregnace</t>
  </si>
  <si>
    <t>Pol1.1</t>
  </si>
  <si>
    <t>Ochrana schodiště a podesty - geotextílie 300 g/m2</t>
  </si>
  <si>
    <t>22,109+8,682</t>
  </si>
  <si>
    <t>Pol2.1</t>
  </si>
  <si>
    <t>Ochrana schodiště a podesty - OSB desky + ztužení přes hrany stupňů</t>
  </si>
  <si>
    <t>RK02 Parapet - mramor, místnost č. 019_1.48</t>
  </si>
  <si>
    <t>Pol14.1</t>
  </si>
  <si>
    <t>Odstranění betonových plomb, zapravení tmelem</t>
  </si>
  <si>
    <t>Zbroušení povrchu</t>
  </si>
  <si>
    <t>Pol16</t>
  </si>
  <si>
    <t>Očištění, vyspravení hrany, přeleštění povrchu</t>
  </si>
  <si>
    <t>Pol17.1</t>
  </si>
  <si>
    <t>Pol1.1.1</t>
  </si>
  <si>
    <t>Pol3.1</t>
  </si>
  <si>
    <t>Ochrana prvku - OSB desky</t>
  </si>
  <si>
    <t>RK03 Parapet - mramor, místnost č. 019_1.48</t>
  </si>
  <si>
    <t>Pol12</t>
  </si>
  <si>
    <t>Pol13</t>
  </si>
  <si>
    <t>RK04 Schodiště - mramor, místnost č. 015_1.51</t>
  </si>
  <si>
    <t>Pol8.1</t>
  </si>
  <si>
    <t>Očištění, vyspravení, patinace</t>
  </si>
  <si>
    <t>1,65+(5*1,31*0,155)</t>
  </si>
  <si>
    <t>Pol2.1.1</t>
  </si>
  <si>
    <t>RK05 Schodiště - mramor, místnost č. 015_1.51</t>
  </si>
  <si>
    <t>Pol8</t>
  </si>
  <si>
    <t>Očištění, vyspravení</t>
  </si>
  <si>
    <t>Pol9</t>
  </si>
  <si>
    <t>Sešití nerezovými dráty, patinace</t>
  </si>
  <si>
    <t>Pol10</t>
  </si>
  <si>
    <t>Vylepení epoxy v barvě kamene</t>
  </si>
  <si>
    <t>1,66+(5*1,31*0,155)</t>
  </si>
  <si>
    <t>RK06 Pískovcové schodiště, místnost č. 039_1.74</t>
  </si>
  <si>
    <t>Pol20</t>
  </si>
  <si>
    <t>Demontáž stupňů + zpětná montáž</t>
  </si>
  <si>
    <t>Pol21</t>
  </si>
  <si>
    <t>Očištění - opískování stupně</t>
  </si>
  <si>
    <t>Pol22</t>
  </si>
  <si>
    <t>Vybourání bočnic vč. likvidace suti</t>
  </si>
  <si>
    <t>Pol23</t>
  </si>
  <si>
    <t>Doplnění prvního stupně umělým kamenem (umělý pískovec)</t>
  </si>
  <si>
    <t>Pol24.1</t>
  </si>
  <si>
    <t>Odsolení, zpevnění, patinace, proimpregnování</t>
  </si>
  <si>
    <t>Pol31</t>
  </si>
  <si>
    <t>Výroba a montáž nových pískovcových bočnic</t>
  </si>
  <si>
    <t>RK07 Pískovcový stupeň, místnost č. 039_1.74</t>
  </si>
  <si>
    <t>Pol27</t>
  </si>
  <si>
    <t>Pol32</t>
  </si>
  <si>
    <t>Vyspravení stupně umělým kamenem (umělý pískovec)</t>
  </si>
  <si>
    <t>Pol30</t>
  </si>
  <si>
    <t>RK08 Obklad - travertin, nešpachtlovaný, místnost č. 006_1.40</t>
  </si>
  <si>
    <t>Pol1</t>
  </si>
  <si>
    <t>Materiál - nový (materiál co nejpodobnější stávajícímu obkladu, tl. 30 mm)</t>
  </si>
  <si>
    <t>Pol2</t>
  </si>
  <si>
    <t>Materiál - původní, oprava, hloubkové čištění, patinace</t>
  </si>
  <si>
    <t>Poznámka k položce:_x000D_
Poznámka k položce: Provede se hloubkové čištění párou a chemickými přípravky na travertin.</t>
  </si>
  <si>
    <t>Pol3</t>
  </si>
  <si>
    <t>Demontáž stávajícího obkladu, jeho likvidace + Montáž nového materiálu</t>
  </si>
  <si>
    <t>Pol4</t>
  </si>
  <si>
    <t>Demontáž + Montáž - původní materiál</t>
  </si>
  <si>
    <t>Pol5</t>
  </si>
  <si>
    <t>Pol6</t>
  </si>
  <si>
    <t>Ochrana kamenné dlažby v průjezdu- geotextílie 300 g/m2</t>
  </si>
  <si>
    <t>(12,48*2,9)+(2,2*0,25)+(2,2*0,9)+(1,46*1,3)+(1,54*1,3)</t>
  </si>
  <si>
    <t>Pol7</t>
  </si>
  <si>
    <t>Ochrana kamenné dlažby v průjezdu - OSB desky</t>
  </si>
  <si>
    <t>RK10 - teracové schodiště, místnost č. 062_1.41</t>
  </si>
  <si>
    <t>Pol25.1</t>
  </si>
  <si>
    <t>Pneumatické oklepání schodiště</t>
  </si>
  <si>
    <t>Pol26</t>
  </si>
  <si>
    <t>Vyspravení a přebroušení splávku</t>
  </si>
  <si>
    <t>(5,85*1,89)+(1,73*0,4)</t>
  </si>
  <si>
    <t>19,7+11,749</t>
  </si>
  <si>
    <t>100</t>
  </si>
  <si>
    <t>RK11 - teracové schodiště, místnost č. S124_1.49, 056_1.49</t>
  </si>
  <si>
    <t>Pol33</t>
  </si>
  <si>
    <t>102</t>
  </si>
  <si>
    <t>51</t>
  </si>
  <si>
    <t>Pol34</t>
  </si>
  <si>
    <t>104</t>
  </si>
  <si>
    <t>Pol13.1</t>
  </si>
  <si>
    <t>106</t>
  </si>
  <si>
    <t>53</t>
  </si>
  <si>
    <t>108</t>
  </si>
  <si>
    <t>Pol15.1</t>
  </si>
  <si>
    <t>110</t>
  </si>
  <si>
    <t>RK12 Mramor schodiště, místnost č. 119_2.49</t>
  </si>
  <si>
    <t>55</t>
  </si>
  <si>
    <t>Pol24</t>
  </si>
  <si>
    <t>Očištění včetně vyspravení prasklin a odštípnutých hran</t>
  </si>
  <si>
    <t>112</t>
  </si>
  <si>
    <t>Pol25</t>
  </si>
  <si>
    <t>114</t>
  </si>
  <si>
    <t>57</t>
  </si>
  <si>
    <t>116</t>
  </si>
  <si>
    <t>Pol1.2</t>
  </si>
  <si>
    <t>Podesta v 3.NP - vyspravení a přebroušení splávku</t>
  </si>
  <si>
    <t>118</t>
  </si>
  <si>
    <t>(5,17*1,63)+(0,83*0,17)</t>
  </si>
  <si>
    <t>59</t>
  </si>
  <si>
    <t>Pol11.1.1</t>
  </si>
  <si>
    <t>Podesta v 3.NP - impregnace</t>
  </si>
  <si>
    <t>120</t>
  </si>
  <si>
    <t>Pol14.2</t>
  </si>
  <si>
    <t>122</t>
  </si>
  <si>
    <t>18,131+8,568</t>
  </si>
  <si>
    <t>61</t>
  </si>
  <si>
    <t>Pol15.1.1</t>
  </si>
  <si>
    <t>124</t>
  </si>
  <si>
    <t>RK13 Parapet - mramor, místnost č. 119_2.49</t>
  </si>
  <si>
    <t>Pol17</t>
  </si>
  <si>
    <t>126</t>
  </si>
  <si>
    <t>63</t>
  </si>
  <si>
    <t>Pol18</t>
  </si>
  <si>
    <t>128</t>
  </si>
  <si>
    <t>130</t>
  </si>
  <si>
    <t>65</t>
  </si>
  <si>
    <t>Pol19</t>
  </si>
  <si>
    <t>132</t>
  </si>
  <si>
    <t>RK14 Parapet - mramor, místnost č. 119_2.49</t>
  </si>
  <si>
    <t>134</t>
  </si>
  <si>
    <t>67</t>
  </si>
  <si>
    <t>136</t>
  </si>
  <si>
    <t>138</t>
  </si>
  <si>
    <t>69</t>
  </si>
  <si>
    <t>140</t>
  </si>
  <si>
    <t>RK15 - teracové schodiště, místnost č. 137_2.41</t>
  </si>
  <si>
    <t>142</t>
  </si>
  <si>
    <t>71</t>
  </si>
  <si>
    <t>144</t>
  </si>
  <si>
    <t>146</t>
  </si>
  <si>
    <t>73</t>
  </si>
  <si>
    <t>Pol34.1.1</t>
  </si>
  <si>
    <t>148</t>
  </si>
  <si>
    <t>(6,12*1,8)+(1,93*0,41)</t>
  </si>
  <si>
    <t>150</t>
  </si>
  <si>
    <t>75</t>
  </si>
  <si>
    <t>152</t>
  </si>
  <si>
    <t>17,209+11,807</t>
  </si>
  <si>
    <t>154</t>
  </si>
  <si>
    <t>RK16 - Teraco parapet, místnost č. 137_2.41</t>
  </si>
  <si>
    <t>77</t>
  </si>
  <si>
    <t>Pol27.1</t>
  </si>
  <si>
    <t>Demontáž</t>
  </si>
  <si>
    <t>156</t>
  </si>
  <si>
    <t>Pol28</t>
  </si>
  <si>
    <t>Řezání včetně likvidace</t>
  </si>
  <si>
    <t>158</t>
  </si>
  <si>
    <t>79</t>
  </si>
  <si>
    <t>Pol29</t>
  </si>
  <si>
    <t>Očištění</t>
  </si>
  <si>
    <t>160</t>
  </si>
  <si>
    <t>Pol30.1</t>
  </si>
  <si>
    <t>Montáž</t>
  </si>
  <si>
    <t>162</t>
  </si>
  <si>
    <t>81</t>
  </si>
  <si>
    <t>164</t>
  </si>
  <si>
    <t>166</t>
  </si>
  <si>
    <t>83</t>
  </si>
  <si>
    <t>168</t>
  </si>
  <si>
    <t>RK17 - teracové schodiště, místnost č. 155_2.50</t>
  </si>
  <si>
    <t>170</t>
  </si>
  <si>
    <t>85</t>
  </si>
  <si>
    <t>172</t>
  </si>
  <si>
    <t>174</t>
  </si>
  <si>
    <t>87</t>
  </si>
  <si>
    <t>176</t>
  </si>
  <si>
    <t>178</t>
  </si>
  <si>
    <t>RK18 Parapet - mramor, místnost č. 256_3.49</t>
  </si>
  <si>
    <t>89</t>
  </si>
  <si>
    <t>180</t>
  </si>
  <si>
    <t>182</t>
  </si>
  <si>
    <t>91</t>
  </si>
  <si>
    <t>184</t>
  </si>
  <si>
    <t>186</t>
  </si>
  <si>
    <t>RK19 Parapet - mramor, místnost č. 256_3.49</t>
  </si>
  <si>
    <t>93</t>
  </si>
  <si>
    <t>188</t>
  </si>
  <si>
    <t>190</t>
  </si>
  <si>
    <t>95</t>
  </si>
  <si>
    <t>192</t>
  </si>
  <si>
    <t>194</t>
  </si>
  <si>
    <t>RK20 Parapet - mramor, místnost č. 220_3.49</t>
  </si>
  <si>
    <t>97</t>
  </si>
  <si>
    <t>196</t>
  </si>
  <si>
    <t>198</t>
  </si>
  <si>
    <t>99</t>
  </si>
  <si>
    <t>200</t>
  </si>
  <si>
    <t>202</t>
  </si>
  <si>
    <t>RK21 Parapet - mramor, místnost č. 220_3.49</t>
  </si>
  <si>
    <t>101</t>
  </si>
  <si>
    <t>204</t>
  </si>
  <si>
    <t>206</t>
  </si>
  <si>
    <t>103</t>
  </si>
  <si>
    <t>208</t>
  </si>
  <si>
    <t>210</t>
  </si>
  <si>
    <t>RK22 - teracové schodiště, místnost č. 254_3.41</t>
  </si>
  <si>
    <t>105</t>
  </si>
  <si>
    <t>212</t>
  </si>
  <si>
    <t>214</t>
  </si>
  <si>
    <t>107</t>
  </si>
  <si>
    <t>216</t>
  </si>
  <si>
    <t>Pol34.1.2</t>
  </si>
  <si>
    <t>Podesta v 4.NP - vyspravení a přebroušení splávku</t>
  </si>
  <si>
    <t>218</t>
  </si>
  <si>
    <t>(6,03*2,22)+(1,92*0,43)</t>
  </si>
  <si>
    <t>109</t>
  </si>
  <si>
    <t>Pol11.1.2</t>
  </si>
  <si>
    <t>Podesta v 4.NP - impregnace</t>
  </si>
  <si>
    <t>220</t>
  </si>
  <si>
    <t>222</t>
  </si>
  <si>
    <t>17,632+14,212</t>
  </si>
  <si>
    <t>111</t>
  </si>
  <si>
    <t>224</t>
  </si>
  <si>
    <t>D23</t>
  </si>
  <si>
    <t>RK23 - Teraco parapet, místnost č. 254_3.41</t>
  </si>
  <si>
    <t>Pol35</t>
  </si>
  <si>
    <t>226</t>
  </si>
  <si>
    <t>113</t>
  </si>
  <si>
    <t>Pol36</t>
  </si>
  <si>
    <t>Řezání vč. likvidace</t>
  </si>
  <si>
    <t>228</t>
  </si>
  <si>
    <t>Pol37</t>
  </si>
  <si>
    <t>230</t>
  </si>
  <si>
    <t>115</t>
  </si>
  <si>
    <t>Pol38</t>
  </si>
  <si>
    <t>232</t>
  </si>
  <si>
    <t>234</t>
  </si>
  <si>
    <t>117</t>
  </si>
  <si>
    <t>236</t>
  </si>
  <si>
    <t>238</t>
  </si>
  <si>
    <t>D24</t>
  </si>
  <si>
    <t>RK24 - teracové schodiště, místnost č. 251_3.50</t>
  </si>
  <si>
    <t>119</t>
  </si>
  <si>
    <t>240</t>
  </si>
  <si>
    <t>242</t>
  </si>
  <si>
    <t>121</t>
  </si>
  <si>
    <t>244</t>
  </si>
  <si>
    <t>246</t>
  </si>
  <si>
    <t>123</t>
  </si>
  <si>
    <t>248</t>
  </si>
  <si>
    <t>D25</t>
  </si>
  <si>
    <t>RK25 – Kachlová kamna, místnost č. 211_3.07</t>
  </si>
  <si>
    <t>Pol123</t>
  </si>
  <si>
    <t>250</t>
  </si>
  <si>
    <t>125</t>
  </si>
  <si>
    <t>Pol124</t>
  </si>
  <si>
    <t>Restaurátorská zpráva a fotodokumentace</t>
  </si>
  <si>
    <t>252</t>
  </si>
  <si>
    <t>Pol125</t>
  </si>
  <si>
    <t>254</t>
  </si>
  <si>
    <t>127</t>
  </si>
  <si>
    <t>Pol126</t>
  </si>
  <si>
    <t>Přebroušení a převoskování litinových prvků</t>
  </si>
  <si>
    <t>256</t>
  </si>
  <si>
    <t>Pol127</t>
  </si>
  <si>
    <t>258</t>
  </si>
  <si>
    <t>129</t>
  </si>
  <si>
    <t>Pol128</t>
  </si>
  <si>
    <t>Elektrizace</t>
  </si>
  <si>
    <t>260</t>
  </si>
  <si>
    <t>Pol129</t>
  </si>
  <si>
    <t>Doprava a přesun kamen v průběhu rekonstrukce na dílnu a zpět na cílové místo</t>
  </si>
  <si>
    <t>262</t>
  </si>
  <si>
    <t>D26</t>
  </si>
  <si>
    <t>RK26 - teracové schodiště, místnost č. 336_4.41</t>
  </si>
  <si>
    <t>131</t>
  </si>
  <si>
    <t>264</t>
  </si>
  <si>
    <t>266</t>
  </si>
  <si>
    <t>133</t>
  </si>
  <si>
    <t>268</t>
  </si>
  <si>
    <t>270</t>
  </si>
  <si>
    <t>135</t>
  </si>
  <si>
    <t>272</t>
  </si>
  <si>
    <t>D27</t>
  </si>
  <si>
    <t>RK27 - Teraco parapet, místnost č. 336_4.41</t>
  </si>
  <si>
    <t>274</t>
  </si>
  <si>
    <t>137</t>
  </si>
  <si>
    <t>Pol28.1</t>
  </si>
  <si>
    <t>Řezání</t>
  </si>
  <si>
    <t>276</t>
  </si>
  <si>
    <t>Pol29.1</t>
  </si>
  <si>
    <t>Očištění včetně přeleštění povrchu</t>
  </si>
  <si>
    <t>278</t>
  </si>
  <si>
    <t>139</t>
  </si>
  <si>
    <t>280</t>
  </si>
  <si>
    <t>282</t>
  </si>
  <si>
    <t>141</t>
  </si>
  <si>
    <t>284</t>
  </si>
  <si>
    <t>286</t>
  </si>
  <si>
    <t>D28</t>
  </si>
  <si>
    <t>RK28 - Pískovcové schodiště 1PP, místnost č. S145_-1.47</t>
  </si>
  <si>
    <t>143</t>
  </si>
  <si>
    <t>Pol31.1</t>
  </si>
  <si>
    <t>Vyčištění</t>
  </si>
  <si>
    <t>288</t>
  </si>
  <si>
    <t>Pol32.1</t>
  </si>
  <si>
    <t>Odstranění cementových úprav</t>
  </si>
  <si>
    <t>290</t>
  </si>
  <si>
    <t>145</t>
  </si>
  <si>
    <t>Pol33.1</t>
  </si>
  <si>
    <t>Doplnění umělým pískovcem</t>
  </si>
  <si>
    <t>292</t>
  </si>
  <si>
    <t>Pol34.1.3</t>
  </si>
  <si>
    <t>Odstranění vlhkosti - vysoušeč</t>
  </si>
  <si>
    <t>294</t>
  </si>
  <si>
    <t>147</t>
  </si>
  <si>
    <t>Pol35.1</t>
  </si>
  <si>
    <t>Přebroušení splávku</t>
  </si>
  <si>
    <t>296</t>
  </si>
  <si>
    <t>Pol36.1</t>
  </si>
  <si>
    <t>Hloubková impregnace proti vlhkosti</t>
  </si>
  <si>
    <t>298</t>
  </si>
  <si>
    <t>149</t>
  </si>
  <si>
    <t>300</t>
  </si>
  <si>
    <t>Pol72</t>
  </si>
  <si>
    <t>302</t>
  </si>
  <si>
    <t>D29</t>
  </si>
  <si>
    <t>RK29 - Teracové schodiště, místnost č. S123_-1.49</t>
  </si>
  <si>
    <t>151</t>
  </si>
  <si>
    <t>304</t>
  </si>
  <si>
    <t>306</t>
  </si>
  <si>
    <t>153</t>
  </si>
  <si>
    <t>308</t>
  </si>
  <si>
    <t>Pol34.1.4</t>
  </si>
  <si>
    <t>Podesta v 1.NP - vyspravení a přebroušení splávku</t>
  </si>
  <si>
    <t>310</t>
  </si>
  <si>
    <t>(2,58*1,14)+(1,21*0,3)</t>
  </si>
  <si>
    <t>155</t>
  </si>
  <si>
    <t>Pol11.1.3</t>
  </si>
  <si>
    <t>Podesta v 1.NP - impregnace</t>
  </si>
  <si>
    <t>312</t>
  </si>
  <si>
    <t>314</t>
  </si>
  <si>
    <t>3,604+3,304</t>
  </si>
  <si>
    <t>157</t>
  </si>
  <si>
    <t>Pol3.1.1</t>
  </si>
  <si>
    <t>316</t>
  </si>
  <si>
    <t>318</t>
  </si>
  <si>
    <t>320</t>
  </si>
  <si>
    <t>322</t>
  </si>
  <si>
    <t>324</t>
  </si>
  <si>
    <t>326</t>
  </si>
  <si>
    <t>D1 - RŠ01 místnost č. 012, 025, 026_1.20</t>
  </si>
  <si>
    <t>D2 - RŠ02 místnost č. 015_1.51</t>
  </si>
  <si>
    <t>D3 - RŠ03 místnost č. 016_1.51</t>
  </si>
  <si>
    <t>D4 - RŠ04 místnost č. 019_1.48</t>
  </si>
  <si>
    <t>D5 - RŠ05 místnost č. 021_1.48</t>
  </si>
  <si>
    <t>D6 - RŠ06 místnost č. 059_1.47</t>
  </si>
  <si>
    <t>D7 - RŠ07 místnost č. 110_2.06</t>
  </si>
  <si>
    <t>D8 - RŠ08 místnost č. 111_2.07</t>
  </si>
  <si>
    <t>D9 - RŠ09 místnost č. 112_2.13</t>
  </si>
  <si>
    <t>D10 - RŠ10 místnost č. 113_2.08</t>
  </si>
  <si>
    <t>D11 - RŠ11 místnost č. 114_2.09</t>
  </si>
  <si>
    <t>D12 - RŠ12 místnost č. 115_2.10</t>
  </si>
  <si>
    <t>D13 - RŠ13 místnost č. 121_2.27</t>
  </si>
  <si>
    <t>D14 - RŠ14 místnost č. 122_2.25</t>
  </si>
  <si>
    <t>D15 - RŠ15 místnost č. 117_2.26</t>
  </si>
  <si>
    <t>D16 - RŠ16 místnost č. 116_2.69</t>
  </si>
  <si>
    <t>D17 - RŠ17 místnost č. 125_2.46</t>
  </si>
  <si>
    <t>D18 - RŠ18 místnost č. 118_2.49</t>
  </si>
  <si>
    <t>D19 - RŠ19 místnost č. 119_2.49</t>
  </si>
  <si>
    <t>D20 - RŠ20 místnost č. 129_2.48</t>
  </si>
  <si>
    <t>D21 - RŠ21 místnost č. 221_3.24</t>
  </si>
  <si>
    <t>D22 - RŠ22 místnost č. 224_3.47a</t>
  </si>
  <si>
    <t>D23 - RŠ23 místnost č. 223_3.47a</t>
  </si>
  <si>
    <t>D24 - RŠ24 místnost č. 222_3.47a</t>
  </si>
  <si>
    <t>D25 - RŠ25 místnost č. 220 + RŠ26 místnost č. 256_3.49</t>
  </si>
  <si>
    <t>D26 - RŠ27 místnost č. 255_3.48</t>
  </si>
  <si>
    <t>RŠ01 místnost č. 012, 025, 026_1.20</t>
  </si>
  <si>
    <t>Pol39</t>
  </si>
  <si>
    <t>očištění povrchu parním generátorem vč. sanace vzniklé odpaní vody</t>
  </si>
  <si>
    <t>88,830+43,732</t>
  </si>
  <si>
    <t>Pol55</t>
  </si>
  <si>
    <t>mechanické odstranění maleb, dočištění</t>
  </si>
  <si>
    <t>Poznámka k položce:_x000D_
Poznámka k položce: Odhad 20% očišťěných ploch</t>
  </si>
  <si>
    <t>mechanické odstranění linkrusty vč. osekání části omítky a jejího doplnění</t>
  </si>
  <si>
    <t>PSC</t>
  </si>
  <si>
    <t>Poznámka k souboru cen:_x000D_
Odhad 40% ploch stěn</t>
  </si>
  <si>
    <t>likvidace suti</t>
  </si>
  <si>
    <t>t</t>
  </si>
  <si>
    <t>příplatek za odvoz sutě na skládku</t>
  </si>
  <si>
    <t>Pol40</t>
  </si>
  <si>
    <t>výmalba stěn a stropu</t>
  </si>
  <si>
    <t>Poznámka k položce:_x000D_
Poznámka k položce: JC odpovídá dvojité vrstvě nátěru.</t>
  </si>
  <si>
    <t>Pol41</t>
  </si>
  <si>
    <t>selektivní konsolidace (zpevnění) štukových prvků, ošetření šelakem</t>
  </si>
  <si>
    <t>Pol43</t>
  </si>
  <si>
    <t>doplnění omítky po odstranění příček</t>
  </si>
  <si>
    <t>(0,11*(4,04+3,76+4,04))+(0,16*(4,04+2,41))+(0,19*2,6)+(0,075*(4,04+1,65))</t>
  </si>
  <si>
    <t>RŠ02 místnost č. 015_1.51</t>
  </si>
  <si>
    <t>126,560+42,344</t>
  </si>
  <si>
    <t>Pol44</t>
  </si>
  <si>
    <t>odstranění poškozených štukových prvků, zajištění uvolněných prvků</t>
  </si>
  <si>
    <t>Poznámka k položce:_x000D_
Poznámka k položce: Rozsah určí restaurátor podle nálezové situace na místě</t>
  </si>
  <si>
    <t>Pol45</t>
  </si>
  <si>
    <t>odsolení buničinvými zábaly destilovanou vodou</t>
  </si>
  <si>
    <t>Poznámka k položce:_x000D_
Poznámka k položce: Počet zábalů bude se určí na místě na základě nálezové situace, v průměru 4 zábaly</t>
  </si>
  <si>
    <t>Pol46</t>
  </si>
  <si>
    <t>výroba a osazení nových prvků</t>
  </si>
  <si>
    <t>Poznámka k položce:_x000D_
Poznámka k položce: Chybějící prvky budou doplněny odlitky provedené řemeslným štukatérským způsobem, konkrétní způsob i složení materiálu bude provedeno dle zvoleného postupu restaurátora.Míru narušení prvků, štukových celků, povrchů štuků je možné určit až ve fázi po očištění povrchů a odstranění nezachranitelných částí</t>
  </si>
  <si>
    <t>Pol47</t>
  </si>
  <si>
    <t>doplnění mechanicky poškozených míst štukatérským způsobem</t>
  </si>
  <si>
    <t>Pol48</t>
  </si>
  <si>
    <t>Poznámka k položce:_x000D_
Poznámka k položce: JC odpovídá dvojité vrstvě nátěru. Výmalba současnými materiály pro interiér. Typ a konkrétní barva bude určena na základě autorského návrhu architekta po domluvě s památkáři na základě nálezové situace.</t>
  </si>
  <si>
    <t>Pol49</t>
  </si>
  <si>
    <t>samostatně stojící tesařské bednění podél zdí do výše 2500 mm, opatřené z vnitřní strany geotextilií</t>
  </si>
  <si>
    <t>(0,31+1,03+0,91+0,2+2,01+0,17+0,89+1,0+1,73+1,35+5,18+1,07+0,4+0,4+1,3+5,19+1,43+1,67+0,18+3,75+0,18+0,27-2,6-0,85)*2,5</t>
  </si>
  <si>
    <t>RŠ03 místnost č. 016_1.51</t>
  </si>
  <si>
    <t>14,316+2,331</t>
  </si>
  <si>
    <t>Pol40.1</t>
  </si>
  <si>
    <t>výmalba stěn a stropů</t>
  </si>
  <si>
    <t>Poznámka k položce:_x000D_
Poznámka k položce: Chybějící prvky budou doplněny odlitky provedené řemeslným štukatérským způsobem, konkrétní způsob i složení materiálu bude provedeno dle zvoleného postupu restaurátora. Míru narušení prvků, štukových celků, povrchů štuků je možné určit až ve fázi po očištění povrchů a odstranění nezachranitelných částí</t>
  </si>
  <si>
    <t>RŠ04 místnost č. 019_1.48</t>
  </si>
  <si>
    <t>51,923+11,305</t>
  </si>
  <si>
    <t>Pol48.1</t>
  </si>
  <si>
    <t>výmalba stěn omyvatelným voskovým nátěrem podle tradiční technologie do výšky 1,4 m</t>
  </si>
  <si>
    <t>(0,38+1,36+2,87+0,45+0,48+0,8+0,38)*2,5</t>
  </si>
  <si>
    <t>RŠ05 místnost č. 021_1.48</t>
  </si>
  <si>
    <t>56,554+11,448</t>
  </si>
  <si>
    <t>(6,34+5,78)*2,5</t>
  </si>
  <si>
    <t>Pol50</t>
  </si>
  <si>
    <t>Pol48.2</t>
  </si>
  <si>
    <t>výmalba soklové části stěny schodiště, opatřeno fixačním nátěrem z akrylátové pryskyřice</t>
  </si>
  <si>
    <t>RŠ06 místnost č. 059_1.47</t>
  </si>
  <si>
    <t>63,811+10,295</t>
  </si>
  <si>
    <t>RŠ07 místnost č. 110_2.06</t>
  </si>
  <si>
    <t>Pol53</t>
  </si>
  <si>
    <t>doplnění poškozených míst a výroba osazení nových prvků</t>
  </si>
  <si>
    <t>Pol47.1</t>
  </si>
  <si>
    <t>ošětření štukových ploch, oprava trhlin štukatérským způsobem</t>
  </si>
  <si>
    <t>Pol41.1</t>
  </si>
  <si>
    <t>sjednocení povrchu rozředěným šelakem</t>
  </si>
  <si>
    <t>Pol48.3</t>
  </si>
  <si>
    <t>dekorovaná výmalba stropu</t>
  </si>
  <si>
    <t>Poznámka k položce:_x000D_
Poznámka k položce: JC odpovídá dvojité vrstvě nátěru. Druh dekoru a konkrétní barva budou vybrány na základě autorského návrhu architekta.</t>
  </si>
  <si>
    <t>RŠ08 místnost č. 111_2.07</t>
  </si>
  <si>
    <t>Pol39.1</t>
  </si>
  <si>
    <t>očištění povrchu parním generátorem vč. sanace</t>
  </si>
  <si>
    <t>RŠ09 místnost č. 112_2.13</t>
  </si>
  <si>
    <t>Pol41.2</t>
  </si>
  <si>
    <t>Pol54</t>
  </si>
  <si>
    <t>zarovnání jádrovou omítkou, vyhlazení štukem</t>
  </si>
  <si>
    <t>RŠ10 místnost č. 113_2.08</t>
  </si>
  <si>
    <t>RŠ11 místnost č. 114_2.09</t>
  </si>
  <si>
    <t>RŠ12 místnost č. 115_2.10</t>
  </si>
  <si>
    <t>RŠ13 místnost č. 121_2.27</t>
  </si>
  <si>
    <t>Pol101</t>
  </si>
  <si>
    <t>Pol41.3</t>
  </si>
  <si>
    <t>selektivní konsolidace (zpevnění) štukových prvků, ošetření rozředěným šelakem</t>
  </si>
  <si>
    <t>Pol102</t>
  </si>
  <si>
    <t>malířská rekonstrukce dekorativního nátěru olejovými nebo temperovými barvami, sjednocení vícevrstvými překryvy lazury, přelakování matným lakem</t>
  </si>
  <si>
    <t>Poznámka k položce:_x000D_
Poznámka k položce: Druh barvy a použitý lak se určí a technologický postup se upraví na základě autorského návrhu architekta po domluvě s památkáři dle nálezové situace po očištění stropu.</t>
  </si>
  <si>
    <t>RŠ14 místnost č. 122_2.25</t>
  </si>
  <si>
    <t>RŠ15 místnost č. 117_2.26</t>
  </si>
  <si>
    <t>RŠ16 místnost č. 116_2.69</t>
  </si>
  <si>
    <t>RŠ17 místnost č. 125_2.46</t>
  </si>
  <si>
    <t>159</t>
  </si>
  <si>
    <t>161</t>
  </si>
  <si>
    <t>Pol103</t>
  </si>
  <si>
    <t>selektivní konsolidace štukatérským způsobem</t>
  </si>
  <si>
    <t>21,920+16,282</t>
  </si>
  <si>
    <t>163</t>
  </si>
  <si>
    <t>328</t>
  </si>
  <si>
    <t>165</t>
  </si>
  <si>
    <t>330</t>
  </si>
  <si>
    <t>332</t>
  </si>
  <si>
    <t>RŠ18 místnost č. 118_2.49</t>
  </si>
  <si>
    <t>167</t>
  </si>
  <si>
    <t>334</t>
  </si>
  <si>
    <t>24,546+8,443</t>
  </si>
  <si>
    <t>336</t>
  </si>
  <si>
    <t>169</t>
  </si>
  <si>
    <t>338</t>
  </si>
  <si>
    <t>340</t>
  </si>
  <si>
    <t>171</t>
  </si>
  <si>
    <t>342</t>
  </si>
  <si>
    <t>344</t>
  </si>
  <si>
    <t>173</t>
  </si>
  <si>
    <t>346</t>
  </si>
  <si>
    <t>348</t>
  </si>
  <si>
    <t>175</t>
  </si>
  <si>
    <t>350</t>
  </si>
  <si>
    <t>352</t>
  </si>
  <si>
    <t>177</t>
  </si>
  <si>
    <t>354</t>
  </si>
  <si>
    <t>356</t>
  </si>
  <si>
    <t>(0,15+0,17+0,17+0,18+0,47+0,18+0,18+1,6+0,18+0,18+0,51+1,61)*2,5</t>
  </si>
  <si>
    <t>RŠ19 místnost č. 119_2.49</t>
  </si>
  <si>
    <t>179</t>
  </si>
  <si>
    <t>358</t>
  </si>
  <si>
    <t>360</t>
  </si>
  <si>
    <t>181</t>
  </si>
  <si>
    <t>362</t>
  </si>
  <si>
    <t>364</t>
  </si>
  <si>
    <t>183</t>
  </si>
  <si>
    <t>366</t>
  </si>
  <si>
    <t>368</t>
  </si>
  <si>
    <t>185</t>
  </si>
  <si>
    <t>370</t>
  </si>
  <si>
    <t>372</t>
  </si>
  <si>
    <t>187</t>
  </si>
  <si>
    <t>374</t>
  </si>
  <si>
    <t>376</t>
  </si>
  <si>
    <t>189</t>
  </si>
  <si>
    <t>378</t>
  </si>
  <si>
    <t>380</t>
  </si>
  <si>
    <t>191</t>
  </si>
  <si>
    <t>382</t>
  </si>
  <si>
    <t>RŠ20 místnost č. 129_2.48</t>
  </si>
  <si>
    <t>384</t>
  </si>
  <si>
    <t>53,551+10,295</t>
  </si>
  <si>
    <t>193</t>
  </si>
  <si>
    <t>386</t>
  </si>
  <si>
    <t>388</t>
  </si>
  <si>
    <t>195</t>
  </si>
  <si>
    <t>390</t>
  </si>
  <si>
    <t>392</t>
  </si>
  <si>
    <t>197</t>
  </si>
  <si>
    <t>394</t>
  </si>
  <si>
    <t>396</t>
  </si>
  <si>
    <t>199</t>
  </si>
  <si>
    <t>398</t>
  </si>
  <si>
    <t>400</t>
  </si>
  <si>
    <t>RŠ21 místnost č. 221_3.24</t>
  </si>
  <si>
    <t>201</t>
  </si>
  <si>
    <t>402</t>
  </si>
  <si>
    <t>70,952+40,920</t>
  </si>
  <si>
    <t>404</t>
  </si>
  <si>
    <t>203</t>
  </si>
  <si>
    <t>406</t>
  </si>
  <si>
    <t>408</t>
  </si>
  <si>
    <t>205</t>
  </si>
  <si>
    <t>410</t>
  </si>
  <si>
    <t>412</t>
  </si>
  <si>
    <t>207</t>
  </si>
  <si>
    <t>414</t>
  </si>
  <si>
    <t>416</t>
  </si>
  <si>
    <t>209</t>
  </si>
  <si>
    <t>Pol48.4</t>
  </si>
  <si>
    <t>výmalba s dekorem</t>
  </si>
  <si>
    <t>418</t>
  </si>
  <si>
    <t>Poznámka k položce:_x000D_
Poznámka k položce: JC odpovídá dvojité vrstvě nátěru. Druh dekoru bude vybrán na základě autorského návrhu architekta.</t>
  </si>
  <si>
    <t>420</t>
  </si>
  <si>
    <t>(1,43+1,68+0,56+0,56+3,12+1,53+1,55+2,64+2,59+4,25)*2,5</t>
  </si>
  <si>
    <t>RŠ22 místnost č. 224_3.47a</t>
  </si>
  <si>
    <t>211</t>
  </si>
  <si>
    <t>422</t>
  </si>
  <si>
    <t>14,331+4,222</t>
  </si>
  <si>
    <t>424</t>
  </si>
  <si>
    <t>213</t>
  </si>
  <si>
    <t>426</t>
  </si>
  <si>
    <t>428</t>
  </si>
  <si>
    <t>215</t>
  </si>
  <si>
    <t>Pol107</t>
  </si>
  <si>
    <t>selektivní konsolidace</t>
  </si>
  <si>
    <t>430</t>
  </si>
  <si>
    <t>432</t>
  </si>
  <si>
    <t>217</t>
  </si>
  <si>
    <t>434</t>
  </si>
  <si>
    <t>436</t>
  </si>
  <si>
    <t>219</t>
  </si>
  <si>
    <t>438</t>
  </si>
  <si>
    <t>Pol48.5</t>
  </si>
  <si>
    <t>malířská rekonstrukce florální malby stěn</t>
  </si>
  <si>
    <t>440</t>
  </si>
  <si>
    <t>Poznámka k položce:_x000D_
Poznámka k položce: Řešení výmalby se navrhne a upraví na základě situace po celoplošném odkrytí přemaleb stěn.</t>
  </si>
  <si>
    <t>221</t>
  </si>
  <si>
    <t>442</t>
  </si>
  <si>
    <t>444</t>
  </si>
  <si>
    <t>223</t>
  </si>
  <si>
    <t>446</t>
  </si>
  <si>
    <t>(2,32+2,32)*2,5</t>
  </si>
  <si>
    <t>RŠ23 místnost č. 223_3.47a</t>
  </si>
  <si>
    <t>448</t>
  </si>
  <si>
    <t>6,734+7,951</t>
  </si>
  <si>
    <t>225</t>
  </si>
  <si>
    <t>450</t>
  </si>
  <si>
    <t>452</t>
  </si>
  <si>
    <t>227</t>
  </si>
  <si>
    <t>454</t>
  </si>
  <si>
    <t>456</t>
  </si>
  <si>
    <t>229</t>
  </si>
  <si>
    <t>458</t>
  </si>
  <si>
    <t>460</t>
  </si>
  <si>
    <t>231</t>
  </si>
  <si>
    <t>462</t>
  </si>
  <si>
    <t>464</t>
  </si>
  <si>
    <t>233</t>
  </si>
  <si>
    <t>466</t>
  </si>
  <si>
    <t>468</t>
  </si>
  <si>
    <t>235</t>
  </si>
  <si>
    <t>470</t>
  </si>
  <si>
    <t>472</t>
  </si>
  <si>
    <t>RŠ24 místnost č. 222_3.47a</t>
  </si>
  <si>
    <t>237</t>
  </si>
  <si>
    <t>474</t>
  </si>
  <si>
    <t>21,533+4,09</t>
  </si>
  <si>
    <t>476</t>
  </si>
  <si>
    <t>239</t>
  </si>
  <si>
    <t>478</t>
  </si>
  <si>
    <t>480</t>
  </si>
  <si>
    <t>241</t>
  </si>
  <si>
    <t>482</t>
  </si>
  <si>
    <t>484</t>
  </si>
  <si>
    <t>243</t>
  </si>
  <si>
    <t>486</t>
  </si>
  <si>
    <t>488</t>
  </si>
  <si>
    <t>245</t>
  </si>
  <si>
    <t>490</t>
  </si>
  <si>
    <t>492</t>
  </si>
  <si>
    <t>247</t>
  </si>
  <si>
    <t>494</t>
  </si>
  <si>
    <t>496</t>
  </si>
  <si>
    <t>249</t>
  </si>
  <si>
    <t>498</t>
  </si>
  <si>
    <t>(2,36+1,44+0,29+0,27+2)*2,5</t>
  </si>
  <si>
    <t>RŠ25 místnost č. 220 + RŠ26 místnost č. 256_3.49</t>
  </si>
  <si>
    <t>500</t>
  </si>
  <si>
    <t>58,182+23,911</t>
  </si>
  <si>
    <t>251</t>
  </si>
  <si>
    <t>502</t>
  </si>
  <si>
    <t>504</t>
  </si>
  <si>
    <t>253</t>
  </si>
  <si>
    <t>506</t>
  </si>
  <si>
    <t>508</t>
  </si>
  <si>
    <t>255</t>
  </si>
  <si>
    <t>510</t>
  </si>
  <si>
    <t>512</t>
  </si>
  <si>
    <t>257</t>
  </si>
  <si>
    <t>Pol44.1</t>
  </si>
  <si>
    <t>zajištění uvolněných prvků</t>
  </si>
  <si>
    <t>514</t>
  </si>
  <si>
    <t>516</t>
  </si>
  <si>
    <t>259</t>
  </si>
  <si>
    <t>518</t>
  </si>
  <si>
    <t>Pol50.1</t>
  </si>
  <si>
    <t>výmalba stěn</t>
  </si>
  <si>
    <t>520</t>
  </si>
  <si>
    <t>261</t>
  </si>
  <si>
    <t>522</t>
  </si>
  <si>
    <t>524</t>
  </si>
  <si>
    <t>(3,39+0,44+1,64+9,61+0,38+0,17+0,17+0,38)*2,5</t>
  </si>
  <si>
    <t>RŠ27 místnost č. 255_3.48</t>
  </si>
  <si>
    <t>263</t>
  </si>
  <si>
    <t>526</t>
  </si>
  <si>
    <t>528</t>
  </si>
  <si>
    <t>265</t>
  </si>
  <si>
    <t>530</t>
  </si>
  <si>
    <t>532</t>
  </si>
  <si>
    <t>267</t>
  </si>
  <si>
    <t>534</t>
  </si>
  <si>
    <t>536</t>
  </si>
  <si>
    <t>269</t>
  </si>
  <si>
    <t>538</t>
  </si>
  <si>
    <t>540</t>
  </si>
  <si>
    <t>271</t>
  </si>
  <si>
    <t>542</t>
  </si>
  <si>
    <t>544</t>
  </si>
  <si>
    <t>D1 - RZ01 Litinové zábradlí s ornamentálními volutami, místnost č. 021_1.48</t>
  </si>
  <si>
    <t>D2 - RZ02 Madlo ocelové, místnost č. 059_1.47</t>
  </si>
  <si>
    <t>D3 - RZ03 Zábradlí z litinových sloupků s ozdobnými rozetami, místnost č. 059_1.47</t>
  </si>
  <si>
    <t>D4 - RZ04 Zábradlí z ocelových sloupků, místnost č. 062_1.41</t>
  </si>
  <si>
    <t>D5 - RZ05 Madlo ocelové, místnost č. 062_1.41</t>
  </si>
  <si>
    <t>D6 - RZ06 Zábradlí z ploché oceli, místnost č. S124_1.49, 056_1.49</t>
  </si>
  <si>
    <t>D7 - RZ07 Litinové zábradlí s ornamentálními volutami, místnost č. 119_2.49</t>
  </si>
  <si>
    <t>D8 - RZ08 Madlo ocelové, místnost č. 129_2.48</t>
  </si>
  <si>
    <t>D9 - RZ09 Zábradlí z litinových sloupků s ozdobnými rozetami, místnost č. 129_2.48</t>
  </si>
  <si>
    <t>D10 - RZ10 Zábradlí z litinových sloupků s ozdobnými rozetami, místnost č. 129_2.48</t>
  </si>
  <si>
    <t>D11 - RZ11 Litinové zábradlí s centrální rozetou a ornamentem, místnost č. 130_2.45</t>
  </si>
  <si>
    <t>D12 - RZ12 Zábradlí z ocelových sloupků, místnost č. 137_2.41</t>
  </si>
  <si>
    <t>D13 - RZ13 Zábradlí z ploché oceli, místnost č. 155_2.50</t>
  </si>
  <si>
    <t>D14 - RZ14 Litinové zábradlí s ornamentálními volutami, místnost č. 220_3.49</t>
  </si>
  <si>
    <t>D15 - RZ15 Madlo ocelové, místnost č. 255_3.48</t>
  </si>
  <si>
    <t>D16 - RZ16 Litinové zábradlí s centrální rozetou a ornamentem, místnost č. 227_3.47</t>
  </si>
  <si>
    <t>D17 - RZ17 Zábradlí z ocelových sloupků, místnost č. 254_3.41</t>
  </si>
  <si>
    <t>D18 - RZ18 Zábradlí z ploché oceli, místnost č. 251_3.50</t>
  </si>
  <si>
    <t>D19 - RZ19 Zábradlí z ocelových sloupků, místnost č. 336_4.41</t>
  </si>
  <si>
    <t>D20 - RZ20 Zábradlí z ploché oceli, místnost č. 334_4.51</t>
  </si>
  <si>
    <t>D21 - RZ21 Madlo ocelové, místnost č. S144_-1.41</t>
  </si>
  <si>
    <t>RZ01 Litinové zábradlí s ornamentálními volutami, místnost č. 021_1.48</t>
  </si>
  <si>
    <t>Pol73</t>
  </si>
  <si>
    <t>mechanické odstranění mastné depozity, nečistoty, nesoudržné barevné vrstvy a korozní vrstvy</t>
  </si>
  <si>
    <t>Pol74</t>
  </si>
  <si>
    <t>odmaštění povrchu technickým benzínem</t>
  </si>
  <si>
    <t>Pol75</t>
  </si>
  <si>
    <t>opravení mechanického poškození</t>
  </si>
  <si>
    <t>Pol76</t>
  </si>
  <si>
    <t>povrchová úprava – základní nátěr + 2x vrchní nátěr</t>
  </si>
  <si>
    <t>Pol77</t>
  </si>
  <si>
    <t>ochrana prvku - obalení zábradlí geotextílií</t>
  </si>
  <si>
    <t>4,84*1,11*2</t>
  </si>
  <si>
    <t>Pol78</t>
  </si>
  <si>
    <t>doplnění ulomených volut</t>
  </si>
  <si>
    <t>kus</t>
  </si>
  <si>
    <t>Pol78.1</t>
  </si>
  <si>
    <t>doplnění chybějících volut u prvního sloupku</t>
  </si>
  <si>
    <t>RZ02 Madlo ocelové, místnost č. 059_1.47</t>
  </si>
  <si>
    <t>RZ03 Zábradlí z litinových sloupků s ozdobnými rozetami, místnost č. 059_1.47</t>
  </si>
  <si>
    <t>1,26*0,9*2</t>
  </si>
  <si>
    <t>RZ04 Zábradlí z ocelových sloupků, místnost č. 062_1.41</t>
  </si>
  <si>
    <t>6,2*1,1*2</t>
  </si>
  <si>
    <t>RZ05 Madlo ocelové, místnost č. 062_1.41</t>
  </si>
  <si>
    <t>RZ06 Zábradlí z ploché oceli, místnost č. S124_1.49, 056_1.49</t>
  </si>
  <si>
    <t>(3*2,76*1,1)/2*2</t>
  </si>
  <si>
    <t>Pol79</t>
  </si>
  <si>
    <t>povrchová úprava – 1x vrchní email</t>
  </si>
  <si>
    <t>RZ07 Litinové zábradlí s ornamentálními volutami, místnost č. 119_2.49</t>
  </si>
  <si>
    <t>4,78*1,11*2</t>
  </si>
  <si>
    <t>Pol78.2</t>
  </si>
  <si>
    <t>doplnění chybějících volut</t>
  </si>
  <si>
    <t>Pol80</t>
  </si>
  <si>
    <t>dodávka a montáž nového sloupku včetně povrchové úpravy na místě odstraňovaného stávajícího výtahu</t>
  </si>
  <si>
    <t>RZ08 Madlo ocelové, místnost č. 129_2.48</t>
  </si>
  <si>
    <t>RZ09 Zábradlí z litinových sloupků s ozdobnými rozetami, místnost č. 129_2.48</t>
  </si>
  <si>
    <t>RZ10 Zábradlí z litinových sloupků s ozdobnými rozetami, místnost č. 129_2.48</t>
  </si>
  <si>
    <t>RZ11 Litinové zábradlí s centrální rozetou a ornamentem, místnost č. 130_2.45</t>
  </si>
  <si>
    <t>Pol81</t>
  </si>
  <si>
    <t>odborná demontáž + zpětná montáž</t>
  </si>
  <si>
    <t>Pol82</t>
  </si>
  <si>
    <t>odstranění nečistot degradovaných barevných vrstev a korozních produktů jemným pískováním nízkým tlakem</t>
  </si>
  <si>
    <t>Pol83</t>
  </si>
  <si>
    <t>provedení antikorozní úpravy tryskaným zinkem</t>
  </si>
  <si>
    <t>Pol84</t>
  </si>
  <si>
    <t>povrchová úprava – 1x základní nátěr + 1x finální vrchní email</t>
  </si>
  <si>
    <t>RZ12 Zábradlí z ocelových sloupků, místnost č. 137_2.41</t>
  </si>
  <si>
    <t>5,47*1,1*2</t>
  </si>
  <si>
    <t>RZ13 Zábradlí z ploché oceli, místnost č. 155_2.50</t>
  </si>
  <si>
    <t>(2*2,8*1,1)/2*2</t>
  </si>
  <si>
    <t>RZ14 Litinové zábradlí s ornamentálními volutami, místnost č. 220_3.49</t>
  </si>
  <si>
    <t>1,77*1,11*2</t>
  </si>
  <si>
    <t>Pol86</t>
  </si>
  <si>
    <t>zhotovení modelového zařízení podle prvních dvou celých stávajících sloupků</t>
  </si>
  <si>
    <t>Pol87</t>
  </si>
  <si>
    <t>dodávka a montáž nového sloupku včetně povrchové úpravy (litinový odlitek) na místě odstraňovaného stávajícího výtahu</t>
  </si>
  <si>
    <t>RZ15 Madlo ocelové, místnost č. 255_3.48</t>
  </si>
  <si>
    <t>RZ16 Litinové zábradlí s centrální rozetou a ornamentem, místnost č. 227_3.47</t>
  </si>
  <si>
    <t>RZ17 Zábradlí z ocelových sloupků, místnost č. 254_3.41</t>
  </si>
  <si>
    <t>Pol85</t>
  </si>
  <si>
    <t>povrchová úprava – 1x základní nátěr + 2x vrchní nátěr</t>
  </si>
  <si>
    <t>RZ18 Zábradlí z ploché oceli, místnost č. 251_3.50</t>
  </si>
  <si>
    <t>(2*2,86*1,1)/2*2</t>
  </si>
  <si>
    <t>RZ19 Zábradlí z ocelových sloupků, místnost č. 336_4.41</t>
  </si>
  <si>
    <t>RZ20 Zábradlí z ploché oceli, místnost č. 334_4.51</t>
  </si>
  <si>
    <t>Pol88</t>
  </si>
  <si>
    <t>odborná demontáž</t>
  </si>
  <si>
    <t>Pol89</t>
  </si>
  <si>
    <t>likvidace</t>
  </si>
  <si>
    <t>RZ21 Madlo ocelové, místnost č. S144_-1.41</t>
  </si>
  <si>
    <t>D1 - RF01</t>
  </si>
  <si>
    <t>D2 - RF02</t>
  </si>
  <si>
    <t>D3 - RF03</t>
  </si>
  <si>
    <t>D4 - RF04</t>
  </si>
  <si>
    <t>RF01</t>
  </si>
  <si>
    <t>Pol90</t>
  </si>
  <si>
    <t>očištění plochy fasády pomocí parního generátoru, případně s použitím detergentů</t>
  </si>
  <si>
    <t>Pol91</t>
  </si>
  <si>
    <t>odstranění nesoudržných omítek</t>
  </si>
  <si>
    <t>Poznámka k položce:_x000D_
Odhad 50% plochy</t>
  </si>
  <si>
    <t>Pol92</t>
  </si>
  <si>
    <t>odstranění pozdějších nevhodně provedených oprav</t>
  </si>
  <si>
    <t>Pol93</t>
  </si>
  <si>
    <t>vyjmutí plechování</t>
  </si>
  <si>
    <t>8*1,82</t>
  </si>
  <si>
    <t>Pol94</t>
  </si>
  <si>
    <t>sejmutí překryvných povrchových vrstev</t>
  </si>
  <si>
    <t>Poznámka k položce:_x000D_
Odhad 30% plochy</t>
  </si>
  <si>
    <t>Pol95</t>
  </si>
  <si>
    <t>selektivní konsolidace oslabených částí narušených omítek</t>
  </si>
  <si>
    <t>Pol96</t>
  </si>
  <si>
    <t>doplnění prvků i ploch fasády do plného tvaru stavebně štukatérským způsobem</t>
  </si>
  <si>
    <t>Pol97</t>
  </si>
  <si>
    <t>závěrečná aplikace fasádní barvy ve dvou nátěrech</t>
  </si>
  <si>
    <t>Poznámka k položce:_x000D_
Poznámka k položce: Barva bude namíchána individuálně na základě autorského návrhu architekta po domluvě s památkáři.</t>
  </si>
  <si>
    <t>Pol98</t>
  </si>
  <si>
    <t>Příplatek na část opravy fasády při účasti restaurátora - odstranění starých nátěrů na všech štukových prvcích, obnovení původních tvarů štukových prvků</t>
  </si>
  <si>
    <t>Poznámka k položce:_x000D_
Odhad 40% plochy</t>
  </si>
  <si>
    <t>RF02</t>
  </si>
  <si>
    <t>Pol100</t>
  </si>
  <si>
    <t>doplnění a vyspravení plastické bosáže</t>
  </si>
  <si>
    <t>Poznámka k položce:_x000D_
Odhad 20% plochy</t>
  </si>
  <si>
    <t>0,94+26,57</t>
  </si>
  <si>
    <t>Poznámka k položce:_x000D_
Poznámka k položce: Odhad plochy 30% Provedení portálu viz záložka 06 - Štukový portál.</t>
  </si>
  <si>
    <t>Pol99</t>
  </si>
  <si>
    <t>provedení původního členění falešného okenního otvoru v soklu</t>
  </si>
  <si>
    <t>4*(1,3*0,4)</t>
  </si>
  <si>
    <t>RF03</t>
  </si>
  <si>
    <t>26,17+0,9+0,9+26,15+(9*2,26*3)+(9*1,86)</t>
  </si>
  <si>
    <t>RF04</t>
  </si>
  <si>
    <t>(3*29,64)+(12*2,36)+(12*1,99)</t>
  </si>
  <si>
    <t>N00 - Ostatní</t>
  </si>
  <si>
    <t xml:space="preserve">    N01 - štukový portál</t>
  </si>
  <si>
    <t>N00</t>
  </si>
  <si>
    <t>Ostatní</t>
  </si>
  <si>
    <t>N01</t>
  </si>
  <si>
    <t>štukový portál</t>
  </si>
  <si>
    <t>OST00201</t>
  </si>
  <si>
    <t>výroba štukového portálu</t>
  </si>
  <si>
    <t>262144</t>
  </si>
  <si>
    <t>Poznámka k položce:_x000D_
Poznámka k položce: Cena portálu byla stanovena odborným restaurátorem za m2. Portál bude vyzdívaný z cihel plných pálených nebo z materiálu co nejpodobnějšímu ve stávající stěně, do které bude portál vezděn, na vápenocementovou maltu. Větší ozdobné prvky se vyzdí ze stejných cihel, detailnější profilace do tloušťky 5 cm se zhotoví z malty. Vyzdívky se propojí se stávajícím zdivem pomocí zdění do kapes nebo ocelovými kotvami v ložných spárách zdiva. Způsob napojení bude určen na místě stavby podle stavu stávajícího zdiva a podle způsobu vyzdívání. Portál bude omítnut omítkami shodnými s omítkami použitými v ostatních částech objektu viz stavební část. Použité finální nátěry budou na vápenné bázi a jejich barevné řešení se zvolí na základě autorského návrhu architekta po domluvě s památkáři a na základě nálezové situace po celoplošném očištění fasády. Pro upřesnění použitých materiálů a postupů výroby portálu bude zapotřebí zhotovení dílenské dokumentace.</t>
  </si>
  <si>
    <t>OST00202</t>
  </si>
  <si>
    <t>žulový opracovaný patník</t>
  </si>
  <si>
    <t>Poznámka k položce:_x000D_
Poznámka k položce: Patníky budou z přírodní šedé žuly. Přesný odstín bude vybrán generálním projektantem na základě dodavatelem předložených vzorků.</t>
  </si>
  <si>
    <t>OST00203</t>
  </si>
  <si>
    <t>dílenská dokumentace štukového portálu</t>
  </si>
  <si>
    <t>10 - RESTAURÁTORSKÝ ZÁMĚR - Truhlářská část, společně pro objekty A, B a C</t>
  </si>
  <si>
    <r>
      <t xml:space="preserve">Pozn.: Výkazy výměr jsou převzaty z PD </t>
    </r>
    <r>
      <rPr>
        <b/>
        <sz val="9"/>
        <rFont val="Arial CE"/>
        <charset val="238"/>
      </rPr>
      <t>Objekty v ulici Opletalova, č.p. 47, 49, vybrané prvky k restaurování - restaurátorský záměr</t>
    </r>
    <r>
      <rPr>
        <sz val="9"/>
        <rFont val="Arial CE"/>
        <family val="2"/>
        <charset val="238"/>
      </rPr>
      <t xml:space="preserve">. Podrobné informace prvků a postupy prováděných prací jsou uvedeny v příslušných kartách řešených prvků. Názvy prvků uvedených v soupisu prací odpovídají názvům pvků v kartách a v příslušných výkresech půdorysů. Umístění prvků je upřesněno uvedením místnosti, a to následovně: </t>
    </r>
    <r>
      <rPr>
        <i/>
        <sz val="9"/>
        <rFont val="Arial CE"/>
        <family val="2"/>
        <charset val="238"/>
      </rPr>
      <t>č.m. stávající stav</t>
    </r>
    <r>
      <rPr>
        <sz val="9"/>
        <rFont val="Arial CE"/>
        <family val="2"/>
        <charset val="238"/>
      </rPr>
      <t>_</t>
    </r>
    <r>
      <rPr>
        <i/>
        <sz val="9"/>
        <rFont val="Arial CE"/>
        <family val="2"/>
        <charset val="238"/>
      </rPr>
      <t>č.m. nový stav</t>
    </r>
    <r>
      <rPr>
        <sz val="9"/>
        <rFont val="Arial CE"/>
        <family val="2"/>
        <charset val="238"/>
      </rPr>
      <t>. Uvedené jednotkové ceny jsou včetně dopravy do dílny a zpět.</t>
    </r>
  </si>
  <si>
    <t>11 - RESTAURÁTORSKÝ ZÁMĚR - Kamenická část, společně pro objekty A, B a C</t>
  </si>
  <si>
    <t>půdorysná plocha schodiště zaměřená ve výkresu: 13,73 m2, počet stupňů: 34x155/300 mm, šířka schod. ramene: 1,59 m</t>
  </si>
  <si>
    <t>13,73+(34*1,59*0,155)</t>
  </si>
  <si>
    <t>rohový parapet 1,43*1,655*0,15 m, atipický půdorysný tvar, plocha zaměřená ve výkresu: 0,93 m2</t>
  </si>
  <si>
    <t>parapet 1,32*0,325*0,025 m</t>
  </si>
  <si>
    <t>(1,32*0,325)+(1,32*0,025)</t>
  </si>
  <si>
    <t>půdorysná plocha schodiště zaměřená ve výkresu: 1,65 m2, počet stupňů: 5x155/330 mm, šířka schod. ramene: 1,31 m</t>
  </si>
  <si>
    <t>půdorysná plocha schodiště zaměřená ve výkresu: 1,66 m2, počet stupňů: 5x155/330 mm, šířka schod. ramene: 1,31 m</t>
  </si>
  <si>
    <t>šířka schodiště: 1,55 m, počet stupňů: 4x135/330 mm, šířka schod. ramene: 1,21 m</t>
  </si>
  <si>
    <t>rozměry: 1,56x0,4x0,2 m</t>
  </si>
  <si>
    <t>(2,2*(0,25+12,48+0,9+0,9+0,08+0,56+1,3+1,3+1,3+1,33+0,07+1,54+1,8+0,25+0,26+0,145+0,145+0,26+0,385))+(1,71*1,7)+(1,3*1,54)</t>
  </si>
  <si>
    <t>půdorysná plocha schodiště zaměřená ve výkresu: 12,21 m2, počet stupňů: 32x155/310 mm, šířka schod. ramene: 1,51 m</t>
  </si>
  <si>
    <t>12,21+(32*1,51*0,155)</t>
  </si>
  <si>
    <t>půdorysná plocha schodiště vč. podesty a mezipodesty zaměřená ve výkresu: 14,94 m2, počet stupňů: 33x155/270 mm, šířka schod. ramene: 1,22 m</t>
  </si>
  <si>
    <t>14,94+(33*1,22*0,155)</t>
  </si>
  <si>
    <t>půdorysná plocha schodiště zaměřená ve výkresu: 11,23 m2, počet stupňů: 28x155/300 mm, šířka schod. ramene: 1,59 m</t>
  </si>
  <si>
    <t>11,23+(28*1,59*0,155)</t>
  </si>
  <si>
    <t>parapet 1,1*0,38*0,025 m</t>
  </si>
  <si>
    <t>(1,1*0,38)+(1,1*0,025)</t>
  </si>
  <si>
    <t>parapet 1,12*0,4*0,025 m</t>
  </si>
  <si>
    <t>(1,12*0,4)+(1,12*0,025)</t>
  </si>
  <si>
    <t>půdorysná plocha schodiště zaměřená ve výkresu: 11,29 m2, počet stupňů: 28x140/310 mm, šířka schod. ramene: 1,51 m</t>
  </si>
  <si>
    <t>11,29+(28*1,51*0,140)</t>
  </si>
  <si>
    <t>parapet 1,05*0,85*0,04 m</t>
  </si>
  <si>
    <t>(1,05*0,85)+(1,05*0,04)</t>
  </si>
  <si>
    <t>půdorysná plocha schodiště vč. podesty a mezipodesty zaměřená ve výkresu: 12,38 m2, počet stupňů: 22x155/270 mm, šířka schod. ramene: 1,22 m</t>
  </si>
  <si>
    <t>12,38+(22*1,22*0,155)</t>
  </si>
  <si>
    <t>parapet 1,1*0,44*0,025 m</t>
  </si>
  <si>
    <t>(1,1*0,44)+(1,1*0,025)</t>
  </si>
  <si>
    <t>parapet 1,34*0,36*0,025 m</t>
  </si>
  <si>
    <t>(1,34*0,36)+(1,34*0,025)</t>
  </si>
  <si>
    <t>parapet 0,98*0,22*0,025 m</t>
  </si>
  <si>
    <t>(0,98*0,22)+(0,98*0,025)</t>
  </si>
  <si>
    <t>půdorysná plocha schodiště zaměřená ve výkresu: 11,29 m2, počet stupňů: 28x150/300 mm, šířka schod. ramene: 1,51 m</t>
  </si>
  <si>
    <t>11,29+(28*1,51*0,150)</t>
  </si>
  <si>
    <t>parapet 1,07*0,83*0,04 m</t>
  </si>
  <si>
    <t>(1,07*0,83)+(1,07*0,04)</t>
  </si>
  <si>
    <t>půdorysná plocha schodiště vč. podesty a mezipodesty zaměřená ve výkresu: 12,42 m2, počet stupňů: 22x155/270 mm, šířka schod. ramene: 1,22 m</t>
  </si>
  <si>
    <t>12,42+(22*1,22*0,155)</t>
  </si>
  <si>
    <t>půdorysná plocha schodiště zaměřená ve výkresu: 10,82 m2, počet stupňů: 26x150/300 mm, šířka schod. ramene: 1,51 m</t>
  </si>
  <si>
    <t>10,82+(26*1,51*0,150)</t>
  </si>
  <si>
    <t>parapet 1,12*0,86*0,04 m</t>
  </si>
  <si>
    <t>(1,12*0,86)+(1,12*0,04)</t>
  </si>
  <si>
    <t>půdorysná plocha schodiště zaměřená ve výkresu: 9,39 m2, počet stupňů: 20x150/315 mm, šířka schod. ramene: 1,34 m</t>
  </si>
  <si>
    <t>9,39+(20*1,34*0,150)</t>
  </si>
  <si>
    <t>půdorysná plocha schodiště zaměřená ve výkresu: 2,28 m2, počet stupňů: 7x155/270 mm, šířka schod. ramene: 1,22 m</t>
  </si>
  <si>
    <t>2,28+(7*1,22*0,155)</t>
  </si>
  <si>
    <t>12 - RESTAURÁTORSKÝ ZÁMĚR - Štukatérská část, společně pro objekty A, B a C</t>
  </si>
  <si>
    <t>15 - RESTAURÁTORSKÝ ZÁMĚR - Štukový portál</t>
  </si>
  <si>
    <t>(0,61*0,6)+(0,23*0,59)+(0,53*0,6)+(0,61*0,65)+(0,23*0,66)+(0,53*0,64)</t>
  </si>
  <si>
    <t>2*(((0,18+0,45+0,45)*1,59)+(0,08*2,36)+((0,23+0,6+0,45)*0,17))</t>
  </si>
  <si>
    <t>((0,18+3,51+0,18)*2,18)-((3,14*1,3*1,3)/2)</t>
  </si>
  <si>
    <t>(0,26+4,1+0,26)*0,43</t>
  </si>
  <si>
    <t>(0,22*2,36)+(0,22*2,41)+(3,05*1,76)-((3,14*1,3*1,3)/2)</t>
  </si>
  <si>
    <t>(0,36*2,36)+(0,36*2,41)+(3,78*1,76)-((3,14*1,53*1,53)/2)</t>
  </si>
  <si>
    <t>(0,45*3,14*1,3)+(0,6*2,35*2)+(0,6*3,14*1,53)</t>
  </si>
  <si>
    <t>14 - RESTAURÁTORSKÝ ZÁMĚR - Uliční fasády</t>
  </si>
  <si>
    <t>(26,1*(3,84+((1,12+0,87)/2)))-(6*(1,2*0,43))-(8*(1,2*2))-(2,2*2,5)-(3,14*1,1*1,1/2)+(8*(1,2+2)*2*0,18)+((2,5+(3,14*1,1)+2,5)*0,41)</t>
  </si>
  <si>
    <t>(30,7*(4,08+((0,33+0,87)/2)))-(2,61*2,37)-(3,14*1,3*1,3/2)-(9*(1,1*2))-(4*(1,3*0,36))-(1,9*3,8)+(9*(1,1+2)*2*0,17)+((1,9+3,8)*2*0,27)</t>
  </si>
  <si>
    <t xml:space="preserve">Pozn.: Od plochy fasády byla odečtena plocha otvoru nového portálu. </t>
  </si>
  <si>
    <t>(26,1*14,04)+(7,43*1,31)+((1,31+7,43+1,31)*0,2)-(18*1,1*2,2)-(9*1,1*2,1)+(18*(1,1+2,2)*2*0,17)+(9*1,1*2,1+2*0,17)</t>
  </si>
  <si>
    <t>Pozn.: K ploše fasády je připočtena spodní a boční plochy balkónu.</t>
  </si>
  <si>
    <t>(30,68*9,63)-(12*1,1*2,1)-(12*1,1*1,92)+(12*(1,1+2,1)*2*0,17)+(12*(1,1+1,92)*2*0,15)</t>
  </si>
  <si>
    <t>13 - RESTAURÁTORSKÝ ZÁMĚR - Kovářská část, společně pro objekty A, B a C</t>
  </si>
  <si>
    <t>4,84*1,11</t>
  </si>
  <si>
    <t>Pozn.: Výpočet plochy zábradlí byl zhledem ke konstrukci proveden zjednodušeně.</t>
  </si>
  <si>
    <t>(8,89*2*3,14*0,0125)+(6*3,14*0,0125*0,0125)</t>
  </si>
  <si>
    <t>1,26*0,9</t>
  </si>
  <si>
    <t>6,2*1,1</t>
  </si>
  <si>
    <t>(10,13*2*3,14*0,025)+(6*3,14*0,0225*0,0225)</t>
  </si>
  <si>
    <t>(3*2,76*1,1)/2</t>
  </si>
  <si>
    <t>4,78*1,11</t>
  </si>
  <si>
    <t>(7,27*2*3,14*0,0125)+(6*3,14*0,0125*0,0125)</t>
  </si>
  <si>
    <t>(1,2*0,96)/2</t>
  </si>
  <si>
    <t>5,47*1,1</t>
  </si>
  <si>
    <t>(2*2,8*1,1)/2</t>
  </si>
  <si>
    <t>1,77*1,11</t>
  </si>
  <si>
    <t>(8,34*2*3,14*0,0125)+(6*3,14*0,0125*0,0125)</t>
  </si>
  <si>
    <t>1,2*0,96</t>
  </si>
  <si>
    <t>(2*2,86*1,1)/2</t>
  </si>
  <si>
    <t>(1,34*1,1)/2</t>
  </si>
  <si>
    <t>(7,49*2*3,14*0,01)+(2*3,14*0,01*0,01)</t>
  </si>
  <si>
    <t>plocha stěn: ((3,78+11,6+3,76+11,61)*3,6)-(2*1,15*2,2)-(4*1,2*2,5)-(2,95*3,35)+(4*0,34*3,02)+(2*1,42*0,34)</t>
  </si>
  <si>
    <t>plocha stropu: (3,77*11,6)</t>
  </si>
  <si>
    <t>plocha stěn: ((0,31+1,03+0,91+0,2+2,01+0,17+0,89+1,0+1,73+1,35+5,18+1,07+0,4+0,4+1,3+5,19+1,43+1,67+0,18+3,75+0,18+0,27)*4,37)-(2*1,3*3,28)-(0,85*2,16)+(2,04*0,7)+(2,41*0,7)</t>
  </si>
  <si>
    <t>plocha stropu: (4,83*5,18)+(2,1*1,7)+(3,4*3,6)+(2,04*0,27)+(2,41*0,4)</t>
  </si>
  <si>
    <t>plocha stěn: ((0,1+1,11+0,13+0,13+1,11+0,1)*4,37)+(1,86*0,7)+(1,86*0,7)</t>
  </si>
  <si>
    <t>plocha stropu: (2,1*1,11)</t>
  </si>
  <si>
    <t>plocha stěn: ((0,38+1,36+2,87+1,88+3,53+0,39+1,65)*4,37)-(1,28*2,18)-(2,35*2,7)+((0,45+0,48)*2,7)+(2,41*1,7)+(0,31*2*2,18)+(1,28*0,31)</t>
  </si>
  <si>
    <t>plocha stropu: (5,17*1,61)+(1,47*1,59)+(1,84*0,35)</t>
  </si>
  <si>
    <t>plocha stěn: ((2,27+3,36+0,49+1,1+1,53+1,1+1,02)*5,2)-(1,17*1,65)+((1,17+1,65)*2*0,32)</t>
  </si>
  <si>
    <t>spodní plocha schod. ramene: 7,2*1,59</t>
  </si>
  <si>
    <t>Poznámka k souboru cen:
Odhad 30% ploch stěn</t>
  </si>
  <si>
    <t>plocha stěn: (2,27+3,36+0,49+1,1+1,53+1,1+1,02)*1,4</t>
  </si>
  <si>
    <t>plocha stěn: (2,27+3,36+0,49+1,1+1,53+1,1+1,02)*0,3</t>
  </si>
  <si>
    <t>plocha stěn: (0,38+1,36+2,87+1,88+3,53+0,39+1,65)*1,4</t>
  </si>
  <si>
    <t>plocha stěn: ((2,42+0,73+0,66+1,16+0,74+2,72)*5,1)+((0,47+0,69+0,45+0,71+0,39+0,42+0,39+0,52)*5,1)+(1,26*0,34*0,5)</t>
  </si>
  <si>
    <t>spodní plocha schod. ramene: (1,96+1,11+0,52+1,46+2,2)*1,42</t>
  </si>
  <si>
    <t>plocha stěn: (2,42+0,73+0,66+1,16+0,74+2,72)*1,4</t>
  </si>
  <si>
    <t>Poznámka k položce:
výmalba stěn je uvedena ve stavební části</t>
  </si>
  <si>
    <t>plocha stropu: (2,96*5,93)+((5,34-2,96)*5,93/2)</t>
  </si>
  <si>
    <t>plocha stropu: 4,29*5,92</t>
  </si>
  <si>
    <t>plocha stropu: 2,91*5,91</t>
  </si>
  <si>
    <t>plocha stropu: 4,2*5,91</t>
  </si>
  <si>
    <t>plocha stropu: 6,37*5,87</t>
  </si>
  <si>
    <t>plocha stropu: (5,69*5,89)+((6,22-5,69)*5,89/2)</t>
  </si>
  <si>
    <t>plocha stropu: 7,71*1,56</t>
  </si>
  <si>
    <t>plocha stropu: 7,95*3,87</t>
  </si>
  <si>
    <t>plocha stropu: 3,09*5,44</t>
  </si>
  <si>
    <t>plocha stropu: (1,7*5,44)-(0,5*2,43)+(0,96*4,64)+((2,83-0,96)*4,64/2)</t>
  </si>
  <si>
    <t>plocha stěn: (8,25*3,74)-(4*1,02*2,19)</t>
  </si>
  <si>
    <t>plocha stropu: (7,99*1,99)+(1,47*0,26)</t>
  </si>
  <si>
    <t>plocha stěn: (8,25*1,4)</t>
  </si>
  <si>
    <t>plocha stěn: ((5,18+1,61+1,65)*3,74)-(3*1,3*2,53)-(1,29*1,88)+(3*(2,53+1,3+2,53)*0,17)+(2*(1,29+1,88)*0,32)</t>
  </si>
  <si>
    <t>plocha stropu: 5,18*1,63</t>
  </si>
  <si>
    <t>plocha stěn: (5,18+1,61+1,65)*1,4</t>
  </si>
  <si>
    <t>plocha stěn: ((3,91+5,78)*3,74)-(2*1,1*1,88)+(2*(1,1+1,88)*2*0,36)</t>
  </si>
  <si>
    <t>plocha stěn: (3,91+5,78)*1,4</t>
  </si>
  <si>
    <t>plocha stěn: (3,91+5,78)*0,3</t>
  </si>
  <si>
    <t>plocha stěn: ((2,42+0,73+0,66+1,16+0,74+2,72)*4,26)+((0,47+0,69+0,45+0,71+0,39+0,42+0,39+0,52)*4,26)+(2*1,26*0,34*0,5)</t>
  </si>
  <si>
    <t>plocha stěn: ((2,42+0,73+0,66+1,16+0,74+2,72)*1,4)+((0,47+0,69+0,45+0,71+0,39+0,42+0,39+0,52)*1,4)</t>
  </si>
  <si>
    <t>plocha stěn: ((7,75+5,28+7,77+5,27)*3,42)-(1,0*2,07)-(0,71*2,14)-(0,7*2,0)-(2,2*2,54)-(2,53*2,5)-(2*1,02*1,93)+((2,0+0,7+2,0)*0,56)</t>
  </si>
  <si>
    <t>plocha stropu: 7,75*5,28</t>
  </si>
  <si>
    <t>plocha stěn: ((2,32+2,32)*3,5)-(1,02*1,26)-(1,12*2,43)+(2*(1,02+1,26)*0,46)</t>
  </si>
  <si>
    <t>plocha stropu: 2,32*1,82</t>
  </si>
  <si>
    <t>plocha stěn: (2,32+2,32)*1,4</t>
  </si>
  <si>
    <t>plocha stěn: ((0,32+0,51+3,5+0,64+0,18)*3,5)-(2,53*2,5)-(3,19*2,43)+((2,5+2,53+2,5)*0,37)</t>
  </si>
  <si>
    <t>plocha stropu: (3,57*1,82)+(3,23*0,45)</t>
  </si>
  <si>
    <t>plocha stěn: ((0,32+0,51+3,5+0,64+0,18)*1,4)</t>
  </si>
  <si>
    <t>(0,61+0,18+0,37+0,29+0,18+0,2+0,35+3,5)*2,5</t>
  </si>
  <si>
    <t>plocha stěn: ((2,36+1,44+0,29+0,27+2,0)*3,5)-(1,01*1,26)-(0,76*1,97)+(2*(1,01+1,26)*0,45)</t>
  </si>
  <si>
    <t>plocha stropu: (2,01*1,82)+(1,44*0,3)</t>
  </si>
  <si>
    <t>plocha stěn: ((2,36+1,44+0,29+0,27+2,0)*1,4)</t>
  </si>
  <si>
    <t>plocha stěn: ((5,11+1,64+9,61+1,62)*3,5)-(0,97*1,93)-(1,28*2,12)-(1,3*1,65)-(2*1,09*2,36)-(0,83*2,04)+(2*(0,97+1,93)*0,17)+((2,12+1,28+2,12)*0,17)+(2*(1,3+1,65)*0,3)+(2*(0,97+1,93)*0,37*2)+((2,04+0,83+2,04)*0,17)</t>
  </si>
  <si>
    <t>plocha stropu: (5,11*2,65)+(3,14*2,57*2,57/2)</t>
  </si>
  <si>
    <t>plocha stěn: ((5,11+1,64+9,61+1,62)*1,4)</t>
  </si>
  <si>
    <t>plocha stěn: ((4,07+3,24+2,84+1,83)*3,43)</t>
  </si>
  <si>
    <t>plocha stropu: 1,39*0,7</t>
  </si>
  <si>
    <t>41,091+0,973</t>
  </si>
  <si>
    <t>plocha stěn: ((4,07+3,24+2,84+1,83)*1,4)</t>
  </si>
  <si>
    <t>REKONSTRUKCE A DOSTAVBA BUDOV FF UK - DVD</t>
  </si>
  <si>
    <t>801 35</t>
  </si>
  <si>
    <t>OPLETALOVA 47,49 - PRAHA 1</t>
  </si>
  <si>
    <t>Filozofická fakulta, UK</t>
  </si>
  <si>
    <t>Škarda architekti - ing.arch. Václav Škarda</t>
  </si>
  <si>
    <t>Vladimír Mrázek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</si>
</sst>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4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name val="Arial CE"/>
      <charset val="238"/>
    </font>
    <font>
      <i/>
      <sz val="9"/>
      <name val="Arial CE"/>
      <family val="2"/>
      <charset val="238"/>
    </font>
    <font>
      <i/>
      <sz val="8"/>
      <color rgb="FFC00000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8"/>
      <color rgb="FF00B05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00B050"/>
      <name val="Arial CE"/>
      <family val="2"/>
    </font>
    <font>
      <sz val="8"/>
      <color rgb="FFC00000"/>
      <name val="Arial CE"/>
      <family val="2"/>
    </font>
    <font>
      <sz val="8"/>
      <color rgb="FF0070C0"/>
      <name val="Arial CE"/>
      <family val="2"/>
    </font>
    <font>
      <i/>
      <sz val="8"/>
      <color rgb="FF0070C0"/>
      <name val="Arial CE"/>
      <family val="2"/>
      <charset val="238"/>
    </font>
    <font>
      <i/>
      <sz val="8"/>
      <color rgb="FFC00000"/>
      <name val="Arial CE"/>
      <family val="2"/>
    </font>
    <font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23">
    <xf numFmtId="0" fontId="0" fillId="0" borderId="0" xfId="0"/>
    <xf numFmtId="4" fontId="19" fillId="6" borderId="22" xfId="0" applyNumberFormat="1" applyFont="1" applyFill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19" fillId="0" borderId="22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4" fontId="6" fillId="0" borderId="0" xfId="0" applyNumberFormat="1" applyFont="1" applyAlignment="1" applyProtection="1"/>
    <xf numFmtId="0" fontId="7" fillId="0" borderId="0" xfId="0" applyFont="1" applyAlignment="1" applyProtection="1"/>
    <xf numFmtId="0" fontId="7" fillId="0" borderId="3" xfId="0" applyFont="1" applyBorder="1" applyAlignment="1" applyProtection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left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47" fillId="0" borderId="0" xfId="0" applyFont="1" applyAlignment="1" applyProtection="1">
      <alignment horizontal="left" vertical="center" wrapText="1"/>
    </xf>
    <xf numFmtId="165" fontId="2" fillId="0" borderId="0" xfId="0" applyNumberFormat="1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7" fillId="0" borderId="0" xfId="0" applyFont="1" applyAlignment="1" applyProtection="1">
      <alignment vertical="center" wrapText="1"/>
    </xf>
    <xf numFmtId="0" fontId="38" fillId="0" borderId="11" xfId="0" applyFont="1" applyBorder="1" applyAlignment="1" applyProtection="1">
      <alignment horizontal="center" vertical="center" wrapText="1"/>
    </xf>
    <xf numFmtId="0" fontId="38" fillId="0" borderId="12" xfId="0" applyFont="1" applyBorder="1" applyAlignment="1" applyProtection="1">
      <alignment horizontal="center" vertical="center" wrapText="1"/>
    </xf>
    <xf numFmtId="0" fontId="38" fillId="0" borderId="13" xfId="0" applyFont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center" vertical="center"/>
    </xf>
    <xf numFmtId="49" fontId="34" fillId="0" borderId="0" xfId="0" applyNumberFormat="1" applyFont="1" applyAlignment="1" applyProtection="1">
      <alignment horizontal="left" vertical="center" wrapText="1"/>
    </xf>
    <xf numFmtId="0" fontId="41" fillId="0" borderId="0" xfId="0" applyFont="1" applyAlignment="1" applyProtection="1">
      <alignment vertical="center"/>
    </xf>
    <xf numFmtId="168" fontId="41" fillId="0" borderId="0" xfId="0" applyNumberFormat="1" applyFont="1" applyAlignment="1" applyProtection="1">
      <alignment vertical="center"/>
    </xf>
    <xf numFmtId="4" fontId="34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 wrapText="1"/>
    </xf>
    <xf numFmtId="0" fontId="37" fillId="0" borderId="3" xfId="0" applyFont="1" applyBorder="1" applyAlignment="1" applyProtection="1">
      <alignment vertical="center" wrapText="1"/>
    </xf>
    <xf numFmtId="0" fontId="38" fillId="0" borderId="14" xfId="0" applyFont="1" applyBorder="1" applyAlignment="1" applyProtection="1">
      <alignment horizontal="left" vertical="center"/>
    </xf>
    <xf numFmtId="0" fontId="38" fillId="0" borderId="0" xfId="0" applyFont="1" applyAlignment="1" applyProtection="1">
      <alignment horizontal="center" vertical="center"/>
    </xf>
    <xf numFmtId="166" fontId="38" fillId="0" borderId="0" xfId="0" applyNumberFormat="1" applyFont="1" applyAlignment="1" applyProtection="1">
      <alignment vertical="center"/>
    </xf>
    <xf numFmtId="166" fontId="38" fillId="0" borderId="15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45" fillId="0" borderId="3" xfId="0" applyFont="1" applyBorder="1" applyAlignment="1" applyProtection="1">
      <alignment vertical="center" wrapText="1"/>
    </xf>
    <xf numFmtId="0" fontId="44" fillId="0" borderId="3" xfId="0" applyFont="1" applyBorder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29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vertical="center" wrapText="1"/>
    </xf>
    <xf numFmtId="0" fontId="0" fillId="0" borderId="2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32" xfId="0" applyFont="1" applyBorder="1" applyAlignment="1" applyProtection="1">
      <alignment vertical="center"/>
    </xf>
    <xf numFmtId="0" fontId="0" fillId="0" borderId="33" xfId="0" applyFont="1" applyBorder="1" applyAlignment="1" applyProtection="1">
      <alignment vertical="center"/>
    </xf>
    <xf numFmtId="0" fontId="0" fillId="0" borderId="34" xfId="0" applyFont="1" applyBorder="1" applyAlignment="1" applyProtection="1">
      <alignment vertical="center"/>
    </xf>
    <xf numFmtId="0" fontId="19" fillId="0" borderId="31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8" fillId="0" borderId="29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29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7" fillId="0" borderId="29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7" fillId="0" borderId="24" xfId="0" applyFont="1" applyBorder="1" applyAlignment="1" applyProtection="1"/>
    <xf numFmtId="0" fontId="0" fillId="0" borderId="29" xfId="0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vertical="center"/>
    </xf>
    <xf numFmtId="168" fontId="41" fillId="0" borderId="0" xfId="0" applyNumberFormat="1" applyFont="1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0" fillId="0" borderId="27" xfId="0" applyFont="1" applyBorder="1" applyAlignment="1" applyProtection="1">
      <alignment vertical="center"/>
    </xf>
    <xf numFmtId="0" fontId="0" fillId="0" borderId="28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29" xfId="0" applyFont="1" applyBorder="1" applyAlignment="1" applyProtection="1">
      <alignment horizontal="center" vertical="center" wrapText="1"/>
    </xf>
    <xf numFmtId="0" fontId="19" fillId="4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 wrapText="1"/>
    </xf>
    <xf numFmtId="0" fontId="43" fillId="0" borderId="0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/>
    <xf numFmtId="0" fontId="44" fillId="0" borderId="0" xfId="0" applyFont="1" applyAlignment="1" applyProtection="1">
      <alignment vertical="center" wrapText="1"/>
    </xf>
    <xf numFmtId="0" fontId="46" fillId="0" borderId="0" xfId="0" applyFont="1" applyBorder="1" applyAlignment="1" applyProtection="1">
      <alignment vertical="center" wrapText="1"/>
    </xf>
    <xf numFmtId="0" fontId="41" fillId="0" borderId="0" xfId="0" applyFont="1" applyBorder="1" applyAlignment="1" applyProtection="1">
      <alignment vertical="center" wrapText="1"/>
    </xf>
    <xf numFmtId="0" fontId="0" fillId="0" borderId="0" xfId="0" applyBorder="1" applyProtection="1"/>
    <xf numFmtId="0" fontId="0" fillId="5" borderId="0" xfId="0" applyFill="1" applyBorder="1" applyAlignment="1" applyProtection="1">
      <alignment vertical="center"/>
    </xf>
    <xf numFmtId="0" fontId="40" fillId="5" borderId="0" xfId="0" applyFont="1" applyFill="1" applyBorder="1" applyAlignment="1" applyProtection="1">
      <alignment horizontal="left" vertical="center"/>
    </xf>
    <xf numFmtId="0" fontId="0" fillId="5" borderId="24" xfId="0" applyFill="1" applyBorder="1" applyAlignment="1" applyProtection="1">
      <alignment vertical="center"/>
    </xf>
    <xf numFmtId="0" fontId="41" fillId="5" borderId="0" xfId="0" applyFont="1" applyFill="1" applyBorder="1" applyAlignment="1" applyProtection="1">
      <alignment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37" fillId="0" borderId="0" xfId="0" applyFont="1" applyBorder="1" applyAlignment="1" applyProtection="1">
      <alignment vertical="center" wrapText="1"/>
    </xf>
    <xf numFmtId="0" fontId="43" fillId="0" borderId="0" xfId="0" applyFont="1" applyAlignment="1" applyProtection="1">
      <alignment vertical="center" wrapText="1"/>
    </xf>
    <xf numFmtId="0" fontId="38" fillId="0" borderId="0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42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14" fontId="2" fillId="0" borderId="0" xfId="0" applyNumberFormat="1" applyFont="1" applyAlignment="1" applyProtection="1">
      <alignment horizontal="left" vertical="center"/>
    </xf>
    <xf numFmtId="0" fontId="0" fillId="0" borderId="4" xfId="0" applyBorder="1" applyProtection="1"/>
    <xf numFmtId="0" fontId="14" fillId="0" borderId="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2" fillId="2" borderId="0" xfId="0" applyFont="1" applyFill="1" applyAlignment="1" applyProtection="1">
      <alignment horizontal="center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4" fillId="0" borderId="12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12" xfId="0" applyFont="1" applyBorder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34" fillId="0" borderId="25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opLeftCell="A52" zoomScale="90" zoomScaleNormal="90" workbookViewId="0">
      <selection activeCell="BE59" sqref="BE59"/>
    </sheetView>
  </sheetViews>
  <sheetFormatPr defaultColWidth="9.1640625" defaultRowHeight="11.25" x14ac:dyDescent="0.2"/>
  <cols>
    <col min="1" max="1" width="8.33203125" style="112" customWidth="1"/>
    <col min="2" max="2" width="1.6640625" style="112" customWidth="1"/>
    <col min="3" max="3" width="4.1640625" style="112" customWidth="1"/>
    <col min="4" max="31" width="2.6640625" style="112" customWidth="1"/>
    <col min="32" max="32" width="45.5" style="112" customWidth="1"/>
    <col min="33" max="33" width="2.6640625" style="112" customWidth="1"/>
    <col min="34" max="34" width="3.33203125" style="112" customWidth="1"/>
    <col min="35" max="35" width="31.6640625" style="112" customWidth="1"/>
    <col min="36" max="37" width="2.5" style="112" customWidth="1"/>
    <col min="38" max="38" width="8.33203125" style="112" customWidth="1"/>
    <col min="39" max="39" width="3.33203125" style="112" customWidth="1"/>
    <col min="40" max="40" width="13.33203125" style="112" customWidth="1"/>
    <col min="41" max="41" width="7.5" style="112" customWidth="1"/>
    <col min="42" max="42" width="4.1640625" style="112" customWidth="1"/>
    <col min="43" max="43" width="15.6640625" style="112" hidden="1" customWidth="1"/>
    <col min="44" max="44" width="13.6640625" style="112" customWidth="1"/>
    <col min="45" max="47" width="25.83203125" style="112" hidden="1" customWidth="1"/>
    <col min="48" max="49" width="21.6640625" style="112" hidden="1" customWidth="1"/>
    <col min="50" max="51" width="25" style="112" hidden="1" customWidth="1"/>
    <col min="52" max="52" width="21.6640625" style="112" hidden="1" customWidth="1"/>
    <col min="53" max="53" width="19.1640625" style="112" hidden="1" customWidth="1"/>
    <col min="54" max="54" width="25" style="112" hidden="1" customWidth="1"/>
    <col min="55" max="55" width="21.6640625" style="112" hidden="1" customWidth="1"/>
    <col min="56" max="56" width="19.1640625" style="112" hidden="1" customWidth="1"/>
    <col min="57" max="57" width="66.5" style="112" customWidth="1"/>
    <col min="58" max="70" width="9.1640625" style="112"/>
    <col min="71" max="91" width="9.33203125" style="112" hidden="1"/>
    <col min="92" max="16384" width="9.1640625" style="112"/>
  </cols>
  <sheetData>
    <row r="1" spans="1:74" x14ac:dyDescent="0.2">
      <c r="A1" s="220" t="s">
        <v>0</v>
      </c>
      <c r="AZ1" s="220" t="s">
        <v>1</v>
      </c>
      <c r="BA1" s="220" t="s">
        <v>2</v>
      </c>
      <c r="BB1" s="220" t="s">
        <v>1</v>
      </c>
      <c r="BT1" s="220" t="s">
        <v>3</v>
      </c>
      <c r="BU1" s="220" t="s">
        <v>3</v>
      </c>
      <c r="BV1" s="220" t="s">
        <v>4</v>
      </c>
    </row>
    <row r="2" spans="1:74" ht="36.950000000000003" customHeight="1" x14ac:dyDescent="0.2">
      <c r="AR2" s="306" t="s">
        <v>5</v>
      </c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3" t="s">
        <v>6</v>
      </c>
      <c r="BT2" s="13" t="s">
        <v>7</v>
      </c>
    </row>
    <row r="3" spans="1:74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2"/>
      <c r="BS3" s="13" t="s">
        <v>6</v>
      </c>
      <c r="BT3" s="13" t="s">
        <v>8</v>
      </c>
    </row>
    <row r="4" spans="1:74" ht="24.95" customHeight="1" x14ac:dyDescent="0.2">
      <c r="B4" s="42"/>
      <c r="D4" s="43" t="s">
        <v>9</v>
      </c>
      <c r="AR4" s="42"/>
      <c r="AS4" s="221" t="s">
        <v>10</v>
      </c>
      <c r="BS4" s="13" t="s">
        <v>11</v>
      </c>
    </row>
    <row r="5" spans="1:74" ht="12" customHeight="1" x14ac:dyDescent="0.2">
      <c r="B5" s="42"/>
      <c r="D5" s="222" t="s">
        <v>12</v>
      </c>
      <c r="K5" s="299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R5" s="42"/>
      <c r="BS5" s="13" t="s">
        <v>6</v>
      </c>
    </row>
    <row r="6" spans="1:74" ht="36.950000000000003" customHeight="1" x14ac:dyDescent="0.2">
      <c r="B6" s="42"/>
      <c r="D6" s="223" t="s">
        <v>14</v>
      </c>
      <c r="K6" s="301" t="s">
        <v>1290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R6" s="42"/>
      <c r="BS6" s="13" t="s">
        <v>6</v>
      </c>
    </row>
    <row r="7" spans="1:74" ht="12" customHeight="1" x14ac:dyDescent="0.2">
      <c r="B7" s="42"/>
      <c r="D7" s="111" t="s">
        <v>15</v>
      </c>
      <c r="K7" s="46"/>
      <c r="AK7" s="111" t="s">
        <v>16</v>
      </c>
      <c r="AN7" s="113" t="s">
        <v>1</v>
      </c>
      <c r="AR7" s="42"/>
      <c r="BS7" s="13" t="s">
        <v>6</v>
      </c>
    </row>
    <row r="8" spans="1:74" ht="12" customHeight="1" x14ac:dyDescent="0.2">
      <c r="B8" s="42"/>
      <c r="D8" s="111" t="s">
        <v>17</v>
      </c>
      <c r="K8" s="113" t="s">
        <v>18</v>
      </c>
      <c r="AK8" s="111" t="s">
        <v>19</v>
      </c>
      <c r="AN8" s="224">
        <v>44310</v>
      </c>
      <c r="AR8" s="42"/>
      <c r="BS8" s="13" t="s">
        <v>6</v>
      </c>
    </row>
    <row r="9" spans="1:74" ht="14.45" customHeight="1" x14ac:dyDescent="0.2">
      <c r="B9" s="42"/>
      <c r="AR9" s="42"/>
      <c r="BS9" s="13" t="s">
        <v>6</v>
      </c>
    </row>
    <row r="10" spans="1:74" ht="12" customHeight="1" x14ac:dyDescent="0.2">
      <c r="B10" s="42"/>
      <c r="D10" s="111" t="s">
        <v>20</v>
      </c>
      <c r="AK10" s="111" t="s">
        <v>21</v>
      </c>
      <c r="AN10" s="113" t="s">
        <v>1</v>
      </c>
      <c r="AR10" s="42"/>
      <c r="BS10" s="13" t="s">
        <v>6</v>
      </c>
    </row>
    <row r="11" spans="1:74" ht="18.399999999999999" customHeight="1" x14ac:dyDescent="0.2">
      <c r="B11" s="42"/>
      <c r="E11" s="113" t="s">
        <v>18</v>
      </c>
      <c r="AK11" s="111" t="s">
        <v>22</v>
      </c>
      <c r="AN11" s="113" t="s">
        <v>1</v>
      </c>
      <c r="AR11" s="42"/>
      <c r="BS11" s="13" t="s">
        <v>6</v>
      </c>
    </row>
    <row r="12" spans="1:74" ht="6.95" customHeight="1" x14ac:dyDescent="0.2">
      <c r="B12" s="42"/>
      <c r="AR12" s="42"/>
      <c r="BS12" s="13" t="s">
        <v>6</v>
      </c>
    </row>
    <row r="13" spans="1:74" ht="12" customHeight="1" x14ac:dyDescent="0.2">
      <c r="B13" s="42"/>
      <c r="D13" s="111" t="s">
        <v>23</v>
      </c>
      <c r="AK13" s="111" t="s">
        <v>21</v>
      </c>
      <c r="AN13" s="113" t="s">
        <v>1</v>
      </c>
      <c r="AR13" s="42"/>
      <c r="BS13" s="13" t="s">
        <v>6</v>
      </c>
    </row>
    <row r="14" spans="1:74" ht="12.75" x14ac:dyDescent="0.2">
      <c r="B14" s="42"/>
      <c r="E14" s="113" t="s">
        <v>18</v>
      </c>
      <c r="AK14" s="111" t="s">
        <v>22</v>
      </c>
      <c r="AN14" s="113" t="s">
        <v>1</v>
      </c>
      <c r="AR14" s="42"/>
      <c r="BS14" s="13" t="s">
        <v>6</v>
      </c>
    </row>
    <row r="15" spans="1:74" ht="6.95" customHeight="1" x14ac:dyDescent="0.2">
      <c r="B15" s="42"/>
      <c r="AR15" s="42"/>
      <c r="BS15" s="13" t="s">
        <v>3</v>
      </c>
    </row>
    <row r="16" spans="1:74" ht="12" customHeight="1" x14ac:dyDescent="0.2">
      <c r="B16" s="42"/>
      <c r="D16" s="111" t="s">
        <v>24</v>
      </c>
      <c r="AK16" s="111" t="s">
        <v>21</v>
      </c>
      <c r="AN16" s="113" t="s">
        <v>1</v>
      </c>
      <c r="AR16" s="42"/>
      <c r="BS16" s="13" t="s">
        <v>3</v>
      </c>
    </row>
    <row r="17" spans="1:71" ht="18.399999999999999" customHeight="1" x14ac:dyDescent="0.2">
      <c r="B17" s="42"/>
      <c r="E17" s="113" t="s">
        <v>18</v>
      </c>
      <c r="AK17" s="111" t="s">
        <v>22</v>
      </c>
      <c r="AN17" s="113" t="s">
        <v>1</v>
      </c>
      <c r="AR17" s="42"/>
      <c r="BS17" s="13" t="s">
        <v>25</v>
      </c>
    </row>
    <row r="18" spans="1:71" ht="6.95" customHeight="1" x14ac:dyDescent="0.2">
      <c r="B18" s="42"/>
      <c r="AR18" s="42"/>
      <c r="BS18" s="13" t="s">
        <v>6</v>
      </c>
    </row>
    <row r="19" spans="1:71" ht="12" customHeight="1" x14ac:dyDescent="0.2">
      <c r="B19" s="42"/>
      <c r="D19" s="111" t="s">
        <v>26</v>
      </c>
      <c r="AK19" s="111" t="s">
        <v>21</v>
      </c>
      <c r="AN19" s="113" t="s">
        <v>1</v>
      </c>
      <c r="AR19" s="42"/>
      <c r="BS19" s="13" t="s">
        <v>6</v>
      </c>
    </row>
    <row r="20" spans="1:71" ht="18.399999999999999" customHeight="1" x14ac:dyDescent="0.2">
      <c r="B20" s="42"/>
      <c r="E20" s="113" t="s">
        <v>18</v>
      </c>
      <c r="AK20" s="111" t="s">
        <v>22</v>
      </c>
      <c r="AN20" s="113" t="s">
        <v>1</v>
      </c>
      <c r="AR20" s="42"/>
      <c r="BS20" s="13" t="s">
        <v>25</v>
      </c>
    </row>
    <row r="21" spans="1:71" ht="6.95" customHeight="1" x14ac:dyDescent="0.2">
      <c r="B21" s="42"/>
      <c r="AR21" s="42"/>
    </row>
    <row r="22" spans="1:71" ht="12" customHeight="1" x14ac:dyDescent="0.2">
      <c r="B22" s="42"/>
      <c r="D22" s="111" t="s">
        <v>27</v>
      </c>
      <c r="AR22" s="42"/>
    </row>
    <row r="23" spans="1:71" ht="16.5" customHeight="1" x14ac:dyDescent="0.2">
      <c r="B23" s="42"/>
      <c r="E23" s="302" t="s">
        <v>1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R23" s="42"/>
    </row>
    <row r="24" spans="1:71" ht="6.95" customHeight="1" x14ac:dyDescent="0.2">
      <c r="B24" s="42"/>
      <c r="AR24" s="42"/>
    </row>
    <row r="25" spans="1:71" ht="6.95" customHeight="1" x14ac:dyDescent="0.2">
      <c r="B25" s="42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25"/>
      <c r="Z25" s="225"/>
      <c r="AA25" s="225"/>
      <c r="AB25" s="225"/>
      <c r="AC25" s="225"/>
      <c r="AD25" s="225"/>
      <c r="AE25" s="225"/>
      <c r="AF25" s="225"/>
      <c r="AG25" s="225"/>
      <c r="AH25" s="225"/>
      <c r="AI25" s="225"/>
      <c r="AJ25" s="225"/>
      <c r="AK25" s="225"/>
      <c r="AL25" s="225"/>
      <c r="AM25" s="225"/>
      <c r="AN25" s="225"/>
      <c r="AO25" s="225"/>
      <c r="AR25" s="42"/>
    </row>
    <row r="26" spans="1:71" s="5" customFormat="1" ht="25.9" customHeight="1" x14ac:dyDescent="0.2">
      <c r="A26" s="110"/>
      <c r="B26" s="4"/>
      <c r="C26" s="110"/>
      <c r="D26" s="226" t="s">
        <v>28</v>
      </c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303">
        <f>ROUND(AG94,2)</f>
        <v>0</v>
      </c>
      <c r="AL26" s="304"/>
      <c r="AM26" s="304"/>
      <c r="AN26" s="304"/>
      <c r="AO26" s="304"/>
      <c r="AP26" s="110"/>
      <c r="AQ26" s="110"/>
      <c r="AR26" s="4"/>
      <c r="BE26" s="110"/>
    </row>
    <row r="27" spans="1:71" s="5" customFormat="1" ht="6.95" customHeight="1" x14ac:dyDescent="0.2">
      <c r="A27" s="110"/>
      <c r="B27" s="4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4"/>
      <c r="BE27" s="110"/>
    </row>
    <row r="28" spans="1:71" s="5" customFormat="1" ht="12.75" x14ac:dyDescent="0.2">
      <c r="A28" s="110"/>
      <c r="B28" s="4"/>
      <c r="C28" s="110"/>
      <c r="D28" s="110"/>
      <c r="E28" s="110"/>
      <c r="F28" s="110"/>
      <c r="G28" s="110"/>
      <c r="H28" s="110"/>
      <c r="I28" s="110"/>
      <c r="J28" s="110"/>
      <c r="K28" s="110"/>
      <c r="L28" s="305" t="s">
        <v>29</v>
      </c>
      <c r="M28" s="305"/>
      <c r="N28" s="305"/>
      <c r="O28" s="305"/>
      <c r="P28" s="305"/>
      <c r="Q28" s="110"/>
      <c r="R28" s="110"/>
      <c r="S28" s="110"/>
      <c r="T28" s="110"/>
      <c r="U28" s="110"/>
      <c r="V28" s="110"/>
      <c r="W28" s="305" t="s">
        <v>30</v>
      </c>
      <c r="X28" s="305"/>
      <c r="Y28" s="305"/>
      <c r="Z28" s="305"/>
      <c r="AA28" s="305"/>
      <c r="AB28" s="305"/>
      <c r="AC28" s="305"/>
      <c r="AD28" s="305"/>
      <c r="AE28" s="305"/>
      <c r="AF28" s="110"/>
      <c r="AG28" s="110"/>
      <c r="AH28" s="110"/>
      <c r="AI28" s="110"/>
      <c r="AJ28" s="110"/>
      <c r="AK28" s="305" t="s">
        <v>31</v>
      </c>
      <c r="AL28" s="305"/>
      <c r="AM28" s="305"/>
      <c r="AN28" s="305"/>
      <c r="AO28" s="305"/>
      <c r="AP28" s="110"/>
      <c r="AQ28" s="110"/>
      <c r="AR28" s="4"/>
      <c r="BE28" s="110"/>
    </row>
    <row r="29" spans="1:71" s="227" customFormat="1" ht="14.45" customHeight="1" x14ac:dyDescent="0.2">
      <c r="B29" s="228"/>
      <c r="D29" s="111" t="s">
        <v>32</v>
      </c>
      <c r="F29" s="111" t="s">
        <v>33</v>
      </c>
      <c r="L29" s="296">
        <v>0.21</v>
      </c>
      <c r="M29" s="297"/>
      <c r="N29" s="297"/>
      <c r="O29" s="297"/>
      <c r="P29" s="297"/>
      <c r="W29" s="298">
        <f>ROUND(AZ94, 2)</f>
        <v>0</v>
      </c>
      <c r="X29" s="297"/>
      <c r="Y29" s="297"/>
      <c r="Z29" s="297"/>
      <c r="AA29" s="297"/>
      <c r="AB29" s="297"/>
      <c r="AC29" s="297"/>
      <c r="AD29" s="297"/>
      <c r="AE29" s="297"/>
      <c r="AK29" s="298">
        <f>ROUND(AV94, 2)</f>
        <v>0</v>
      </c>
      <c r="AL29" s="297"/>
      <c r="AM29" s="297"/>
      <c r="AN29" s="297"/>
      <c r="AO29" s="297"/>
      <c r="AR29" s="228"/>
    </row>
    <row r="30" spans="1:71" s="227" customFormat="1" ht="14.45" customHeight="1" x14ac:dyDescent="0.2">
      <c r="B30" s="228"/>
      <c r="F30" s="111" t="s">
        <v>34</v>
      </c>
      <c r="L30" s="296">
        <v>0.15</v>
      </c>
      <c r="M30" s="297"/>
      <c r="N30" s="297"/>
      <c r="O30" s="297"/>
      <c r="P30" s="297"/>
      <c r="W30" s="298">
        <f>ROUND(BA94, 2)</f>
        <v>0</v>
      </c>
      <c r="X30" s="297"/>
      <c r="Y30" s="297"/>
      <c r="Z30" s="297"/>
      <c r="AA30" s="297"/>
      <c r="AB30" s="297"/>
      <c r="AC30" s="297"/>
      <c r="AD30" s="297"/>
      <c r="AE30" s="297"/>
      <c r="AK30" s="298">
        <f>ROUND(AW94, 2)</f>
        <v>0</v>
      </c>
      <c r="AL30" s="297"/>
      <c r="AM30" s="297"/>
      <c r="AN30" s="297"/>
      <c r="AO30" s="297"/>
      <c r="AR30" s="228"/>
    </row>
    <row r="31" spans="1:71" s="227" customFormat="1" ht="14.45" hidden="1" customHeight="1" x14ac:dyDescent="0.2">
      <c r="B31" s="228"/>
      <c r="F31" s="111" t="s">
        <v>35</v>
      </c>
      <c r="L31" s="296">
        <v>0.21</v>
      </c>
      <c r="M31" s="297"/>
      <c r="N31" s="297"/>
      <c r="O31" s="297"/>
      <c r="P31" s="297"/>
      <c r="W31" s="298">
        <f>ROUND(BB94, 2)</f>
        <v>0</v>
      </c>
      <c r="X31" s="297"/>
      <c r="Y31" s="297"/>
      <c r="Z31" s="297"/>
      <c r="AA31" s="297"/>
      <c r="AB31" s="297"/>
      <c r="AC31" s="297"/>
      <c r="AD31" s="297"/>
      <c r="AE31" s="297"/>
      <c r="AK31" s="298">
        <v>0</v>
      </c>
      <c r="AL31" s="297"/>
      <c r="AM31" s="297"/>
      <c r="AN31" s="297"/>
      <c r="AO31" s="297"/>
      <c r="AR31" s="228"/>
    </row>
    <row r="32" spans="1:71" s="227" customFormat="1" ht="14.45" hidden="1" customHeight="1" x14ac:dyDescent="0.2">
      <c r="B32" s="228"/>
      <c r="F32" s="111" t="s">
        <v>36</v>
      </c>
      <c r="L32" s="296">
        <v>0.15</v>
      </c>
      <c r="M32" s="297"/>
      <c r="N32" s="297"/>
      <c r="O32" s="297"/>
      <c r="P32" s="297"/>
      <c r="W32" s="298">
        <f>ROUND(BC94, 2)</f>
        <v>0</v>
      </c>
      <c r="X32" s="297"/>
      <c r="Y32" s="297"/>
      <c r="Z32" s="297"/>
      <c r="AA32" s="297"/>
      <c r="AB32" s="297"/>
      <c r="AC32" s="297"/>
      <c r="AD32" s="297"/>
      <c r="AE32" s="297"/>
      <c r="AK32" s="298">
        <v>0</v>
      </c>
      <c r="AL32" s="297"/>
      <c r="AM32" s="297"/>
      <c r="AN32" s="297"/>
      <c r="AO32" s="297"/>
      <c r="AR32" s="228"/>
    </row>
    <row r="33" spans="1:57" s="227" customFormat="1" ht="14.45" hidden="1" customHeight="1" x14ac:dyDescent="0.2">
      <c r="B33" s="228"/>
      <c r="F33" s="111" t="s">
        <v>37</v>
      </c>
      <c r="L33" s="296">
        <v>0</v>
      </c>
      <c r="M33" s="297"/>
      <c r="N33" s="297"/>
      <c r="O33" s="297"/>
      <c r="P33" s="297"/>
      <c r="W33" s="298">
        <f>ROUND(BD94, 2)</f>
        <v>0</v>
      </c>
      <c r="X33" s="297"/>
      <c r="Y33" s="297"/>
      <c r="Z33" s="297"/>
      <c r="AA33" s="297"/>
      <c r="AB33" s="297"/>
      <c r="AC33" s="297"/>
      <c r="AD33" s="297"/>
      <c r="AE33" s="297"/>
      <c r="AK33" s="298">
        <v>0</v>
      </c>
      <c r="AL33" s="297"/>
      <c r="AM33" s="297"/>
      <c r="AN33" s="297"/>
      <c r="AO33" s="297"/>
      <c r="AR33" s="228"/>
    </row>
    <row r="34" spans="1:57" s="5" customFormat="1" ht="6.95" customHeight="1" x14ac:dyDescent="0.2">
      <c r="A34" s="110"/>
      <c r="B34" s="4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4"/>
      <c r="BE34" s="110"/>
    </row>
    <row r="35" spans="1:57" s="5" customFormat="1" ht="25.9" customHeight="1" x14ac:dyDescent="0.2">
      <c r="A35" s="110"/>
      <c r="B35" s="4"/>
      <c r="C35" s="229"/>
      <c r="D35" s="230" t="s">
        <v>38</v>
      </c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2" t="s">
        <v>39</v>
      </c>
      <c r="U35" s="231"/>
      <c r="V35" s="231"/>
      <c r="W35" s="231"/>
      <c r="X35" s="310" t="s">
        <v>40</v>
      </c>
      <c r="Y35" s="308"/>
      <c r="Z35" s="308"/>
      <c r="AA35" s="308"/>
      <c r="AB35" s="308"/>
      <c r="AC35" s="231"/>
      <c r="AD35" s="231"/>
      <c r="AE35" s="231"/>
      <c r="AF35" s="231"/>
      <c r="AG35" s="231"/>
      <c r="AH35" s="231"/>
      <c r="AI35" s="231"/>
      <c r="AJ35" s="231"/>
      <c r="AK35" s="307">
        <f>SUM(AK26:AK33)</f>
        <v>0</v>
      </c>
      <c r="AL35" s="308"/>
      <c r="AM35" s="308"/>
      <c r="AN35" s="308"/>
      <c r="AO35" s="309"/>
      <c r="AP35" s="229"/>
      <c r="AQ35" s="229"/>
      <c r="AR35" s="4"/>
      <c r="BE35" s="110"/>
    </row>
    <row r="36" spans="1:57" s="5" customFormat="1" ht="6.95" customHeight="1" x14ac:dyDescent="0.2">
      <c r="A36" s="110"/>
      <c r="B36" s="4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4"/>
      <c r="BE36" s="110"/>
    </row>
    <row r="37" spans="1:57" s="5" customFormat="1" ht="14.45" customHeight="1" x14ac:dyDescent="0.2">
      <c r="A37" s="110"/>
      <c r="B37" s="4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4"/>
      <c r="BE37" s="110"/>
    </row>
    <row r="38" spans="1:57" ht="14.45" customHeight="1" x14ac:dyDescent="0.2">
      <c r="B38" s="42"/>
      <c r="AR38" s="42"/>
    </row>
    <row r="39" spans="1:57" ht="14.45" customHeight="1" x14ac:dyDescent="0.2">
      <c r="B39" s="42"/>
      <c r="AR39" s="42"/>
    </row>
    <row r="40" spans="1:57" ht="14.45" customHeight="1" x14ac:dyDescent="0.2">
      <c r="B40" s="42"/>
      <c r="AR40" s="42"/>
    </row>
    <row r="41" spans="1:57" ht="14.45" customHeight="1" x14ac:dyDescent="0.2">
      <c r="B41" s="42"/>
      <c r="AR41" s="42"/>
    </row>
    <row r="42" spans="1:57" ht="14.45" customHeight="1" x14ac:dyDescent="0.2">
      <c r="B42" s="42"/>
      <c r="AR42" s="42"/>
    </row>
    <row r="43" spans="1:57" ht="14.45" customHeight="1" x14ac:dyDescent="0.2">
      <c r="B43" s="42"/>
      <c r="AR43" s="42"/>
    </row>
    <row r="44" spans="1:57" ht="14.45" customHeight="1" x14ac:dyDescent="0.2">
      <c r="B44" s="42"/>
      <c r="AR44" s="42"/>
    </row>
    <row r="45" spans="1:57" ht="14.45" customHeight="1" x14ac:dyDescent="0.2">
      <c r="B45" s="42"/>
      <c r="AR45" s="42"/>
    </row>
    <row r="46" spans="1:57" ht="14.45" customHeight="1" x14ac:dyDescent="0.2">
      <c r="B46" s="42"/>
      <c r="AR46" s="42"/>
    </row>
    <row r="47" spans="1:57" ht="14.45" customHeight="1" x14ac:dyDescent="0.2">
      <c r="B47" s="42"/>
      <c r="AR47" s="42"/>
    </row>
    <row r="48" spans="1:57" ht="14.45" customHeight="1" x14ac:dyDescent="0.2">
      <c r="B48" s="42"/>
      <c r="AR48" s="42"/>
    </row>
    <row r="49" spans="1:57" s="5" customFormat="1" ht="14.45" customHeight="1" x14ac:dyDescent="0.2">
      <c r="B49" s="45"/>
      <c r="D49" s="67" t="s">
        <v>41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42</v>
      </c>
      <c r="AI49" s="68"/>
      <c r="AJ49" s="68"/>
      <c r="AK49" s="68"/>
      <c r="AL49" s="68"/>
      <c r="AM49" s="68"/>
      <c r="AN49" s="68"/>
      <c r="AO49" s="68"/>
      <c r="AR49" s="45"/>
    </row>
    <row r="50" spans="1:57" x14ac:dyDescent="0.2">
      <c r="B50" s="42"/>
      <c r="AR50" s="42"/>
    </row>
    <row r="51" spans="1:57" x14ac:dyDescent="0.2">
      <c r="B51" s="42"/>
      <c r="AR51" s="42"/>
    </row>
    <row r="52" spans="1:57" x14ac:dyDescent="0.2">
      <c r="B52" s="42"/>
      <c r="AR52" s="42"/>
    </row>
    <row r="53" spans="1:57" x14ac:dyDescent="0.2">
      <c r="B53" s="42"/>
      <c r="AR53" s="42"/>
    </row>
    <row r="54" spans="1:57" x14ac:dyDescent="0.2">
      <c r="B54" s="42"/>
      <c r="AR54" s="42"/>
    </row>
    <row r="55" spans="1:57" x14ac:dyDescent="0.2">
      <c r="B55" s="42"/>
      <c r="AR55" s="42"/>
    </row>
    <row r="56" spans="1:57" x14ac:dyDescent="0.2">
      <c r="B56" s="42"/>
      <c r="AR56" s="42"/>
    </row>
    <row r="57" spans="1:57" x14ac:dyDescent="0.2">
      <c r="B57" s="42"/>
      <c r="AR57" s="42"/>
    </row>
    <row r="58" spans="1:57" x14ac:dyDescent="0.2">
      <c r="B58" s="42"/>
      <c r="AR58" s="42"/>
    </row>
    <row r="59" spans="1:57" x14ac:dyDescent="0.2">
      <c r="B59" s="42"/>
      <c r="AR59" s="42"/>
    </row>
    <row r="60" spans="1:57" s="5" customFormat="1" ht="12.75" x14ac:dyDescent="0.2">
      <c r="A60" s="110"/>
      <c r="B60" s="4"/>
      <c r="C60" s="110"/>
      <c r="D60" s="69" t="s">
        <v>43</v>
      </c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69" t="s">
        <v>44</v>
      </c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69" t="s">
        <v>43</v>
      </c>
      <c r="AI60" s="70"/>
      <c r="AJ60" s="70"/>
      <c r="AK60" s="70"/>
      <c r="AL60" s="70"/>
      <c r="AM60" s="69" t="s">
        <v>44</v>
      </c>
      <c r="AN60" s="70"/>
      <c r="AO60" s="70"/>
      <c r="AP60" s="110"/>
      <c r="AQ60" s="110"/>
      <c r="AR60" s="4"/>
      <c r="BE60" s="110"/>
    </row>
    <row r="61" spans="1:57" x14ac:dyDescent="0.2">
      <c r="B61" s="42"/>
      <c r="AR61" s="42"/>
    </row>
    <row r="62" spans="1:57" x14ac:dyDescent="0.2">
      <c r="B62" s="42"/>
      <c r="AR62" s="42"/>
    </row>
    <row r="63" spans="1:57" x14ac:dyDescent="0.2">
      <c r="B63" s="42"/>
      <c r="AR63" s="42"/>
    </row>
    <row r="64" spans="1:57" s="5" customFormat="1" ht="12.75" x14ac:dyDescent="0.2">
      <c r="A64" s="110"/>
      <c r="B64" s="4"/>
      <c r="C64" s="110"/>
      <c r="D64" s="67" t="s">
        <v>45</v>
      </c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67" t="s">
        <v>46</v>
      </c>
      <c r="AI64" s="73"/>
      <c r="AJ64" s="73"/>
      <c r="AK64" s="73"/>
      <c r="AL64" s="73"/>
      <c r="AM64" s="73"/>
      <c r="AN64" s="73"/>
      <c r="AO64" s="73"/>
      <c r="AP64" s="110"/>
      <c r="AQ64" s="110"/>
      <c r="AR64" s="4"/>
      <c r="BE64" s="110"/>
    </row>
    <row r="65" spans="1:57" x14ac:dyDescent="0.2">
      <c r="B65" s="42"/>
      <c r="AR65" s="42"/>
    </row>
    <row r="66" spans="1:57" x14ac:dyDescent="0.2">
      <c r="B66" s="42"/>
      <c r="AR66" s="42"/>
    </row>
    <row r="67" spans="1:57" x14ac:dyDescent="0.2">
      <c r="B67" s="42"/>
      <c r="AR67" s="42"/>
    </row>
    <row r="68" spans="1:57" x14ac:dyDescent="0.2">
      <c r="B68" s="42"/>
      <c r="AR68" s="42"/>
    </row>
    <row r="69" spans="1:57" x14ac:dyDescent="0.2">
      <c r="B69" s="42"/>
      <c r="AR69" s="42"/>
    </row>
    <row r="70" spans="1:57" x14ac:dyDescent="0.2">
      <c r="B70" s="42"/>
      <c r="AR70" s="42"/>
    </row>
    <row r="71" spans="1:57" x14ac:dyDescent="0.2">
      <c r="B71" s="42"/>
      <c r="AR71" s="42"/>
    </row>
    <row r="72" spans="1:57" x14ac:dyDescent="0.2">
      <c r="B72" s="42"/>
      <c r="AR72" s="42"/>
    </row>
    <row r="73" spans="1:57" x14ac:dyDescent="0.2">
      <c r="B73" s="42"/>
      <c r="AR73" s="42"/>
    </row>
    <row r="74" spans="1:57" x14ac:dyDescent="0.2">
      <c r="B74" s="42"/>
      <c r="AR74" s="42"/>
    </row>
    <row r="75" spans="1:57" s="5" customFormat="1" ht="12.75" x14ac:dyDescent="0.2">
      <c r="A75" s="110"/>
      <c r="B75" s="4"/>
      <c r="C75" s="110"/>
      <c r="D75" s="69" t="s">
        <v>43</v>
      </c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69" t="s">
        <v>44</v>
      </c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69" t="s">
        <v>43</v>
      </c>
      <c r="AI75" s="70"/>
      <c r="AJ75" s="70"/>
      <c r="AK75" s="70"/>
      <c r="AL75" s="70"/>
      <c r="AM75" s="69" t="s">
        <v>44</v>
      </c>
      <c r="AN75" s="70"/>
      <c r="AO75" s="70"/>
      <c r="AP75" s="110"/>
      <c r="AQ75" s="110"/>
      <c r="AR75" s="4"/>
      <c r="BE75" s="110"/>
    </row>
    <row r="76" spans="1:57" s="5" customFormat="1" x14ac:dyDescent="0.2">
      <c r="A76" s="110"/>
      <c r="B76" s="4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4"/>
      <c r="BE76" s="110"/>
    </row>
    <row r="77" spans="1:57" s="5" customFormat="1" ht="6.95" customHeight="1" x14ac:dyDescent="0.2">
      <c r="A77" s="110"/>
      <c r="B77" s="2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4"/>
      <c r="BE77" s="110"/>
    </row>
    <row r="81" spans="1:91" s="5" customFormat="1" ht="6.95" customHeight="1" x14ac:dyDescent="0.2">
      <c r="A81" s="110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"/>
      <c r="BE81" s="110"/>
    </row>
    <row r="82" spans="1:91" s="5" customFormat="1" ht="24.95" customHeight="1" x14ac:dyDescent="0.2">
      <c r="A82" s="110"/>
      <c r="B82" s="4"/>
      <c r="C82" s="43" t="s">
        <v>47</v>
      </c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4"/>
      <c r="BE82" s="110"/>
    </row>
    <row r="83" spans="1:91" s="5" customFormat="1" ht="6.95" customHeight="1" x14ac:dyDescent="0.2">
      <c r="A83" s="110"/>
      <c r="B83" s="4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4"/>
      <c r="BE83" s="110"/>
    </row>
    <row r="84" spans="1:91" s="233" customFormat="1" ht="12" customHeight="1" x14ac:dyDescent="0.2">
      <c r="B84" s="234"/>
      <c r="C84" s="111" t="s">
        <v>12</v>
      </c>
      <c r="L84" s="233">
        <f>K5</f>
        <v>0</v>
      </c>
      <c r="AR84" s="234"/>
    </row>
    <row r="85" spans="1:91" s="235" customFormat="1" ht="36.950000000000003" customHeight="1" x14ac:dyDescent="0.2">
      <c r="B85" s="236"/>
      <c r="C85" s="237" t="s">
        <v>14</v>
      </c>
      <c r="L85" s="277" t="str">
        <f>K6</f>
        <v>REKONSTRUKCE A DOSTAVBA BUDOV FF UK - DVD</v>
      </c>
      <c r="M85" s="278"/>
      <c r="N85" s="278"/>
      <c r="O85" s="278"/>
      <c r="P85" s="278"/>
      <c r="Q85" s="278"/>
      <c r="R85" s="278"/>
      <c r="S85" s="278"/>
      <c r="T85" s="278"/>
      <c r="U85" s="278"/>
      <c r="V85" s="278"/>
      <c r="W85" s="278"/>
      <c r="X85" s="278"/>
      <c r="Y85" s="278"/>
      <c r="Z85" s="278"/>
      <c r="AA85" s="278"/>
      <c r="AB85" s="278"/>
      <c r="AC85" s="278"/>
      <c r="AD85" s="278"/>
      <c r="AE85" s="278"/>
      <c r="AF85" s="278"/>
      <c r="AG85" s="278"/>
      <c r="AH85" s="278"/>
      <c r="AI85" s="278"/>
      <c r="AJ85" s="278"/>
      <c r="AK85" s="278"/>
      <c r="AL85" s="278"/>
      <c r="AM85" s="278"/>
      <c r="AN85" s="278"/>
      <c r="AO85" s="278"/>
      <c r="AR85" s="236"/>
    </row>
    <row r="86" spans="1:91" s="5" customFormat="1" ht="6.95" customHeight="1" x14ac:dyDescent="0.2">
      <c r="A86" s="110"/>
      <c r="B86" s="4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4"/>
      <c r="BE86" s="110"/>
    </row>
    <row r="87" spans="1:91" s="5" customFormat="1" ht="12" customHeight="1" x14ac:dyDescent="0.2">
      <c r="A87" s="110"/>
      <c r="B87" s="4"/>
      <c r="C87" s="111" t="s">
        <v>17</v>
      </c>
      <c r="D87" s="110"/>
      <c r="E87" s="110"/>
      <c r="F87" s="110"/>
      <c r="G87" s="110"/>
      <c r="H87" s="110"/>
      <c r="I87" s="110"/>
      <c r="J87" s="110"/>
      <c r="K87" s="110"/>
      <c r="L87" s="238" t="str">
        <f>IF(K8="","",K8)</f>
        <v xml:space="preserve"> </v>
      </c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1" t="s">
        <v>19</v>
      </c>
      <c r="AJ87" s="110"/>
      <c r="AK87" s="110"/>
      <c r="AL87" s="110"/>
      <c r="AM87" s="279">
        <f>IF(AN8= "","",AN8)</f>
        <v>44310</v>
      </c>
      <c r="AN87" s="279"/>
      <c r="AO87" s="110"/>
      <c r="AP87" s="110"/>
      <c r="AQ87" s="110"/>
      <c r="AR87" s="4"/>
      <c r="BE87" s="110"/>
    </row>
    <row r="88" spans="1:91" s="5" customFormat="1" ht="6.95" customHeight="1" x14ac:dyDescent="0.2">
      <c r="A88" s="110"/>
      <c r="B88" s="4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4"/>
      <c r="BE88" s="110"/>
    </row>
    <row r="89" spans="1:91" s="5" customFormat="1" ht="15.2" customHeight="1" x14ac:dyDescent="0.2">
      <c r="A89" s="110"/>
      <c r="B89" s="4"/>
      <c r="C89" s="111" t="s">
        <v>20</v>
      </c>
      <c r="D89" s="110"/>
      <c r="E89" s="110"/>
      <c r="F89" s="110"/>
      <c r="G89" s="110"/>
      <c r="H89" s="110"/>
      <c r="I89" s="110"/>
      <c r="J89" s="110"/>
      <c r="K89" s="110"/>
      <c r="L89" s="233" t="str">
        <f>IF(E11= "","",E11)</f>
        <v xml:space="preserve"> </v>
      </c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1" t="s">
        <v>24</v>
      </c>
      <c r="AJ89" s="110"/>
      <c r="AK89" s="110"/>
      <c r="AL89" s="110"/>
      <c r="AM89" s="280" t="str">
        <f>IF(E17="","",E17)</f>
        <v xml:space="preserve"> </v>
      </c>
      <c r="AN89" s="281"/>
      <c r="AO89" s="281"/>
      <c r="AP89" s="281"/>
      <c r="AQ89" s="110"/>
      <c r="AR89" s="4"/>
      <c r="AS89" s="282" t="s">
        <v>48</v>
      </c>
      <c r="AT89" s="283"/>
      <c r="AU89" s="101"/>
      <c r="AV89" s="101"/>
      <c r="AW89" s="101"/>
      <c r="AX89" s="101"/>
      <c r="AY89" s="101"/>
      <c r="AZ89" s="101"/>
      <c r="BA89" s="101"/>
      <c r="BB89" s="101"/>
      <c r="BC89" s="101"/>
      <c r="BD89" s="239"/>
      <c r="BE89" s="110"/>
    </row>
    <row r="90" spans="1:91" s="5" customFormat="1" ht="15.2" customHeight="1" x14ac:dyDescent="0.2">
      <c r="A90" s="110"/>
      <c r="B90" s="4"/>
      <c r="C90" s="111" t="s">
        <v>23</v>
      </c>
      <c r="D90" s="110"/>
      <c r="E90" s="110"/>
      <c r="F90" s="110"/>
      <c r="G90" s="110"/>
      <c r="H90" s="110"/>
      <c r="I90" s="110"/>
      <c r="J90" s="110"/>
      <c r="K90" s="110"/>
      <c r="L90" s="233" t="str">
        <f>IF(E14="","",E14)</f>
        <v xml:space="preserve"> </v>
      </c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1" t="s">
        <v>26</v>
      </c>
      <c r="AJ90" s="110"/>
      <c r="AK90" s="110"/>
      <c r="AL90" s="110"/>
      <c r="AM90" s="280" t="str">
        <f>IF(E20="","",E20)</f>
        <v xml:space="preserve"> </v>
      </c>
      <c r="AN90" s="281"/>
      <c r="AO90" s="281"/>
      <c r="AP90" s="281"/>
      <c r="AQ90" s="110"/>
      <c r="AR90" s="4"/>
      <c r="AS90" s="284"/>
      <c r="AT90" s="285"/>
      <c r="AU90" s="187"/>
      <c r="AV90" s="187"/>
      <c r="AW90" s="187"/>
      <c r="AX90" s="187"/>
      <c r="AY90" s="187"/>
      <c r="AZ90" s="187"/>
      <c r="BA90" s="187"/>
      <c r="BB90" s="187"/>
      <c r="BC90" s="187"/>
      <c r="BD90" s="18"/>
      <c r="BE90" s="110"/>
    </row>
    <row r="91" spans="1:91" s="5" customFormat="1" ht="10.9" customHeight="1" x14ac:dyDescent="0.2">
      <c r="A91" s="110"/>
      <c r="B91" s="4"/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4"/>
      <c r="AS91" s="284"/>
      <c r="AT91" s="285"/>
      <c r="AU91" s="187"/>
      <c r="AV91" s="187"/>
      <c r="AW91" s="187"/>
      <c r="AX91" s="187"/>
      <c r="AY91" s="187"/>
      <c r="AZ91" s="187"/>
      <c r="BA91" s="187"/>
      <c r="BB91" s="187"/>
      <c r="BC91" s="187"/>
      <c r="BD91" s="18"/>
      <c r="BE91" s="110"/>
    </row>
    <row r="92" spans="1:91" s="5" customFormat="1" ht="29.25" customHeight="1" x14ac:dyDescent="0.2">
      <c r="A92" s="110"/>
      <c r="B92" s="4"/>
      <c r="C92" s="286" t="s">
        <v>49</v>
      </c>
      <c r="D92" s="287"/>
      <c r="E92" s="287"/>
      <c r="F92" s="287"/>
      <c r="G92" s="287"/>
      <c r="H92" s="62"/>
      <c r="I92" s="288" t="s">
        <v>50</v>
      </c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90" t="s">
        <v>51</v>
      </c>
      <c r="AH92" s="287"/>
      <c r="AI92" s="287"/>
      <c r="AJ92" s="287"/>
      <c r="AK92" s="287"/>
      <c r="AL92" s="287"/>
      <c r="AM92" s="287"/>
      <c r="AN92" s="288" t="s">
        <v>52</v>
      </c>
      <c r="AO92" s="287"/>
      <c r="AP92" s="289"/>
      <c r="AQ92" s="240" t="s">
        <v>53</v>
      </c>
      <c r="AR92" s="4"/>
      <c r="AS92" s="90" t="s">
        <v>54</v>
      </c>
      <c r="AT92" s="91" t="s">
        <v>55</v>
      </c>
      <c r="AU92" s="91" t="s">
        <v>56</v>
      </c>
      <c r="AV92" s="91" t="s">
        <v>57</v>
      </c>
      <c r="AW92" s="91" t="s">
        <v>58</v>
      </c>
      <c r="AX92" s="91" t="s">
        <v>59</v>
      </c>
      <c r="AY92" s="91" t="s">
        <v>60</v>
      </c>
      <c r="AZ92" s="91" t="s">
        <v>61</v>
      </c>
      <c r="BA92" s="91" t="s">
        <v>62</v>
      </c>
      <c r="BB92" s="91" t="s">
        <v>63</v>
      </c>
      <c r="BC92" s="91" t="s">
        <v>64</v>
      </c>
      <c r="BD92" s="92" t="s">
        <v>65</v>
      </c>
      <c r="BE92" s="110"/>
    </row>
    <row r="93" spans="1:91" s="5" customFormat="1" ht="10.9" customHeight="1" x14ac:dyDescent="0.2">
      <c r="A93" s="110"/>
      <c r="B93" s="4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4"/>
      <c r="AS93" s="100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241"/>
      <c r="BE93" s="110"/>
    </row>
    <row r="94" spans="1:91" s="242" customFormat="1" ht="32.450000000000003" customHeight="1" x14ac:dyDescent="0.2">
      <c r="B94" s="243"/>
      <c r="C94" s="98" t="s">
        <v>66</v>
      </c>
      <c r="D94" s="244"/>
      <c r="E94" s="244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/>
      <c r="AF94" s="244"/>
      <c r="AG94" s="294">
        <f>ROUND(SUM(AG95:AG100),2)</f>
        <v>0</v>
      </c>
      <c r="AH94" s="294"/>
      <c r="AI94" s="294"/>
      <c r="AJ94" s="294"/>
      <c r="AK94" s="294"/>
      <c r="AL94" s="294"/>
      <c r="AM94" s="294"/>
      <c r="AN94" s="295">
        <f t="shared" ref="AN94:AN100" si="0">SUM(AG94,AT94)</f>
        <v>0</v>
      </c>
      <c r="AO94" s="295"/>
      <c r="AP94" s="295"/>
      <c r="AQ94" s="245" t="s">
        <v>1</v>
      </c>
      <c r="AR94" s="243"/>
      <c r="AS94" s="246">
        <f>ROUND(SUM(AS95:AS100),2)</f>
        <v>0</v>
      </c>
      <c r="AT94" s="247">
        <f t="shared" ref="AT94:AT100" si="1">ROUND(SUM(AV94:AW94),2)</f>
        <v>0</v>
      </c>
      <c r="AU94" s="248">
        <f>ROUND(SUM(AU95:AU100),5)</f>
        <v>0</v>
      </c>
      <c r="AV94" s="247">
        <f>ROUND(AZ94*L29,2)</f>
        <v>0</v>
      </c>
      <c r="AW94" s="247">
        <f>ROUND(BA94*L30,2)</f>
        <v>0</v>
      </c>
      <c r="AX94" s="247">
        <f>ROUND(BB94*L29,2)</f>
        <v>0</v>
      </c>
      <c r="AY94" s="247">
        <f>ROUND(BC94*L30,2)</f>
        <v>0</v>
      </c>
      <c r="AZ94" s="247">
        <f>ROUND(SUM(AZ95:AZ100),2)</f>
        <v>0</v>
      </c>
      <c r="BA94" s="247">
        <f>ROUND(SUM(BA95:BA100),2)</f>
        <v>0</v>
      </c>
      <c r="BB94" s="247">
        <f>ROUND(SUM(BB95:BB100),2)</f>
        <v>0</v>
      </c>
      <c r="BC94" s="247">
        <f>ROUND(SUM(BC95:BC100),2)</f>
        <v>0</v>
      </c>
      <c r="BD94" s="249">
        <f>ROUND(SUM(BD95:BD100),2)</f>
        <v>0</v>
      </c>
      <c r="BS94" s="250" t="s">
        <v>67</v>
      </c>
      <c r="BT94" s="250" t="s">
        <v>68</v>
      </c>
      <c r="BU94" s="251" t="s">
        <v>69</v>
      </c>
      <c r="BV94" s="250" t="s">
        <v>13</v>
      </c>
      <c r="BW94" s="250" t="s">
        <v>4</v>
      </c>
      <c r="BX94" s="250" t="s">
        <v>70</v>
      </c>
      <c r="CL94" s="250" t="s">
        <v>1</v>
      </c>
    </row>
    <row r="95" spans="1:91" s="261" customFormat="1" ht="22.5" x14ac:dyDescent="0.2">
      <c r="A95" s="252" t="s">
        <v>71</v>
      </c>
      <c r="B95" s="253"/>
      <c r="C95" s="254"/>
      <c r="D95" s="293" t="s">
        <v>72</v>
      </c>
      <c r="E95" s="293"/>
      <c r="F95" s="293"/>
      <c r="G95" s="293"/>
      <c r="H95" s="293"/>
      <c r="I95" s="255"/>
      <c r="J95" s="293" t="s">
        <v>1148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91">
        <f>'10 - RESTAURÁTORSKÝ ZÁMĚR...'!J30</f>
        <v>0</v>
      </c>
      <c r="AH95" s="292"/>
      <c r="AI95" s="292"/>
      <c r="AJ95" s="292"/>
      <c r="AK95" s="292"/>
      <c r="AL95" s="292"/>
      <c r="AM95" s="292"/>
      <c r="AN95" s="291">
        <f t="shared" si="0"/>
        <v>0</v>
      </c>
      <c r="AO95" s="292"/>
      <c r="AP95" s="292"/>
      <c r="AQ95" s="256" t="s">
        <v>73</v>
      </c>
      <c r="AR95" s="253"/>
      <c r="AS95" s="257">
        <v>0</v>
      </c>
      <c r="AT95" s="258">
        <f t="shared" si="1"/>
        <v>0</v>
      </c>
      <c r="AU95" s="259">
        <f>'10 - RESTAURÁTORSKÝ ZÁMĚR...'!P139</f>
        <v>0</v>
      </c>
      <c r="AV95" s="258">
        <f>'10 - RESTAURÁTORSKÝ ZÁMĚR...'!J33</f>
        <v>0</v>
      </c>
      <c r="AW95" s="258">
        <f>'10 - RESTAURÁTORSKÝ ZÁMĚR...'!J34</f>
        <v>0</v>
      </c>
      <c r="AX95" s="258">
        <f>'10 - RESTAURÁTORSKÝ ZÁMĚR...'!J35</f>
        <v>0</v>
      </c>
      <c r="AY95" s="258">
        <f>'10 - RESTAURÁTORSKÝ ZÁMĚR...'!J36</f>
        <v>0</v>
      </c>
      <c r="AZ95" s="258">
        <f>'10 - RESTAURÁTORSKÝ ZÁMĚR...'!F33</f>
        <v>0</v>
      </c>
      <c r="BA95" s="258">
        <f>'10 - RESTAURÁTORSKÝ ZÁMĚR...'!F34</f>
        <v>0</v>
      </c>
      <c r="BB95" s="258">
        <f>'10 - RESTAURÁTORSKÝ ZÁMĚR...'!F35</f>
        <v>0</v>
      </c>
      <c r="BC95" s="258">
        <f>'10 - RESTAURÁTORSKÝ ZÁMĚR...'!F36</f>
        <v>0</v>
      </c>
      <c r="BD95" s="260">
        <f>'10 - RESTAURÁTORSKÝ ZÁMĚR...'!F37</f>
        <v>0</v>
      </c>
      <c r="BT95" s="262" t="s">
        <v>74</v>
      </c>
      <c r="BV95" s="262" t="s">
        <v>13</v>
      </c>
      <c r="BW95" s="262" t="s">
        <v>75</v>
      </c>
      <c r="BX95" s="262" t="s">
        <v>4</v>
      </c>
      <c r="CL95" s="262" t="s">
        <v>1</v>
      </c>
      <c r="CM95" s="262" t="s">
        <v>76</v>
      </c>
    </row>
    <row r="96" spans="1:91" s="261" customFormat="1" ht="22.5" x14ac:dyDescent="0.2">
      <c r="A96" s="252" t="s">
        <v>71</v>
      </c>
      <c r="B96" s="253"/>
      <c r="C96" s="254"/>
      <c r="D96" s="293" t="s">
        <v>77</v>
      </c>
      <c r="E96" s="293"/>
      <c r="F96" s="293"/>
      <c r="G96" s="293"/>
      <c r="H96" s="293"/>
      <c r="I96" s="255"/>
      <c r="J96" s="293" t="s">
        <v>1150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91">
        <f>'11 - RESTAURÁTORSKÝ ZÁMĚR...'!J30</f>
        <v>0</v>
      </c>
      <c r="AH96" s="292"/>
      <c r="AI96" s="292"/>
      <c r="AJ96" s="292"/>
      <c r="AK96" s="292"/>
      <c r="AL96" s="292"/>
      <c r="AM96" s="292"/>
      <c r="AN96" s="291">
        <f t="shared" si="0"/>
        <v>0</v>
      </c>
      <c r="AO96" s="292"/>
      <c r="AP96" s="292"/>
      <c r="AQ96" s="256" t="s">
        <v>73</v>
      </c>
      <c r="AR96" s="253"/>
      <c r="AS96" s="257">
        <v>0</v>
      </c>
      <c r="AT96" s="258">
        <f t="shared" si="1"/>
        <v>0</v>
      </c>
      <c r="AU96" s="259">
        <f>'11 - RESTAURÁTORSKÝ ZÁMĚR...'!P145</f>
        <v>0</v>
      </c>
      <c r="AV96" s="258">
        <f>'11 - RESTAURÁTORSKÝ ZÁMĚR...'!J33</f>
        <v>0</v>
      </c>
      <c r="AW96" s="258">
        <f>'11 - RESTAURÁTORSKÝ ZÁMĚR...'!J34</f>
        <v>0</v>
      </c>
      <c r="AX96" s="258">
        <f>'11 - RESTAURÁTORSKÝ ZÁMĚR...'!J35</f>
        <v>0</v>
      </c>
      <c r="AY96" s="258">
        <f>'11 - RESTAURÁTORSKÝ ZÁMĚR...'!J36</f>
        <v>0</v>
      </c>
      <c r="AZ96" s="258">
        <f>'11 - RESTAURÁTORSKÝ ZÁMĚR...'!F33</f>
        <v>0</v>
      </c>
      <c r="BA96" s="258">
        <f>'11 - RESTAURÁTORSKÝ ZÁMĚR...'!F34</f>
        <v>0</v>
      </c>
      <c r="BB96" s="258">
        <f>'11 - RESTAURÁTORSKÝ ZÁMĚR...'!F35</f>
        <v>0</v>
      </c>
      <c r="BC96" s="258">
        <f>'11 - RESTAURÁTORSKÝ ZÁMĚR...'!F36</f>
        <v>0</v>
      </c>
      <c r="BD96" s="260">
        <f>'11 - RESTAURÁTORSKÝ ZÁMĚR...'!F37</f>
        <v>0</v>
      </c>
      <c r="BT96" s="262" t="s">
        <v>74</v>
      </c>
      <c r="BV96" s="262" t="s">
        <v>13</v>
      </c>
      <c r="BW96" s="262" t="s">
        <v>78</v>
      </c>
      <c r="BX96" s="262" t="s">
        <v>4</v>
      </c>
      <c r="CL96" s="262" t="s">
        <v>1</v>
      </c>
      <c r="CM96" s="262" t="s">
        <v>76</v>
      </c>
    </row>
    <row r="97" spans="1:91" s="261" customFormat="1" ht="22.5" x14ac:dyDescent="0.2">
      <c r="A97" s="252" t="s">
        <v>71</v>
      </c>
      <c r="B97" s="253"/>
      <c r="C97" s="254"/>
      <c r="D97" s="293" t="s">
        <v>79</v>
      </c>
      <c r="E97" s="293"/>
      <c r="F97" s="293"/>
      <c r="G97" s="293"/>
      <c r="H97" s="293"/>
      <c r="I97" s="255"/>
      <c r="J97" s="293" t="s">
        <v>1197</v>
      </c>
      <c r="K97" s="293"/>
      <c r="L97" s="293"/>
      <c r="M97" s="293"/>
      <c r="N97" s="293"/>
      <c r="O97" s="293"/>
      <c r="P97" s="293"/>
      <c r="Q97" s="293"/>
      <c r="R97" s="293"/>
      <c r="S97" s="293"/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1">
        <f>'12 - RESTAURÁTORSKÝ ZÁMĚR...'!J30</f>
        <v>0</v>
      </c>
      <c r="AH97" s="292"/>
      <c r="AI97" s="292"/>
      <c r="AJ97" s="292"/>
      <c r="AK97" s="292"/>
      <c r="AL97" s="292"/>
      <c r="AM97" s="292"/>
      <c r="AN97" s="291">
        <f t="shared" si="0"/>
        <v>0</v>
      </c>
      <c r="AO97" s="292"/>
      <c r="AP97" s="292"/>
      <c r="AQ97" s="256" t="s">
        <v>73</v>
      </c>
      <c r="AR97" s="253"/>
      <c r="AS97" s="257">
        <v>0</v>
      </c>
      <c r="AT97" s="258">
        <f t="shared" si="1"/>
        <v>0</v>
      </c>
      <c r="AU97" s="259">
        <f>'12 - RESTAURÁTORSKÝ ZÁMĚR...'!P143</f>
        <v>0</v>
      </c>
      <c r="AV97" s="258">
        <f>'12 - RESTAURÁTORSKÝ ZÁMĚR...'!J33</f>
        <v>0</v>
      </c>
      <c r="AW97" s="258">
        <f>'12 - RESTAURÁTORSKÝ ZÁMĚR...'!J34</f>
        <v>0</v>
      </c>
      <c r="AX97" s="258">
        <f>'12 - RESTAURÁTORSKÝ ZÁMĚR...'!J35</f>
        <v>0</v>
      </c>
      <c r="AY97" s="258">
        <f>'12 - RESTAURÁTORSKÝ ZÁMĚR...'!J36</f>
        <v>0</v>
      </c>
      <c r="AZ97" s="258">
        <f>'12 - RESTAURÁTORSKÝ ZÁMĚR...'!F33</f>
        <v>0</v>
      </c>
      <c r="BA97" s="258">
        <f>'12 - RESTAURÁTORSKÝ ZÁMĚR...'!F34</f>
        <v>0</v>
      </c>
      <c r="BB97" s="258">
        <f>'12 - RESTAURÁTORSKÝ ZÁMĚR...'!F35</f>
        <v>0</v>
      </c>
      <c r="BC97" s="258">
        <f>'12 - RESTAURÁTORSKÝ ZÁMĚR...'!F36</f>
        <v>0</v>
      </c>
      <c r="BD97" s="260">
        <f>'12 - RESTAURÁTORSKÝ ZÁMĚR...'!F37</f>
        <v>0</v>
      </c>
      <c r="BT97" s="262" t="s">
        <v>74</v>
      </c>
      <c r="BV97" s="262" t="s">
        <v>13</v>
      </c>
      <c r="BW97" s="262" t="s">
        <v>80</v>
      </c>
      <c r="BX97" s="262" t="s">
        <v>4</v>
      </c>
      <c r="CL97" s="262" t="s">
        <v>1</v>
      </c>
      <c r="CM97" s="262" t="s">
        <v>76</v>
      </c>
    </row>
    <row r="98" spans="1:91" s="261" customFormat="1" ht="22.5" x14ac:dyDescent="0.2">
      <c r="A98" s="252" t="s">
        <v>71</v>
      </c>
      <c r="B98" s="253"/>
      <c r="C98" s="254"/>
      <c r="D98" s="293" t="s">
        <v>81</v>
      </c>
      <c r="E98" s="293"/>
      <c r="F98" s="293"/>
      <c r="G98" s="293"/>
      <c r="H98" s="293"/>
      <c r="I98" s="255"/>
      <c r="J98" s="293" t="s">
        <v>1213</v>
      </c>
      <c r="K98" s="293"/>
      <c r="L98" s="293"/>
      <c r="M98" s="293"/>
      <c r="N98" s="293"/>
      <c r="O98" s="293"/>
      <c r="P98" s="293"/>
      <c r="Q98" s="293"/>
      <c r="R98" s="293"/>
      <c r="S98" s="293"/>
      <c r="T98" s="293"/>
      <c r="U98" s="293"/>
      <c r="V98" s="293"/>
      <c r="W98" s="293"/>
      <c r="X98" s="293"/>
      <c r="Y98" s="293"/>
      <c r="Z98" s="293"/>
      <c r="AA98" s="293"/>
      <c r="AB98" s="293"/>
      <c r="AC98" s="293"/>
      <c r="AD98" s="293"/>
      <c r="AE98" s="293"/>
      <c r="AF98" s="293"/>
      <c r="AG98" s="291">
        <f>'13 - RESTAURÁTORSKÝ ZÁMĚR...'!J30</f>
        <v>0</v>
      </c>
      <c r="AH98" s="292"/>
      <c r="AI98" s="292"/>
      <c r="AJ98" s="292"/>
      <c r="AK98" s="292"/>
      <c r="AL98" s="292"/>
      <c r="AM98" s="292"/>
      <c r="AN98" s="291">
        <f t="shared" si="0"/>
        <v>0</v>
      </c>
      <c r="AO98" s="292"/>
      <c r="AP98" s="292"/>
      <c r="AQ98" s="256" t="s">
        <v>73</v>
      </c>
      <c r="AR98" s="253"/>
      <c r="AS98" s="257">
        <v>0</v>
      </c>
      <c r="AT98" s="258">
        <f t="shared" si="1"/>
        <v>0</v>
      </c>
      <c r="AU98" s="259">
        <f>'13 - RESTAURÁTORSKÝ ZÁMĚR...'!P138</f>
        <v>0</v>
      </c>
      <c r="AV98" s="258">
        <f>'13 - RESTAURÁTORSKÝ ZÁMĚR...'!J33</f>
        <v>0</v>
      </c>
      <c r="AW98" s="258">
        <f>'13 - RESTAURÁTORSKÝ ZÁMĚR...'!J34</f>
        <v>0</v>
      </c>
      <c r="AX98" s="258">
        <f>'13 - RESTAURÁTORSKÝ ZÁMĚR...'!J35</f>
        <v>0</v>
      </c>
      <c r="AY98" s="258">
        <f>'13 - RESTAURÁTORSKÝ ZÁMĚR...'!J36</f>
        <v>0</v>
      </c>
      <c r="AZ98" s="258">
        <f>'13 - RESTAURÁTORSKÝ ZÁMĚR...'!F33</f>
        <v>0</v>
      </c>
      <c r="BA98" s="258">
        <f>'13 - RESTAURÁTORSKÝ ZÁMĚR...'!F34</f>
        <v>0</v>
      </c>
      <c r="BB98" s="258">
        <f>'13 - RESTAURÁTORSKÝ ZÁMĚR...'!F35</f>
        <v>0</v>
      </c>
      <c r="BC98" s="258">
        <f>'13 - RESTAURÁTORSKÝ ZÁMĚR...'!F36</f>
        <v>0</v>
      </c>
      <c r="BD98" s="260">
        <f>'13 - RESTAURÁTORSKÝ ZÁMĚR...'!F37</f>
        <v>0</v>
      </c>
      <c r="BT98" s="262" t="s">
        <v>74</v>
      </c>
      <c r="BV98" s="262" t="s">
        <v>13</v>
      </c>
      <c r="BW98" s="262" t="s">
        <v>82</v>
      </c>
      <c r="BX98" s="262" t="s">
        <v>4</v>
      </c>
      <c r="CL98" s="262" t="s">
        <v>1</v>
      </c>
      <c r="CM98" s="262" t="s">
        <v>76</v>
      </c>
    </row>
    <row r="99" spans="1:91" s="261" customFormat="1" ht="22.15" customHeight="1" x14ac:dyDescent="0.2">
      <c r="A99" s="252" t="s">
        <v>71</v>
      </c>
      <c r="B99" s="253"/>
      <c r="C99" s="254"/>
      <c r="D99" s="293" t="s">
        <v>83</v>
      </c>
      <c r="E99" s="293"/>
      <c r="F99" s="293"/>
      <c r="G99" s="293"/>
      <c r="H99" s="293"/>
      <c r="I99" s="255"/>
      <c r="J99" s="293" t="s">
        <v>1206</v>
      </c>
      <c r="K99" s="293"/>
      <c r="L99" s="293"/>
      <c r="M99" s="293"/>
      <c r="N99" s="293"/>
      <c r="O99" s="293"/>
      <c r="P99" s="293"/>
      <c r="Q99" s="293"/>
      <c r="R99" s="293"/>
      <c r="S99" s="293"/>
      <c r="T99" s="293"/>
      <c r="U99" s="293"/>
      <c r="V99" s="293"/>
      <c r="W99" s="293"/>
      <c r="X99" s="293"/>
      <c r="Y99" s="293"/>
      <c r="Z99" s="293"/>
      <c r="AA99" s="293"/>
      <c r="AB99" s="293"/>
      <c r="AC99" s="293"/>
      <c r="AD99" s="293"/>
      <c r="AE99" s="293"/>
      <c r="AF99" s="293"/>
      <c r="AG99" s="291">
        <f>'14 - RESTAURÁTORSKÝ ZÁMĚR...'!J30</f>
        <v>0</v>
      </c>
      <c r="AH99" s="292"/>
      <c r="AI99" s="292"/>
      <c r="AJ99" s="292"/>
      <c r="AK99" s="292"/>
      <c r="AL99" s="292"/>
      <c r="AM99" s="292"/>
      <c r="AN99" s="291">
        <f t="shared" si="0"/>
        <v>0</v>
      </c>
      <c r="AO99" s="292"/>
      <c r="AP99" s="292"/>
      <c r="AQ99" s="256" t="s">
        <v>73</v>
      </c>
      <c r="AR99" s="253"/>
      <c r="AS99" s="257">
        <v>0</v>
      </c>
      <c r="AT99" s="258">
        <f t="shared" si="1"/>
        <v>0</v>
      </c>
      <c r="AU99" s="259">
        <f>'14 - RESTAURÁTORSKÝ ZÁMĚR...'!P121</f>
        <v>0</v>
      </c>
      <c r="AV99" s="258">
        <f>'14 - RESTAURÁTORSKÝ ZÁMĚR...'!J33</f>
        <v>0</v>
      </c>
      <c r="AW99" s="258">
        <f>'14 - RESTAURÁTORSKÝ ZÁMĚR...'!J34</f>
        <v>0</v>
      </c>
      <c r="AX99" s="258">
        <f>'14 - RESTAURÁTORSKÝ ZÁMĚR...'!J35</f>
        <v>0</v>
      </c>
      <c r="AY99" s="258">
        <f>'14 - RESTAURÁTORSKÝ ZÁMĚR...'!J36</f>
        <v>0</v>
      </c>
      <c r="AZ99" s="258">
        <f>'14 - RESTAURÁTORSKÝ ZÁMĚR...'!F33</f>
        <v>0</v>
      </c>
      <c r="BA99" s="258">
        <f>'14 - RESTAURÁTORSKÝ ZÁMĚR...'!F34</f>
        <v>0</v>
      </c>
      <c r="BB99" s="258">
        <f>'14 - RESTAURÁTORSKÝ ZÁMĚR...'!F35</f>
        <v>0</v>
      </c>
      <c r="BC99" s="258">
        <f>'14 - RESTAURÁTORSKÝ ZÁMĚR...'!F36</f>
        <v>0</v>
      </c>
      <c r="BD99" s="260">
        <f>'14 - RESTAURÁTORSKÝ ZÁMĚR...'!F37</f>
        <v>0</v>
      </c>
      <c r="BT99" s="262" t="s">
        <v>74</v>
      </c>
      <c r="BV99" s="262" t="s">
        <v>13</v>
      </c>
      <c r="BW99" s="262" t="s">
        <v>84</v>
      </c>
      <c r="BX99" s="262" t="s">
        <v>4</v>
      </c>
      <c r="CL99" s="262" t="s">
        <v>1</v>
      </c>
      <c r="CM99" s="262" t="s">
        <v>76</v>
      </c>
    </row>
    <row r="100" spans="1:91" s="261" customFormat="1" ht="22.15" customHeight="1" x14ac:dyDescent="0.2">
      <c r="A100" s="252" t="s">
        <v>71</v>
      </c>
      <c r="B100" s="253"/>
      <c r="C100" s="254"/>
      <c r="D100" s="293" t="s">
        <v>8</v>
      </c>
      <c r="E100" s="293"/>
      <c r="F100" s="293"/>
      <c r="G100" s="293"/>
      <c r="H100" s="293"/>
      <c r="I100" s="255"/>
      <c r="J100" s="293" t="s">
        <v>1198</v>
      </c>
      <c r="K100" s="293"/>
      <c r="L100" s="293"/>
      <c r="M100" s="293"/>
      <c r="N100" s="293"/>
      <c r="O100" s="293"/>
      <c r="P100" s="293"/>
      <c r="Q100" s="293"/>
      <c r="R100" s="293"/>
      <c r="S100" s="293"/>
      <c r="T100" s="293"/>
      <c r="U100" s="293"/>
      <c r="V100" s="293"/>
      <c r="W100" s="293"/>
      <c r="X100" s="293"/>
      <c r="Y100" s="293"/>
      <c r="Z100" s="293"/>
      <c r="AA100" s="293"/>
      <c r="AB100" s="293"/>
      <c r="AC100" s="293"/>
      <c r="AD100" s="293"/>
      <c r="AE100" s="293"/>
      <c r="AF100" s="293"/>
      <c r="AG100" s="291">
        <f>'15 - RESTAURÁTORSKÝ ZÁMĚR...'!J30</f>
        <v>0</v>
      </c>
      <c r="AH100" s="292"/>
      <c r="AI100" s="292"/>
      <c r="AJ100" s="292"/>
      <c r="AK100" s="292"/>
      <c r="AL100" s="292"/>
      <c r="AM100" s="292"/>
      <c r="AN100" s="291">
        <f t="shared" si="0"/>
        <v>0</v>
      </c>
      <c r="AO100" s="292"/>
      <c r="AP100" s="292"/>
      <c r="AQ100" s="256" t="s">
        <v>73</v>
      </c>
      <c r="AR100" s="253"/>
      <c r="AS100" s="263">
        <v>0</v>
      </c>
      <c r="AT100" s="264">
        <f t="shared" si="1"/>
        <v>0</v>
      </c>
      <c r="AU100" s="265">
        <f>'15 - RESTAURÁTORSKÝ ZÁMĚR...'!P119</f>
        <v>0</v>
      </c>
      <c r="AV100" s="264">
        <f>'15 - RESTAURÁTORSKÝ ZÁMĚR...'!J33</f>
        <v>0</v>
      </c>
      <c r="AW100" s="264">
        <f>'15 - RESTAURÁTORSKÝ ZÁMĚR...'!J34</f>
        <v>0</v>
      </c>
      <c r="AX100" s="264">
        <f>'15 - RESTAURÁTORSKÝ ZÁMĚR...'!J35</f>
        <v>0</v>
      </c>
      <c r="AY100" s="264">
        <f>'15 - RESTAURÁTORSKÝ ZÁMĚR...'!J36</f>
        <v>0</v>
      </c>
      <c r="AZ100" s="264">
        <f>'15 - RESTAURÁTORSKÝ ZÁMĚR...'!F33</f>
        <v>0</v>
      </c>
      <c r="BA100" s="264">
        <f>'15 - RESTAURÁTORSKÝ ZÁMĚR...'!F34</f>
        <v>0</v>
      </c>
      <c r="BB100" s="264">
        <f>'15 - RESTAURÁTORSKÝ ZÁMĚR...'!F35</f>
        <v>0</v>
      </c>
      <c r="BC100" s="264">
        <f>'15 - RESTAURÁTORSKÝ ZÁMĚR...'!F36</f>
        <v>0</v>
      </c>
      <c r="BD100" s="266">
        <f>'15 - RESTAURÁTORSKÝ ZÁMĚR...'!F37</f>
        <v>0</v>
      </c>
      <c r="BT100" s="262" t="s">
        <v>74</v>
      </c>
      <c r="BV100" s="262" t="s">
        <v>13</v>
      </c>
      <c r="BW100" s="262" t="s">
        <v>85</v>
      </c>
      <c r="BX100" s="262" t="s">
        <v>4</v>
      </c>
      <c r="CL100" s="262" t="s">
        <v>1</v>
      </c>
      <c r="CM100" s="262" t="s">
        <v>76</v>
      </c>
    </row>
    <row r="101" spans="1:91" s="5" customFormat="1" ht="30" customHeight="1" x14ac:dyDescent="0.2">
      <c r="A101" s="110"/>
      <c r="B101" s="4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  <c r="AF101" s="110"/>
      <c r="AG101" s="110"/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4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</row>
    <row r="102" spans="1:91" s="5" customFormat="1" ht="6.95" customHeight="1" x14ac:dyDescent="0.2">
      <c r="A102" s="110"/>
      <c r="B102" s="2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4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</row>
  </sheetData>
  <sheetProtection algorithmName="SHA-512" hashValue="qS54NO/ecIIoi56gLUFp7vRUO9Dtm6kZpwLk3301p9clYx/LmUx+zBidf/yFbelnXr0yKFY7XRmPAjpbkoowVQ==" saltValue="gc67fPP9TY9YeeS9mlePQQ==" spinCount="100000" sheet="1" objects="1" scenarios="1"/>
  <mergeCells count="60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5" location="'10 - RESTAURÁTORSKÝ ZÁMĚR...'!C2" display="/"/>
    <hyperlink ref="A96" location="'11 - RESTAURÁTORSKÝ ZÁMĚR...'!C2" display="/"/>
    <hyperlink ref="A97" location="'12 - RESTAURÁTORSKÝ ZÁMĚR...'!C2" display="/"/>
    <hyperlink ref="A98" location="'13 - RESTAURÁTORSKÝ ZÁMĚR...'!C2" display="/"/>
    <hyperlink ref="A99" location="'14 - RESTAURÁTORSKÝ ZÁMĚR...'!C2" display="/"/>
    <hyperlink ref="A100" location="'15 - RESTAURÁTORSKÝ ZÁMĚR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tabSelected="1" zoomScale="90" zoomScaleNormal="90" workbookViewId="0">
      <selection activeCell="V160" sqref="V160"/>
    </sheetView>
  </sheetViews>
  <sheetFormatPr defaultColWidth="9.1640625" defaultRowHeight="11.25" x14ac:dyDescent="0.2"/>
  <cols>
    <col min="1" max="1" width="8.33203125" style="267" customWidth="1"/>
    <col min="2" max="2" width="1.1640625" style="267" customWidth="1"/>
    <col min="3" max="3" width="4.1640625" style="267" customWidth="1"/>
    <col min="4" max="4" width="4.33203125" style="267" customWidth="1"/>
    <col min="5" max="5" width="17.1640625" style="267" customWidth="1"/>
    <col min="6" max="6" width="100.83203125" style="267" customWidth="1"/>
    <col min="7" max="7" width="8.6640625" style="267" customWidth="1"/>
    <col min="8" max="8" width="14" style="267" customWidth="1"/>
    <col min="9" max="9" width="15.83203125" style="267" customWidth="1"/>
    <col min="10" max="11" width="22.33203125" style="267" customWidth="1"/>
    <col min="12" max="12" width="9.33203125" style="267" customWidth="1"/>
    <col min="13" max="13" width="10.83203125" style="267" hidden="1" customWidth="1"/>
    <col min="14" max="14" width="9.33203125" style="267" hidden="1"/>
    <col min="15" max="20" width="14.1640625" style="267" hidden="1" customWidth="1"/>
    <col min="21" max="21" width="16.33203125" style="267" hidden="1" customWidth="1"/>
    <col min="22" max="22" width="12.33203125" style="267" customWidth="1"/>
    <col min="23" max="23" width="16.33203125" style="267" customWidth="1"/>
    <col min="24" max="24" width="12.33203125" style="267" customWidth="1"/>
    <col min="25" max="25" width="15" style="267" customWidth="1"/>
    <col min="26" max="26" width="11" style="267" customWidth="1"/>
    <col min="27" max="27" width="15" style="267" customWidth="1"/>
    <col min="28" max="28" width="16.33203125" style="267" customWidth="1"/>
    <col min="29" max="29" width="11" style="267" customWidth="1"/>
    <col min="30" max="30" width="15" style="267" customWidth="1"/>
    <col min="31" max="31" width="16.33203125" style="267" customWidth="1"/>
    <col min="32" max="43" width="9.1640625" style="267"/>
    <col min="44" max="65" width="9.33203125" style="267" hidden="1"/>
    <col min="66" max="16384" width="9.1640625" style="267"/>
  </cols>
  <sheetData>
    <row r="2" spans="1:46" ht="36.950000000000003" customHeight="1" x14ac:dyDescent="0.2">
      <c r="L2" s="306" t="s">
        <v>5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3" t="s">
        <v>75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275" t="s">
        <v>14</v>
      </c>
      <c r="L6" s="42"/>
    </row>
    <row r="7" spans="1:46" ht="16.5" customHeight="1" x14ac:dyDescent="0.2">
      <c r="B7" s="42"/>
      <c r="E7" s="312" t="str">
        <f>'Rekapitulace stavby'!K6</f>
        <v>REKONSTRUKCE A DOSTAVBA BUDOV FF UK - DVD</v>
      </c>
      <c r="F7" s="313"/>
      <c r="G7" s="313"/>
      <c r="H7" s="313"/>
      <c r="L7" s="42"/>
    </row>
    <row r="8" spans="1:46" s="5" customFormat="1" ht="12" customHeight="1" x14ac:dyDescent="0.2">
      <c r="A8" s="274"/>
      <c r="B8" s="4"/>
      <c r="C8" s="274"/>
      <c r="D8" s="275" t="s">
        <v>87</v>
      </c>
      <c r="E8" s="274"/>
      <c r="F8" s="274"/>
      <c r="G8" s="274"/>
      <c r="H8" s="274"/>
      <c r="I8" s="274"/>
      <c r="J8" s="274"/>
      <c r="K8" s="274"/>
      <c r="L8" s="45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</row>
    <row r="9" spans="1:46" s="5" customFormat="1" ht="16.5" customHeight="1" x14ac:dyDescent="0.2">
      <c r="A9" s="274"/>
      <c r="B9" s="4"/>
      <c r="C9" s="274"/>
      <c r="D9" s="274"/>
      <c r="E9" s="277" t="s">
        <v>1148</v>
      </c>
      <c r="F9" s="311"/>
      <c r="G9" s="311"/>
      <c r="H9" s="311"/>
      <c r="I9" s="274"/>
      <c r="J9" s="274"/>
      <c r="K9" s="274"/>
      <c r="L9" s="45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</row>
    <row r="10" spans="1:46" s="5" customFormat="1" x14ac:dyDescent="0.2">
      <c r="A10" s="274"/>
      <c r="B10" s="4"/>
      <c r="C10" s="274"/>
      <c r="D10" s="274"/>
      <c r="E10" s="274"/>
      <c r="F10" s="274"/>
      <c r="G10" s="274"/>
      <c r="H10" s="274"/>
      <c r="I10" s="274"/>
      <c r="J10" s="274"/>
      <c r="K10" s="274"/>
      <c r="L10" s="45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</row>
    <row r="11" spans="1:46" s="5" customFormat="1" ht="12" customHeight="1" x14ac:dyDescent="0.2">
      <c r="A11" s="274"/>
      <c r="B11" s="4"/>
      <c r="C11" s="274"/>
      <c r="D11" s="275" t="s">
        <v>15</v>
      </c>
      <c r="E11" s="274"/>
      <c r="F11" s="46" t="s">
        <v>1291</v>
      </c>
      <c r="G11" s="274"/>
      <c r="H11" s="274"/>
      <c r="I11" s="275" t="s">
        <v>16</v>
      </c>
      <c r="J11" s="268" t="s">
        <v>1</v>
      </c>
      <c r="K11" s="274"/>
      <c r="L11" s="45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  <c r="AD11" s="274"/>
      <c r="AE11" s="274"/>
    </row>
    <row r="12" spans="1:46" s="5" customFormat="1" ht="12" customHeight="1" x14ac:dyDescent="0.2">
      <c r="A12" s="274"/>
      <c r="B12" s="4"/>
      <c r="C12" s="274"/>
      <c r="D12" s="275" t="s">
        <v>17</v>
      </c>
      <c r="E12" s="274"/>
      <c r="F12" s="46" t="s">
        <v>1292</v>
      </c>
      <c r="G12" s="274"/>
      <c r="H12" s="274"/>
      <c r="I12" s="275" t="s">
        <v>19</v>
      </c>
      <c r="J12" s="273">
        <f>'Rekapitulace stavby'!AN8</f>
        <v>44310</v>
      </c>
      <c r="K12" s="274"/>
      <c r="L12" s="45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</row>
    <row r="13" spans="1:46" s="5" customFormat="1" ht="10.9" customHeight="1" x14ac:dyDescent="0.2">
      <c r="A13" s="274"/>
      <c r="B13" s="4"/>
      <c r="C13" s="274"/>
      <c r="D13" s="274"/>
      <c r="E13" s="274"/>
      <c r="F13" s="274"/>
      <c r="G13" s="274"/>
      <c r="H13" s="274"/>
      <c r="I13" s="274"/>
      <c r="J13" s="274"/>
      <c r="K13" s="274"/>
      <c r="L13" s="45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</row>
    <row r="14" spans="1:46" s="5" customFormat="1" ht="12" customHeight="1" x14ac:dyDescent="0.2">
      <c r="A14" s="274"/>
      <c r="B14" s="4"/>
      <c r="C14" s="274"/>
      <c r="D14" s="275" t="s">
        <v>20</v>
      </c>
      <c r="E14" s="274"/>
      <c r="F14" s="274"/>
      <c r="G14" s="274"/>
      <c r="H14" s="274"/>
      <c r="I14" s="275" t="s">
        <v>21</v>
      </c>
      <c r="J14" s="268" t="str">
        <f>IF('Rekapitulace stavby'!AN10="","",'Rekapitulace stavby'!AN10)</f>
        <v/>
      </c>
      <c r="K14" s="274"/>
      <c r="L14" s="45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</row>
    <row r="15" spans="1:46" s="5" customFormat="1" ht="18" customHeight="1" x14ac:dyDescent="0.2">
      <c r="A15" s="274"/>
      <c r="B15" s="4"/>
      <c r="C15" s="274"/>
      <c r="D15" s="274"/>
      <c r="E15" s="48" t="s">
        <v>1293</v>
      </c>
      <c r="F15" s="274"/>
      <c r="G15" s="274"/>
      <c r="H15" s="274"/>
      <c r="I15" s="275" t="s">
        <v>22</v>
      </c>
      <c r="J15" s="268" t="str">
        <f>IF('Rekapitulace stavby'!AN11="","",'Rekapitulace stavby'!AN11)</f>
        <v/>
      </c>
      <c r="K15" s="274"/>
      <c r="L15" s="45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74"/>
    </row>
    <row r="16" spans="1:46" s="5" customFormat="1" ht="6.95" customHeight="1" x14ac:dyDescent="0.2">
      <c r="A16" s="274"/>
      <c r="B16" s="4"/>
      <c r="C16" s="274"/>
      <c r="D16" s="274"/>
      <c r="E16" s="274"/>
      <c r="F16" s="274"/>
      <c r="G16" s="274"/>
      <c r="H16" s="274"/>
      <c r="I16" s="274"/>
      <c r="J16" s="274"/>
      <c r="K16" s="274"/>
      <c r="L16" s="45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74"/>
    </row>
    <row r="17" spans="1:31" s="5" customFormat="1" ht="12" customHeight="1" x14ac:dyDescent="0.2">
      <c r="A17" s="274"/>
      <c r="B17" s="4"/>
      <c r="C17" s="274"/>
      <c r="D17" s="275" t="s">
        <v>23</v>
      </c>
      <c r="E17" s="274"/>
      <c r="F17" s="274"/>
      <c r="G17" s="274"/>
      <c r="H17" s="274"/>
      <c r="I17" s="275" t="s">
        <v>21</v>
      </c>
      <c r="J17" s="268" t="str">
        <f>'Rekapitulace stavby'!AN13</f>
        <v/>
      </c>
      <c r="K17" s="274"/>
      <c r="L17" s="45"/>
      <c r="S17" s="274"/>
      <c r="T17" s="274"/>
      <c r="U17" s="274"/>
      <c r="V17" s="274"/>
      <c r="W17" s="274"/>
      <c r="X17" s="274"/>
      <c r="Y17" s="274"/>
      <c r="Z17" s="274"/>
      <c r="AA17" s="274"/>
      <c r="AB17" s="274"/>
      <c r="AC17" s="274"/>
      <c r="AD17" s="274"/>
      <c r="AE17" s="274"/>
    </row>
    <row r="18" spans="1:31" s="5" customFormat="1" ht="18" customHeight="1" x14ac:dyDescent="0.2">
      <c r="A18" s="274"/>
      <c r="B18" s="4"/>
      <c r="C18" s="274"/>
      <c r="D18" s="274"/>
      <c r="E18" s="299" t="str">
        <f>'Rekapitulace stavby'!E14</f>
        <v xml:space="preserve"> </v>
      </c>
      <c r="F18" s="299"/>
      <c r="G18" s="299"/>
      <c r="H18" s="299"/>
      <c r="I18" s="275" t="s">
        <v>22</v>
      </c>
      <c r="J18" s="268" t="str">
        <f>'Rekapitulace stavby'!AN14</f>
        <v/>
      </c>
      <c r="K18" s="274"/>
      <c r="L18" s="45"/>
      <c r="S18" s="274"/>
      <c r="T18" s="274"/>
      <c r="U18" s="274"/>
      <c r="V18" s="274"/>
      <c r="W18" s="274"/>
      <c r="X18" s="274"/>
      <c r="Y18" s="274"/>
      <c r="Z18" s="274"/>
      <c r="AA18" s="274"/>
      <c r="AB18" s="274"/>
      <c r="AC18" s="274"/>
      <c r="AD18" s="274"/>
      <c r="AE18" s="274"/>
    </row>
    <row r="19" spans="1:31" s="5" customFormat="1" ht="6.95" customHeight="1" x14ac:dyDescent="0.2">
      <c r="A19" s="274"/>
      <c r="B19" s="4"/>
      <c r="C19" s="274"/>
      <c r="D19" s="274"/>
      <c r="E19" s="274"/>
      <c r="F19" s="274"/>
      <c r="G19" s="274"/>
      <c r="H19" s="274"/>
      <c r="I19" s="274"/>
      <c r="J19" s="274"/>
      <c r="K19" s="274"/>
      <c r="L19" s="45"/>
      <c r="S19" s="274"/>
      <c r="T19" s="274"/>
      <c r="U19" s="274"/>
      <c r="V19" s="274"/>
      <c r="W19" s="274"/>
      <c r="X19" s="274"/>
      <c r="Y19" s="274"/>
      <c r="Z19" s="274"/>
      <c r="AA19" s="274"/>
      <c r="AB19" s="274"/>
      <c r="AC19" s="274"/>
      <c r="AD19" s="274"/>
      <c r="AE19" s="274"/>
    </row>
    <row r="20" spans="1:31" s="5" customFormat="1" ht="12" customHeight="1" x14ac:dyDescent="0.2">
      <c r="A20" s="274"/>
      <c r="B20" s="4"/>
      <c r="C20" s="274"/>
      <c r="D20" s="275" t="s">
        <v>24</v>
      </c>
      <c r="E20" s="274"/>
      <c r="F20" s="274"/>
      <c r="G20" s="274"/>
      <c r="H20" s="274"/>
      <c r="I20" s="275" t="s">
        <v>21</v>
      </c>
      <c r="J20" s="268" t="str">
        <f>IF('Rekapitulace stavby'!AN16="","",'Rekapitulace stavby'!AN16)</f>
        <v/>
      </c>
      <c r="K20" s="274"/>
      <c r="L20" s="45"/>
      <c r="S20" s="274"/>
      <c r="T20" s="274"/>
      <c r="U20" s="274"/>
      <c r="V20" s="274"/>
      <c r="W20" s="274"/>
      <c r="X20" s="274"/>
      <c r="Y20" s="274"/>
      <c r="Z20" s="274"/>
      <c r="AA20" s="274"/>
      <c r="AB20" s="274"/>
      <c r="AC20" s="274"/>
      <c r="AD20" s="274"/>
      <c r="AE20" s="274"/>
    </row>
    <row r="21" spans="1:31" s="5" customFormat="1" ht="18" customHeight="1" x14ac:dyDescent="0.2">
      <c r="A21" s="274"/>
      <c r="B21" s="4"/>
      <c r="C21" s="274"/>
      <c r="D21" s="274"/>
      <c r="E21" s="48" t="s">
        <v>1294</v>
      </c>
      <c r="F21" s="274"/>
      <c r="G21" s="274"/>
      <c r="H21" s="274"/>
      <c r="I21" s="275" t="s">
        <v>22</v>
      </c>
      <c r="J21" s="268" t="str">
        <f>IF('Rekapitulace stavby'!AN17="","",'Rekapitulace stavby'!AN17)</f>
        <v/>
      </c>
      <c r="K21" s="274"/>
      <c r="L21" s="45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</row>
    <row r="22" spans="1:31" s="5" customFormat="1" ht="6.95" customHeight="1" x14ac:dyDescent="0.2">
      <c r="A22" s="274"/>
      <c r="B22" s="4"/>
      <c r="C22" s="274"/>
      <c r="D22" s="274"/>
      <c r="E22" s="274"/>
      <c r="F22" s="274"/>
      <c r="G22" s="274"/>
      <c r="H22" s="274"/>
      <c r="I22" s="274"/>
      <c r="J22" s="274"/>
      <c r="K22" s="274"/>
      <c r="L22" s="45"/>
      <c r="S22" s="274"/>
      <c r="T22" s="274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</row>
    <row r="23" spans="1:31" s="5" customFormat="1" ht="12" customHeight="1" x14ac:dyDescent="0.2">
      <c r="A23" s="274"/>
      <c r="B23" s="4"/>
      <c r="C23" s="274"/>
      <c r="D23" s="275" t="s">
        <v>26</v>
      </c>
      <c r="E23" s="274"/>
      <c r="F23" s="274"/>
      <c r="G23" s="274"/>
      <c r="H23" s="274"/>
      <c r="I23" s="275" t="s">
        <v>21</v>
      </c>
      <c r="J23" s="268" t="str">
        <f>IF('Rekapitulace stavby'!AN19="","",'Rekapitulace stavby'!AN19)</f>
        <v/>
      </c>
      <c r="K23" s="274"/>
      <c r="L23" s="45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</row>
    <row r="24" spans="1:31" s="5" customFormat="1" ht="18" customHeight="1" x14ac:dyDescent="0.2">
      <c r="A24" s="274"/>
      <c r="B24" s="4"/>
      <c r="C24" s="274"/>
      <c r="D24" s="274"/>
      <c r="E24" s="48" t="s">
        <v>1295</v>
      </c>
      <c r="F24" s="274"/>
      <c r="G24" s="274"/>
      <c r="H24" s="274"/>
      <c r="I24" s="275" t="s">
        <v>22</v>
      </c>
      <c r="J24" s="268" t="str">
        <f>IF('Rekapitulace stavby'!AN20="","",'Rekapitulace stavby'!AN20)</f>
        <v/>
      </c>
      <c r="K24" s="274"/>
      <c r="L24" s="45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</row>
    <row r="25" spans="1:31" s="5" customFormat="1" ht="6.95" customHeight="1" x14ac:dyDescent="0.2">
      <c r="A25" s="274"/>
      <c r="B25" s="4"/>
      <c r="C25" s="274"/>
      <c r="D25" s="274"/>
      <c r="E25" s="274"/>
      <c r="F25" s="274"/>
      <c r="G25" s="274"/>
      <c r="H25" s="274"/>
      <c r="I25" s="274"/>
      <c r="J25" s="274"/>
      <c r="K25" s="274"/>
      <c r="L25" s="45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4"/>
      <c r="AD25" s="274"/>
      <c r="AE25" s="274"/>
    </row>
    <row r="26" spans="1:31" s="5" customFormat="1" ht="12" customHeight="1" x14ac:dyDescent="0.2">
      <c r="A26" s="274"/>
      <c r="B26" s="4"/>
      <c r="C26" s="274"/>
      <c r="D26" s="275" t="s">
        <v>27</v>
      </c>
      <c r="E26" s="274"/>
      <c r="F26" s="274"/>
      <c r="G26" s="274"/>
      <c r="H26" s="274"/>
      <c r="I26" s="274"/>
      <c r="J26" s="274"/>
      <c r="K26" s="274"/>
      <c r="L26" s="45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</row>
    <row r="27" spans="1:31" s="52" customFormat="1" ht="16.5" customHeight="1" x14ac:dyDescent="0.2">
      <c r="A27" s="49"/>
      <c r="B27" s="50"/>
      <c r="C27" s="49"/>
      <c r="D27" s="49"/>
      <c r="E27" s="302" t="s">
        <v>1</v>
      </c>
      <c r="F27" s="302"/>
      <c r="G27" s="302"/>
      <c r="H27" s="302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274"/>
      <c r="B28" s="4"/>
      <c r="C28" s="274"/>
      <c r="D28" s="274"/>
      <c r="E28" s="274"/>
      <c r="F28" s="274"/>
      <c r="G28" s="274"/>
      <c r="H28" s="274"/>
      <c r="I28" s="274"/>
      <c r="J28" s="274"/>
      <c r="K28" s="274"/>
      <c r="L28" s="45"/>
      <c r="S28" s="274"/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</row>
    <row r="29" spans="1:31" s="5" customFormat="1" ht="6.95" customHeight="1" x14ac:dyDescent="0.2">
      <c r="A29" s="274"/>
      <c r="B29" s="4"/>
      <c r="C29" s="274"/>
      <c r="D29" s="53"/>
      <c r="E29" s="53"/>
      <c r="F29" s="53"/>
      <c r="G29" s="53"/>
      <c r="H29" s="53"/>
      <c r="I29" s="53"/>
      <c r="J29" s="53"/>
      <c r="K29" s="53"/>
      <c r="L29" s="45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</row>
    <row r="30" spans="1:31" s="5" customFormat="1" ht="25.35" customHeight="1" x14ac:dyDescent="0.2">
      <c r="A30" s="274"/>
      <c r="B30" s="4"/>
      <c r="C30" s="274"/>
      <c r="D30" s="54" t="s">
        <v>28</v>
      </c>
      <c r="E30" s="274"/>
      <c r="F30" s="274"/>
      <c r="G30" s="274"/>
      <c r="H30" s="274"/>
      <c r="I30" s="274"/>
      <c r="J30" s="272">
        <f>ROUND(J139, 2)</f>
        <v>0</v>
      </c>
      <c r="K30" s="274"/>
      <c r="L30" s="45"/>
      <c r="S30" s="274"/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</row>
    <row r="31" spans="1:31" s="5" customFormat="1" ht="6.95" customHeight="1" x14ac:dyDescent="0.2">
      <c r="A31" s="274"/>
      <c r="B31" s="4"/>
      <c r="C31" s="274"/>
      <c r="D31" s="53"/>
      <c r="E31" s="53"/>
      <c r="F31" s="53"/>
      <c r="G31" s="53"/>
      <c r="H31" s="53"/>
      <c r="I31" s="53"/>
      <c r="J31" s="53"/>
      <c r="K31" s="53"/>
      <c r="L31" s="45"/>
      <c r="S31" s="274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</row>
    <row r="32" spans="1:31" s="5" customFormat="1" ht="14.45" customHeight="1" x14ac:dyDescent="0.2">
      <c r="A32" s="274"/>
      <c r="B32" s="4"/>
      <c r="C32" s="274"/>
      <c r="D32" s="274"/>
      <c r="E32" s="274"/>
      <c r="F32" s="271" t="s">
        <v>30</v>
      </c>
      <c r="G32" s="274"/>
      <c r="H32" s="274"/>
      <c r="I32" s="271" t="s">
        <v>29</v>
      </c>
      <c r="J32" s="271" t="s">
        <v>31</v>
      </c>
      <c r="K32" s="274"/>
      <c r="L32" s="45"/>
      <c r="S32" s="274"/>
      <c r="T32" s="274"/>
      <c r="U32" s="274"/>
      <c r="V32" s="274"/>
      <c r="W32" s="274"/>
      <c r="X32" s="274"/>
      <c r="Y32" s="274"/>
      <c r="Z32" s="274"/>
      <c r="AA32" s="274"/>
      <c r="AB32" s="274"/>
      <c r="AC32" s="274"/>
      <c r="AD32" s="274"/>
      <c r="AE32" s="274"/>
    </row>
    <row r="33" spans="1:31" s="5" customFormat="1" ht="14.45" customHeight="1" x14ac:dyDescent="0.2">
      <c r="A33" s="274"/>
      <c r="B33" s="4"/>
      <c r="C33" s="274"/>
      <c r="D33" s="57" t="s">
        <v>32</v>
      </c>
      <c r="E33" s="275" t="s">
        <v>33</v>
      </c>
      <c r="F33" s="58">
        <f>ROUND((SUM(BE139:BE220)),  2)</f>
        <v>0</v>
      </c>
      <c r="G33" s="274"/>
      <c r="H33" s="274"/>
      <c r="I33" s="59">
        <v>0.21</v>
      </c>
      <c r="J33" s="58">
        <f>ROUND(((SUM(BE139:BE220))*I33),  2)</f>
        <v>0</v>
      </c>
      <c r="K33" s="274"/>
      <c r="L33" s="45"/>
      <c r="S33" s="274"/>
      <c r="T33" s="274"/>
      <c r="U33" s="274"/>
      <c r="V33" s="274"/>
      <c r="W33" s="274"/>
      <c r="X33" s="274"/>
      <c r="Y33" s="274"/>
      <c r="Z33" s="274"/>
      <c r="AA33" s="274"/>
      <c r="AB33" s="274"/>
      <c r="AC33" s="274"/>
      <c r="AD33" s="274"/>
      <c r="AE33" s="274"/>
    </row>
    <row r="34" spans="1:31" s="5" customFormat="1" ht="14.45" customHeight="1" x14ac:dyDescent="0.2">
      <c r="A34" s="274"/>
      <c r="B34" s="4"/>
      <c r="C34" s="274"/>
      <c r="D34" s="274"/>
      <c r="E34" s="275" t="s">
        <v>34</v>
      </c>
      <c r="F34" s="58">
        <f>ROUND((SUM(BF139:BF220)),  2)</f>
        <v>0</v>
      </c>
      <c r="G34" s="274"/>
      <c r="H34" s="274"/>
      <c r="I34" s="59">
        <v>0.15</v>
      </c>
      <c r="J34" s="58">
        <f>ROUND(((SUM(BF139:BF220))*I34),  2)</f>
        <v>0</v>
      </c>
      <c r="K34" s="274"/>
      <c r="L34" s="45"/>
      <c r="S34" s="274"/>
      <c r="T34" s="274"/>
      <c r="U34" s="274"/>
      <c r="V34" s="274"/>
      <c r="W34" s="274"/>
      <c r="X34" s="274"/>
      <c r="Y34" s="274"/>
      <c r="Z34" s="274"/>
      <c r="AA34" s="274"/>
      <c r="AB34" s="274"/>
      <c r="AC34" s="274"/>
      <c r="AD34" s="274"/>
      <c r="AE34" s="274"/>
    </row>
    <row r="35" spans="1:31" s="5" customFormat="1" ht="14.45" hidden="1" customHeight="1" x14ac:dyDescent="0.2">
      <c r="A35" s="274"/>
      <c r="B35" s="4"/>
      <c r="C35" s="274"/>
      <c r="D35" s="274"/>
      <c r="E35" s="275" t="s">
        <v>35</v>
      </c>
      <c r="F35" s="58">
        <f>ROUND((SUM(BG139:BG220)),  2)</f>
        <v>0</v>
      </c>
      <c r="G35" s="274"/>
      <c r="H35" s="274"/>
      <c r="I35" s="59">
        <v>0.21</v>
      </c>
      <c r="J35" s="58">
        <f>0</f>
        <v>0</v>
      </c>
      <c r="K35" s="274"/>
      <c r="L35" s="45"/>
      <c r="S35" s="274"/>
      <c r="T35" s="274"/>
      <c r="U35" s="274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</row>
    <row r="36" spans="1:31" s="5" customFormat="1" ht="14.45" hidden="1" customHeight="1" x14ac:dyDescent="0.2">
      <c r="A36" s="274"/>
      <c r="B36" s="4"/>
      <c r="C36" s="274"/>
      <c r="D36" s="274"/>
      <c r="E36" s="275" t="s">
        <v>36</v>
      </c>
      <c r="F36" s="58">
        <f>ROUND((SUM(BH139:BH220)),  2)</f>
        <v>0</v>
      </c>
      <c r="G36" s="274"/>
      <c r="H36" s="274"/>
      <c r="I36" s="59">
        <v>0.15</v>
      </c>
      <c r="J36" s="58">
        <f>0</f>
        <v>0</v>
      </c>
      <c r="K36" s="274"/>
      <c r="L36" s="45"/>
      <c r="S36" s="274"/>
      <c r="T36" s="274"/>
      <c r="U36" s="274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</row>
    <row r="37" spans="1:31" s="5" customFormat="1" ht="14.45" hidden="1" customHeight="1" x14ac:dyDescent="0.2">
      <c r="A37" s="274"/>
      <c r="B37" s="4"/>
      <c r="C37" s="274"/>
      <c r="D37" s="274"/>
      <c r="E37" s="275" t="s">
        <v>37</v>
      </c>
      <c r="F37" s="58">
        <f>ROUND((SUM(BI139:BI220)),  2)</f>
        <v>0</v>
      </c>
      <c r="G37" s="274"/>
      <c r="H37" s="274"/>
      <c r="I37" s="59">
        <v>0</v>
      </c>
      <c r="J37" s="58">
        <f>0</f>
        <v>0</v>
      </c>
      <c r="K37" s="274"/>
      <c r="L37" s="45"/>
      <c r="S37" s="274"/>
      <c r="T37" s="274"/>
      <c r="U37" s="274"/>
      <c r="V37" s="274"/>
      <c r="W37" s="274"/>
      <c r="X37" s="274"/>
      <c r="Y37" s="274"/>
      <c r="Z37" s="274"/>
      <c r="AA37" s="274"/>
      <c r="AB37" s="274"/>
      <c r="AC37" s="274"/>
      <c r="AD37" s="274"/>
      <c r="AE37" s="274"/>
    </row>
    <row r="38" spans="1:31" s="5" customFormat="1" ht="6.95" customHeight="1" x14ac:dyDescent="0.2">
      <c r="A38" s="274"/>
      <c r="B38" s="4"/>
      <c r="C38" s="274"/>
      <c r="D38" s="274"/>
      <c r="E38" s="274"/>
      <c r="F38" s="274"/>
      <c r="G38" s="274"/>
      <c r="H38" s="274"/>
      <c r="I38" s="274"/>
      <c r="J38" s="274"/>
      <c r="K38" s="274"/>
      <c r="L38" s="45"/>
      <c r="S38" s="274"/>
      <c r="T38" s="274"/>
      <c r="U38" s="274"/>
      <c r="V38" s="274"/>
      <c r="W38" s="274"/>
      <c r="X38" s="274"/>
      <c r="Y38" s="274"/>
      <c r="Z38" s="274"/>
      <c r="AA38" s="274"/>
      <c r="AB38" s="274"/>
      <c r="AC38" s="274"/>
      <c r="AD38" s="274"/>
      <c r="AE38" s="274"/>
    </row>
    <row r="39" spans="1:31" s="5" customFormat="1" ht="25.35" customHeight="1" x14ac:dyDescent="0.2">
      <c r="A39" s="274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274"/>
      <c r="T39" s="274"/>
      <c r="U39" s="274"/>
      <c r="V39" s="274"/>
      <c r="W39" s="274"/>
      <c r="X39" s="274"/>
      <c r="Y39" s="274"/>
      <c r="Z39" s="274"/>
      <c r="AA39" s="274"/>
      <c r="AB39" s="274"/>
      <c r="AC39" s="274"/>
      <c r="AD39" s="274"/>
      <c r="AE39" s="274"/>
    </row>
    <row r="40" spans="1:31" s="5" customFormat="1" ht="14.45" customHeight="1" x14ac:dyDescent="0.2">
      <c r="A40" s="274"/>
      <c r="B40" s="4"/>
      <c r="C40" s="274"/>
      <c r="D40" s="274"/>
      <c r="E40" s="274"/>
      <c r="F40" s="274"/>
      <c r="G40" s="274"/>
      <c r="H40" s="274"/>
      <c r="I40" s="274"/>
      <c r="J40" s="274"/>
      <c r="K40" s="274"/>
      <c r="L40" s="45"/>
      <c r="S40" s="274"/>
      <c r="T40" s="274"/>
      <c r="U40" s="274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274"/>
      <c r="B61" s="4"/>
      <c r="C61" s="274"/>
      <c r="D61" s="69" t="s">
        <v>43</v>
      </c>
      <c r="E61" s="270"/>
      <c r="F61" s="71" t="s">
        <v>44</v>
      </c>
      <c r="G61" s="69" t="s">
        <v>43</v>
      </c>
      <c r="H61" s="270"/>
      <c r="I61" s="270"/>
      <c r="J61" s="72" t="s">
        <v>44</v>
      </c>
      <c r="K61" s="270"/>
      <c r="L61" s="45"/>
      <c r="S61" s="274"/>
      <c r="T61" s="274"/>
      <c r="U61" s="274"/>
      <c r="V61" s="274"/>
      <c r="W61" s="274"/>
      <c r="X61" s="274"/>
      <c r="Y61" s="274"/>
      <c r="Z61" s="274"/>
      <c r="AA61" s="274"/>
      <c r="AB61" s="274"/>
      <c r="AC61" s="274"/>
      <c r="AD61" s="274"/>
      <c r="AE61" s="274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274"/>
      <c r="B65" s="4"/>
      <c r="C65" s="274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274"/>
      <c r="T65" s="274"/>
      <c r="U65" s="274"/>
      <c r="V65" s="274"/>
      <c r="W65" s="274"/>
      <c r="X65" s="274"/>
      <c r="Y65" s="274"/>
      <c r="Z65" s="274"/>
      <c r="AA65" s="274"/>
      <c r="AB65" s="274"/>
      <c r="AC65" s="274"/>
      <c r="AD65" s="274"/>
      <c r="AE65" s="274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274"/>
      <c r="B76" s="4"/>
      <c r="C76" s="274"/>
      <c r="D76" s="69" t="s">
        <v>43</v>
      </c>
      <c r="E76" s="270"/>
      <c r="F76" s="71" t="s">
        <v>44</v>
      </c>
      <c r="G76" s="69" t="s">
        <v>43</v>
      </c>
      <c r="H76" s="270"/>
      <c r="I76" s="270"/>
      <c r="J76" s="72" t="s">
        <v>44</v>
      </c>
      <c r="K76" s="270"/>
      <c r="L76" s="45"/>
      <c r="S76" s="274"/>
      <c r="T76" s="274"/>
      <c r="U76" s="274"/>
      <c r="V76" s="274"/>
      <c r="W76" s="274"/>
      <c r="X76" s="274"/>
      <c r="Y76" s="274"/>
      <c r="Z76" s="274"/>
      <c r="AA76" s="274"/>
      <c r="AB76" s="274"/>
      <c r="AC76" s="274"/>
      <c r="AD76" s="274"/>
      <c r="AE76" s="274"/>
    </row>
    <row r="77" spans="1:31" s="5" customFormat="1" ht="14.45" customHeight="1" x14ac:dyDescent="0.2">
      <c r="A77" s="274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274"/>
      <c r="T77" s="274"/>
      <c r="U77" s="274"/>
      <c r="V77" s="274"/>
      <c r="W77" s="274"/>
      <c r="X77" s="274"/>
      <c r="Y77" s="274"/>
      <c r="Z77" s="274"/>
      <c r="AA77" s="274"/>
      <c r="AB77" s="274"/>
      <c r="AC77" s="274"/>
      <c r="AD77" s="274"/>
      <c r="AE77" s="274"/>
    </row>
    <row r="81" spans="1:47" s="5" customFormat="1" ht="6.95" customHeight="1" x14ac:dyDescent="0.2">
      <c r="A81" s="274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274"/>
      <c r="T81" s="274"/>
      <c r="U81" s="274"/>
      <c r="V81" s="274"/>
      <c r="W81" s="274"/>
      <c r="X81" s="274"/>
      <c r="Y81" s="274"/>
      <c r="Z81" s="274"/>
      <c r="AA81" s="274"/>
      <c r="AB81" s="274"/>
      <c r="AC81" s="274"/>
      <c r="AD81" s="274"/>
      <c r="AE81" s="274"/>
    </row>
    <row r="82" spans="1:47" s="5" customFormat="1" ht="24.95" customHeight="1" x14ac:dyDescent="0.2">
      <c r="A82" s="274"/>
      <c r="B82" s="4"/>
      <c r="C82" s="43" t="s">
        <v>88</v>
      </c>
      <c r="D82" s="274"/>
      <c r="E82" s="274"/>
      <c r="F82" s="274"/>
      <c r="G82" s="274"/>
      <c r="H82" s="274"/>
      <c r="I82" s="274"/>
      <c r="J82" s="274"/>
      <c r="K82" s="274"/>
      <c r="L82" s="45"/>
      <c r="S82" s="274"/>
      <c r="T82" s="274"/>
      <c r="U82" s="274"/>
      <c r="V82" s="274"/>
      <c r="W82" s="274"/>
      <c r="X82" s="274"/>
      <c r="Y82" s="274"/>
      <c r="Z82" s="274"/>
      <c r="AA82" s="274"/>
      <c r="AB82" s="274"/>
      <c r="AC82" s="274"/>
      <c r="AD82" s="274"/>
      <c r="AE82" s="274"/>
    </row>
    <row r="83" spans="1:47" s="5" customFormat="1" ht="6.95" customHeight="1" x14ac:dyDescent="0.2">
      <c r="A83" s="274"/>
      <c r="B83" s="4"/>
      <c r="C83" s="274"/>
      <c r="D83" s="274"/>
      <c r="E83" s="274"/>
      <c r="F83" s="274"/>
      <c r="G83" s="274"/>
      <c r="H83" s="274"/>
      <c r="I83" s="274"/>
      <c r="J83" s="274"/>
      <c r="K83" s="274"/>
      <c r="L83" s="45"/>
      <c r="S83" s="274"/>
      <c r="T83" s="274"/>
      <c r="U83" s="274"/>
      <c r="V83" s="274"/>
      <c r="W83" s="274"/>
      <c r="X83" s="274"/>
      <c r="Y83" s="274"/>
      <c r="Z83" s="274"/>
      <c r="AA83" s="274"/>
      <c r="AB83" s="274"/>
      <c r="AC83" s="274"/>
      <c r="AD83" s="274"/>
      <c r="AE83" s="274"/>
    </row>
    <row r="84" spans="1:47" s="5" customFormat="1" ht="12" customHeight="1" x14ac:dyDescent="0.2">
      <c r="A84" s="274"/>
      <c r="B84" s="4"/>
      <c r="C84" s="275" t="s">
        <v>14</v>
      </c>
      <c r="D84" s="274"/>
      <c r="E84" s="274"/>
      <c r="F84" s="274"/>
      <c r="G84" s="274"/>
      <c r="H84" s="274"/>
      <c r="I84" s="274"/>
      <c r="J84" s="274"/>
      <c r="K84" s="274"/>
      <c r="L84" s="45"/>
      <c r="S84" s="274"/>
      <c r="T84" s="274"/>
      <c r="U84" s="274"/>
      <c r="V84" s="274"/>
      <c r="W84" s="274"/>
      <c r="X84" s="274"/>
      <c r="Y84" s="274"/>
      <c r="Z84" s="274"/>
      <c r="AA84" s="274"/>
      <c r="AB84" s="274"/>
      <c r="AC84" s="274"/>
      <c r="AD84" s="274"/>
      <c r="AE84" s="274"/>
    </row>
    <row r="85" spans="1:47" s="5" customFormat="1" ht="16.5" customHeight="1" x14ac:dyDescent="0.2">
      <c r="A85" s="274"/>
      <c r="B85" s="4"/>
      <c r="C85" s="274"/>
      <c r="D85" s="274"/>
      <c r="E85" s="312" t="str">
        <f>E7</f>
        <v>REKONSTRUKCE A DOSTAVBA BUDOV FF UK - DVD</v>
      </c>
      <c r="F85" s="313"/>
      <c r="G85" s="313"/>
      <c r="H85" s="313"/>
      <c r="I85" s="274"/>
      <c r="J85" s="274"/>
      <c r="K85" s="274"/>
      <c r="L85" s="45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</row>
    <row r="86" spans="1:47" s="5" customFormat="1" ht="12" customHeight="1" x14ac:dyDescent="0.2">
      <c r="A86" s="274"/>
      <c r="B86" s="4"/>
      <c r="C86" s="275" t="s">
        <v>87</v>
      </c>
      <c r="D86" s="274"/>
      <c r="E86" s="274"/>
      <c r="F86" s="274"/>
      <c r="G86" s="274"/>
      <c r="H86" s="274"/>
      <c r="I86" s="274"/>
      <c r="J86" s="274"/>
      <c r="K86" s="274"/>
      <c r="L86" s="45"/>
      <c r="S86" s="274"/>
      <c r="T86" s="274"/>
      <c r="U86" s="274"/>
      <c r="V86" s="274"/>
      <c r="W86" s="274"/>
      <c r="X86" s="274"/>
      <c r="Y86" s="274"/>
      <c r="Z86" s="274"/>
      <c r="AA86" s="274"/>
      <c r="AB86" s="274"/>
      <c r="AC86" s="274"/>
      <c r="AD86" s="274"/>
      <c r="AE86" s="274"/>
    </row>
    <row r="87" spans="1:47" s="5" customFormat="1" ht="16.5" customHeight="1" x14ac:dyDescent="0.2">
      <c r="A87" s="274"/>
      <c r="B87" s="4"/>
      <c r="C87" s="274"/>
      <c r="D87" s="274"/>
      <c r="E87" s="277" t="str">
        <f>E9</f>
        <v>10 - RESTAURÁTORSKÝ ZÁMĚR - Truhlářská část, společně pro objekty A, B a C</v>
      </c>
      <c r="F87" s="311"/>
      <c r="G87" s="311"/>
      <c r="H87" s="311"/>
      <c r="I87" s="274"/>
      <c r="J87" s="274"/>
      <c r="K87" s="274"/>
      <c r="L87" s="45"/>
      <c r="S87" s="274"/>
      <c r="T87" s="274"/>
      <c r="U87" s="274"/>
      <c r="V87" s="274"/>
      <c r="W87" s="274"/>
      <c r="X87" s="274"/>
      <c r="Y87" s="274"/>
      <c r="Z87" s="274"/>
      <c r="AA87" s="274"/>
      <c r="AB87" s="274"/>
      <c r="AC87" s="274"/>
      <c r="AD87" s="274"/>
      <c r="AE87" s="274"/>
    </row>
    <row r="88" spans="1:47" s="5" customFormat="1" ht="6.95" customHeight="1" x14ac:dyDescent="0.2">
      <c r="A88" s="274"/>
      <c r="B88" s="4"/>
      <c r="C88" s="274"/>
      <c r="D88" s="274"/>
      <c r="E88" s="274"/>
      <c r="F88" s="274"/>
      <c r="G88" s="274"/>
      <c r="H88" s="274"/>
      <c r="I88" s="274"/>
      <c r="J88" s="274"/>
      <c r="K88" s="274"/>
      <c r="L88" s="45"/>
      <c r="S88" s="274"/>
      <c r="T88" s="274"/>
      <c r="U88" s="274"/>
      <c r="V88" s="274"/>
      <c r="W88" s="274"/>
      <c r="X88" s="274"/>
      <c r="Y88" s="274"/>
      <c r="Z88" s="274"/>
      <c r="AA88" s="274"/>
      <c r="AB88" s="274"/>
      <c r="AC88" s="274"/>
      <c r="AD88" s="274"/>
      <c r="AE88" s="274"/>
    </row>
    <row r="89" spans="1:47" s="5" customFormat="1" ht="12" customHeight="1" x14ac:dyDescent="0.2">
      <c r="A89" s="274"/>
      <c r="B89" s="4"/>
      <c r="C89" s="275" t="s">
        <v>17</v>
      </c>
      <c r="D89" s="274"/>
      <c r="E89" s="274"/>
      <c r="F89" s="268" t="str">
        <f>F12</f>
        <v>OPLETALOVA 47,49 - PRAHA 1</v>
      </c>
      <c r="G89" s="274"/>
      <c r="H89" s="274"/>
      <c r="I89" s="275" t="s">
        <v>19</v>
      </c>
      <c r="J89" s="273">
        <f>IF(J12="","",J12)</f>
        <v>44310</v>
      </c>
      <c r="K89" s="274"/>
      <c r="L89" s="45"/>
      <c r="S89" s="274"/>
      <c r="T89" s="274"/>
      <c r="U89" s="274"/>
      <c r="V89" s="274"/>
      <c r="W89" s="274"/>
      <c r="X89" s="274"/>
      <c r="Y89" s="274"/>
      <c r="Z89" s="274"/>
      <c r="AA89" s="274"/>
      <c r="AB89" s="274"/>
      <c r="AC89" s="274"/>
      <c r="AD89" s="274"/>
      <c r="AE89" s="274"/>
    </row>
    <row r="90" spans="1:47" s="5" customFormat="1" ht="6.95" customHeight="1" x14ac:dyDescent="0.2">
      <c r="A90" s="274"/>
      <c r="B90" s="4"/>
      <c r="C90" s="274"/>
      <c r="D90" s="274"/>
      <c r="E90" s="274"/>
      <c r="F90" s="274"/>
      <c r="G90" s="274"/>
      <c r="H90" s="274"/>
      <c r="I90" s="274"/>
      <c r="J90" s="274"/>
      <c r="K90" s="274"/>
      <c r="L90" s="45"/>
      <c r="S90" s="274"/>
      <c r="T90" s="274"/>
      <c r="U90" s="274"/>
      <c r="V90" s="274"/>
      <c r="W90" s="274"/>
      <c r="X90" s="274"/>
      <c r="Y90" s="274"/>
      <c r="Z90" s="274"/>
      <c r="AA90" s="274"/>
      <c r="AB90" s="274"/>
      <c r="AC90" s="274"/>
      <c r="AD90" s="274"/>
      <c r="AE90" s="274"/>
    </row>
    <row r="91" spans="1:47" s="5" customFormat="1" ht="38.25" x14ac:dyDescent="0.2">
      <c r="A91" s="274"/>
      <c r="B91" s="4"/>
      <c r="C91" s="275" t="s">
        <v>20</v>
      </c>
      <c r="D91" s="274"/>
      <c r="E91" s="274"/>
      <c r="F91" s="268" t="str">
        <f>E15</f>
        <v>Filozofická fakulta, UK</v>
      </c>
      <c r="G91" s="274"/>
      <c r="H91" s="274"/>
      <c r="I91" s="275" t="s">
        <v>24</v>
      </c>
      <c r="J91" s="269" t="str">
        <f>E21</f>
        <v>Škarda architekti - ing.arch. Václav Škarda</v>
      </c>
      <c r="K91" s="274"/>
      <c r="L91" s="45"/>
      <c r="S91" s="274"/>
      <c r="T91" s="274"/>
      <c r="U91" s="274"/>
      <c r="V91" s="274"/>
      <c r="W91" s="274"/>
      <c r="X91" s="274"/>
      <c r="Y91" s="274"/>
      <c r="Z91" s="274"/>
      <c r="AA91" s="274"/>
      <c r="AB91" s="274"/>
      <c r="AC91" s="274"/>
      <c r="AD91" s="274"/>
      <c r="AE91" s="274"/>
    </row>
    <row r="92" spans="1:47" s="5" customFormat="1" ht="15.2" customHeight="1" x14ac:dyDescent="0.2">
      <c r="A92" s="274"/>
      <c r="B92" s="4"/>
      <c r="C92" s="275" t="s">
        <v>23</v>
      </c>
      <c r="D92" s="274"/>
      <c r="E92" s="274"/>
      <c r="F92" s="268" t="str">
        <f>IF(E18="","",E18)</f>
        <v xml:space="preserve"> </v>
      </c>
      <c r="G92" s="274"/>
      <c r="H92" s="274"/>
      <c r="I92" s="275" t="s">
        <v>26</v>
      </c>
      <c r="J92" s="269" t="str">
        <f>E24</f>
        <v>Vladimír Mrázek</v>
      </c>
      <c r="K92" s="274"/>
      <c r="L92" s="45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</row>
    <row r="93" spans="1:47" s="5" customFormat="1" ht="10.35" customHeight="1" x14ac:dyDescent="0.2">
      <c r="A93" s="274"/>
      <c r="B93" s="4"/>
      <c r="C93" s="274"/>
      <c r="D93" s="274"/>
      <c r="E93" s="274"/>
      <c r="F93" s="274"/>
      <c r="G93" s="274"/>
      <c r="H93" s="274"/>
      <c r="I93" s="274"/>
      <c r="J93" s="274"/>
      <c r="K93" s="274"/>
      <c r="L93" s="45"/>
      <c r="S93" s="274"/>
      <c r="T93" s="274"/>
      <c r="U93" s="274"/>
      <c r="V93" s="274"/>
      <c r="W93" s="274"/>
      <c r="X93" s="274"/>
      <c r="Y93" s="274"/>
      <c r="Z93" s="274"/>
      <c r="AA93" s="274"/>
      <c r="AB93" s="274"/>
      <c r="AC93" s="274"/>
      <c r="AD93" s="274"/>
      <c r="AE93" s="274"/>
    </row>
    <row r="94" spans="1:47" s="5" customFormat="1" ht="29.25" customHeight="1" x14ac:dyDescent="0.2">
      <c r="A94" s="274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274"/>
      <c r="T94" s="274"/>
      <c r="U94" s="274"/>
      <c r="V94" s="274"/>
      <c r="W94" s="274"/>
      <c r="X94" s="274"/>
      <c r="Y94" s="274"/>
      <c r="Z94" s="274"/>
      <c r="AA94" s="274"/>
      <c r="AB94" s="274"/>
      <c r="AC94" s="274"/>
      <c r="AD94" s="274"/>
      <c r="AE94" s="274"/>
    </row>
    <row r="95" spans="1:47" s="5" customFormat="1" ht="10.35" customHeight="1" x14ac:dyDescent="0.2">
      <c r="A95" s="274"/>
      <c r="B95" s="4"/>
      <c r="C95" s="274"/>
      <c r="D95" s="274"/>
      <c r="E95" s="274"/>
      <c r="F95" s="274"/>
      <c r="G95" s="274"/>
      <c r="H95" s="274"/>
      <c r="I95" s="274"/>
      <c r="J95" s="274"/>
      <c r="K95" s="274"/>
      <c r="L95" s="45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</row>
    <row r="96" spans="1:47" s="5" customFormat="1" ht="22.9" customHeight="1" x14ac:dyDescent="0.2">
      <c r="A96" s="274"/>
      <c r="B96" s="4"/>
      <c r="C96" s="78" t="s">
        <v>91</v>
      </c>
      <c r="D96" s="274"/>
      <c r="E96" s="274"/>
      <c r="F96" s="274"/>
      <c r="G96" s="274"/>
      <c r="H96" s="274"/>
      <c r="I96" s="274"/>
      <c r="J96" s="272">
        <f>J139</f>
        <v>0</v>
      </c>
      <c r="K96" s="274"/>
      <c r="L96" s="45"/>
      <c r="S96" s="274"/>
      <c r="T96" s="274"/>
      <c r="U96" s="274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  <c r="AU96" s="13" t="s">
        <v>92</v>
      </c>
    </row>
    <row r="97" spans="2:12" s="80" customFormat="1" ht="24.95" customHeight="1" x14ac:dyDescent="0.2">
      <c r="B97" s="79"/>
      <c r="D97" s="81" t="s">
        <v>93</v>
      </c>
      <c r="E97" s="82"/>
      <c r="F97" s="82"/>
      <c r="G97" s="82"/>
      <c r="H97" s="82"/>
      <c r="I97" s="82"/>
      <c r="J97" s="83">
        <f>J140</f>
        <v>0</v>
      </c>
      <c r="L97" s="79"/>
    </row>
    <row r="98" spans="2:12" s="80" customFormat="1" ht="24.95" customHeight="1" x14ac:dyDescent="0.2">
      <c r="B98" s="79"/>
      <c r="D98" s="81" t="s">
        <v>94</v>
      </c>
      <c r="E98" s="82"/>
      <c r="F98" s="82"/>
      <c r="G98" s="82"/>
      <c r="H98" s="82"/>
      <c r="I98" s="82"/>
      <c r="J98" s="83">
        <f>J143</f>
        <v>0</v>
      </c>
      <c r="L98" s="79"/>
    </row>
    <row r="99" spans="2:12" s="80" customFormat="1" ht="24.95" customHeight="1" x14ac:dyDescent="0.2">
      <c r="B99" s="79"/>
      <c r="D99" s="81" t="s">
        <v>95</v>
      </c>
      <c r="E99" s="82"/>
      <c r="F99" s="82"/>
      <c r="G99" s="82"/>
      <c r="H99" s="82"/>
      <c r="I99" s="82"/>
      <c r="J99" s="83">
        <f>J148</f>
        <v>0</v>
      </c>
      <c r="L99" s="79"/>
    </row>
    <row r="100" spans="2:12" s="80" customFormat="1" ht="24.95" customHeight="1" x14ac:dyDescent="0.2">
      <c r="B100" s="79"/>
      <c r="D100" s="81" t="s">
        <v>96</v>
      </c>
      <c r="E100" s="82"/>
      <c r="F100" s="82"/>
      <c r="G100" s="82"/>
      <c r="H100" s="82"/>
      <c r="I100" s="82"/>
      <c r="J100" s="83">
        <f>J151</f>
        <v>0</v>
      </c>
      <c r="L100" s="79"/>
    </row>
    <row r="101" spans="2:12" s="80" customFormat="1" ht="24.95" customHeight="1" x14ac:dyDescent="0.2">
      <c r="B101" s="79"/>
      <c r="D101" s="81" t="s">
        <v>97</v>
      </c>
      <c r="E101" s="82"/>
      <c r="F101" s="82"/>
      <c r="G101" s="82"/>
      <c r="H101" s="82"/>
      <c r="I101" s="82"/>
      <c r="J101" s="83">
        <f>J154</f>
        <v>0</v>
      </c>
      <c r="L101" s="79"/>
    </row>
    <row r="102" spans="2:12" s="80" customFormat="1" ht="24.95" customHeight="1" x14ac:dyDescent="0.2">
      <c r="B102" s="79"/>
      <c r="D102" s="81" t="s">
        <v>98</v>
      </c>
      <c r="E102" s="82"/>
      <c r="F102" s="82"/>
      <c r="G102" s="82"/>
      <c r="H102" s="82"/>
      <c r="I102" s="82"/>
      <c r="J102" s="83">
        <f>J158</f>
        <v>0</v>
      </c>
      <c r="L102" s="79"/>
    </row>
    <row r="103" spans="2:12" s="80" customFormat="1" ht="24.95" customHeight="1" x14ac:dyDescent="0.2">
      <c r="B103" s="79"/>
      <c r="D103" s="81" t="s">
        <v>99</v>
      </c>
      <c r="E103" s="82"/>
      <c r="F103" s="82"/>
      <c r="G103" s="82"/>
      <c r="H103" s="82"/>
      <c r="I103" s="82"/>
      <c r="J103" s="83">
        <f>J161</f>
        <v>0</v>
      </c>
      <c r="L103" s="79"/>
    </row>
    <row r="104" spans="2:12" s="80" customFormat="1" ht="24.95" customHeight="1" x14ac:dyDescent="0.2">
      <c r="B104" s="79"/>
      <c r="D104" s="81" t="s">
        <v>100</v>
      </c>
      <c r="E104" s="82"/>
      <c r="F104" s="82"/>
      <c r="G104" s="82"/>
      <c r="H104" s="82"/>
      <c r="I104" s="82"/>
      <c r="J104" s="83">
        <f>J165</f>
        <v>0</v>
      </c>
      <c r="L104" s="79"/>
    </row>
    <row r="105" spans="2:12" s="80" customFormat="1" ht="24.95" customHeight="1" x14ac:dyDescent="0.2">
      <c r="B105" s="79"/>
      <c r="D105" s="81" t="s">
        <v>101</v>
      </c>
      <c r="E105" s="82"/>
      <c r="F105" s="82"/>
      <c r="G105" s="82"/>
      <c r="H105" s="82"/>
      <c r="I105" s="82"/>
      <c r="J105" s="83">
        <f>J171</f>
        <v>0</v>
      </c>
      <c r="L105" s="79"/>
    </row>
    <row r="106" spans="2:12" s="80" customFormat="1" ht="24.95" customHeight="1" x14ac:dyDescent="0.2">
      <c r="B106" s="79"/>
      <c r="D106" s="81" t="s">
        <v>102</v>
      </c>
      <c r="E106" s="82"/>
      <c r="F106" s="82"/>
      <c r="G106" s="82"/>
      <c r="H106" s="82"/>
      <c r="I106" s="82"/>
      <c r="J106" s="83">
        <f>J174</f>
        <v>0</v>
      </c>
      <c r="L106" s="79"/>
    </row>
    <row r="107" spans="2:12" s="80" customFormat="1" ht="24.95" customHeight="1" x14ac:dyDescent="0.2">
      <c r="B107" s="79"/>
      <c r="D107" s="81" t="s">
        <v>103</v>
      </c>
      <c r="E107" s="82"/>
      <c r="F107" s="82"/>
      <c r="G107" s="82"/>
      <c r="H107" s="82"/>
      <c r="I107" s="82"/>
      <c r="J107" s="83">
        <f>J177</f>
        <v>0</v>
      </c>
      <c r="L107" s="79"/>
    </row>
    <row r="108" spans="2:12" s="80" customFormat="1" ht="24.95" customHeight="1" x14ac:dyDescent="0.2">
      <c r="B108" s="79"/>
      <c r="D108" s="81" t="s">
        <v>104</v>
      </c>
      <c r="E108" s="82"/>
      <c r="F108" s="82"/>
      <c r="G108" s="82"/>
      <c r="H108" s="82"/>
      <c r="I108" s="82"/>
      <c r="J108" s="83">
        <f>J181</f>
        <v>0</v>
      </c>
      <c r="L108" s="79"/>
    </row>
    <row r="109" spans="2:12" s="80" customFormat="1" ht="24.95" customHeight="1" x14ac:dyDescent="0.2">
      <c r="B109" s="79"/>
      <c r="D109" s="81" t="s">
        <v>105</v>
      </c>
      <c r="E109" s="82"/>
      <c r="F109" s="82"/>
      <c r="G109" s="82"/>
      <c r="H109" s="82"/>
      <c r="I109" s="82"/>
      <c r="J109" s="83">
        <f>J185</f>
        <v>0</v>
      </c>
      <c r="L109" s="79"/>
    </row>
    <row r="110" spans="2:12" s="80" customFormat="1" ht="24.95" customHeight="1" x14ac:dyDescent="0.2">
      <c r="B110" s="79"/>
      <c r="D110" s="81" t="s">
        <v>106</v>
      </c>
      <c r="E110" s="82"/>
      <c r="F110" s="82"/>
      <c r="G110" s="82"/>
      <c r="H110" s="82"/>
      <c r="I110" s="82"/>
      <c r="J110" s="83">
        <f>J189</f>
        <v>0</v>
      </c>
      <c r="L110" s="79"/>
    </row>
    <row r="111" spans="2:12" s="80" customFormat="1" ht="24.95" customHeight="1" x14ac:dyDescent="0.2">
      <c r="B111" s="79"/>
      <c r="D111" s="81" t="s">
        <v>107</v>
      </c>
      <c r="E111" s="82"/>
      <c r="F111" s="82"/>
      <c r="G111" s="82"/>
      <c r="H111" s="82"/>
      <c r="I111" s="82"/>
      <c r="J111" s="83">
        <f>J193</f>
        <v>0</v>
      </c>
      <c r="L111" s="79"/>
    </row>
    <row r="112" spans="2:12" s="80" customFormat="1" ht="24.95" customHeight="1" x14ac:dyDescent="0.2">
      <c r="B112" s="79"/>
      <c r="D112" s="81" t="s">
        <v>108</v>
      </c>
      <c r="E112" s="82"/>
      <c r="F112" s="82"/>
      <c r="G112" s="82"/>
      <c r="H112" s="82"/>
      <c r="I112" s="82"/>
      <c r="J112" s="83">
        <f>J196</f>
        <v>0</v>
      </c>
      <c r="L112" s="79"/>
    </row>
    <row r="113" spans="1:31" s="80" customFormat="1" ht="24.95" customHeight="1" x14ac:dyDescent="0.2">
      <c r="B113" s="79"/>
      <c r="D113" s="81" t="s">
        <v>109</v>
      </c>
      <c r="E113" s="82"/>
      <c r="F113" s="82"/>
      <c r="G113" s="82"/>
      <c r="H113" s="82"/>
      <c r="I113" s="82"/>
      <c r="J113" s="83">
        <f>J199</f>
        <v>0</v>
      </c>
      <c r="L113" s="79"/>
    </row>
    <row r="114" spans="1:31" s="80" customFormat="1" ht="24.95" customHeight="1" x14ac:dyDescent="0.2">
      <c r="B114" s="79"/>
      <c r="D114" s="81" t="s">
        <v>110</v>
      </c>
      <c r="E114" s="82"/>
      <c r="F114" s="82"/>
      <c r="G114" s="82"/>
      <c r="H114" s="82"/>
      <c r="I114" s="82"/>
      <c r="J114" s="83">
        <f>J202</f>
        <v>0</v>
      </c>
      <c r="L114" s="79"/>
    </row>
    <row r="115" spans="1:31" s="80" customFormat="1" ht="24.95" customHeight="1" x14ac:dyDescent="0.2">
      <c r="B115" s="79"/>
      <c r="D115" s="81" t="s">
        <v>111</v>
      </c>
      <c r="E115" s="82"/>
      <c r="F115" s="82"/>
      <c r="G115" s="82"/>
      <c r="H115" s="82"/>
      <c r="I115" s="82"/>
      <c r="J115" s="83">
        <f>J206</f>
        <v>0</v>
      </c>
      <c r="L115" s="79"/>
    </row>
    <row r="116" spans="1:31" s="80" customFormat="1" ht="24.95" customHeight="1" x14ac:dyDescent="0.2">
      <c r="B116" s="79"/>
      <c r="D116" s="81" t="s">
        <v>112</v>
      </c>
      <c r="E116" s="82"/>
      <c r="F116" s="82"/>
      <c r="G116" s="82"/>
      <c r="H116" s="82"/>
      <c r="I116" s="82"/>
      <c r="J116" s="83">
        <f>J211</f>
        <v>0</v>
      </c>
      <c r="L116" s="79"/>
    </row>
    <row r="117" spans="1:31" s="80" customFormat="1" ht="24.95" customHeight="1" x14ac:dyDescent="0.2">
      <c r="B117" s="79"/>
      <c r="D117" s="81" t="s">
        <v>113</v>
      </c>
      <c r="E117" s="82"/>
      <c r="F117" s="82"/>
      <c r="G117" s="82"/>
      <c r="H117" s="82"/>
      <c r="I117" s="82"/>
      <c r="J117" s="83">
        <f>J215</f>
        <v>0</v>
      </c>
      <c r="L117" s="79"/>
    </row>
    <row r="118" spans="1:31" s="80" customFormat="1" ht="24.95" customHeight="1" x14ac:dyDescent="0.2">
      <c r="B118" s="79"/>
      <c r="D118" s="81" t="s">
        <v>114</v>
      </c>
      <c r="E118" s="82"/>
      <c r="F118" s="82"/>
      <c r="G118" s="82"/>
      <c r="H118" s="82"/>
      <c r="I118" s="82"/>
      <c r="J118" s="83">
        <f>J218</f>
        <v>0</v>
      </c>
      <c r="L118" s="79"/>
    </row>
    <row r="119" spans="1:31" s="5" customFormat="1" ht="21.75" customHeight="1" x14ac:dyDescent="0.2">
      <c r="A119" s="274"/>
      <c r="B119" s="4"/>
      <c r="C119" s="274"/>
      <c r="D119" s="274"/>
      <c r="E119" s="274"/>
      <c r="F119" s="274"/>
      <c r="G119" s="274"/>
      <c r="H119" s="274"/>
      <c r="I119" s="274"/>
      <c r="J119" s="274"/>
      <c r="K119" s="274"/>
      <c r="L119" s="45"/>
      <c r="S119" s="274"/>
      <c r="T119" s="274"/>
      <c r="U119" s="274"/>
      <c r="V119" s="274"/>
      <c r="W119" s="274"/>
      <c r="X119" s="274"/>
      <c r="Y119" s="274"/>
      <c r="Z119" s="274"/>
      <c r="AA119" s="274"/>
      <c r="AB119" s="274"/>
      <c r="AC119" s="274"/>
      <c r="AD119" s="274"/>
      <c r="AE119" s="274"/>
    </row>
    <row r="120" spans="1:31" s="5" customFormat="1" ht="6.95" customHeight="1" x14ac:dyDescent="0.2">
      <c r="A120" s="274"/>
      <c r="B120" s="2"/>
      <c r="C120" s="3"/>
      <c r="D120" s="3"/>
      <c r="E120" s="3"/>
      <c r="F120" s="3"/>
      <c r="G120" s="3"/>
      <c r="H120" s="3"/>
      <c r="I120" s="3"/>
      <c r="J120" s="3"/>
      <c r="K120" s="3"/>
      <c r="L120" s="45"/>
      <c r="S120" s="274"/>
      <c r="T120" s="274"/>
      <c r="U120" s="274"/>
      <c r="V120" s="274"/>
      <c r="W120" s="274"/>
      <c r="X120" s="274"/>
      <c r="Y120" s="274"/>
      <c r="Z120" s="274"/>
      <c r="AA120" s="274"/>
      <c r="AB120" s="274"/>
      <c r="AC120" s="274"/>
      <c r="AD120" s="274"/>
      <c r="AE120" s="274"/>
    </row>
    <row r="124" spans="1:31" s="5" customFormat="1" ht="6.95" customHeight="1" x14ac:dyDescent="0.2">
      <c r="A124" s="274"/>
      <c r="B124" s="74"/>
      <c r="C124" s="75"/>
      <c r="D124" s="75"/>
      <c r="E124" s="75"/>
      <c r="F124" s="75"/>
      <c r="G124" s="75"/>
      <c r="H124" s="75"/>
      <c r="I124" s="75"/>
      <c r="J124" s="75"/>
      <c r="K124" s="75"/>
      <c r="L124" s="45"/>
      <c r="S124" s="274"/>
      <c r="T124" s="274"/>
      <c r="U124" s="274"/>
      <c r="V124" s="274"/>
      <c r="W124" s="274"/>
      <c r="X124" s="274"/>
      <c r="Y124" s="274"/>
      <c r="Z124" s="274"/>
      <c r="AA124" s="274"/>
      <c r="AB124" s="274"/>
      <c r="AC124" s="274"/>
      <c r="AD124" s="274"/>
      <c r="AE124" s="274"/>
    </row>
    <row r="125" spans="1:31" s="5" customFormat="1" ht="24.95" customHeight="1" x14ac:dyDescent="0.2">
      <c r="A125" s="274"/>
      <c r="B125" s="4"/>
      <c r="C125" s="43" t="s">
        <v>115</v>
      </c>
      <c r="D125" s="274"/>
      <c r="E125" s="274"/>
      <c r="F125" s="274"/>
      <c r="G125" s="274"/>
      <c r="H125" s="274"/>
      <c r="I125" s="274"/>
      <c r="J125" s="274"/>
      <c r="K125" s="274"/>
      <c r="L125" s="45"/>
      <c r="S125" s="274"/>
      <c r="T125" s="274"/>
      <c r="U125" s="274"/>
      <c r="V125" s="274"/>
      <c r="W125" s="274"/>
      <c r="X125" s="274"/>
      <c r="Y125" s="274"/>
      <c r="Z125" s="274"/>
      <c r="AA125" s="274"/>
      <c r="AB125" s="274"/>
      <c r="AC125" s="274"/>
      <c r="AD125" s="274"/>
      <c r="AE125" s="274"/>
    </row>
    <row r="126" spans="1:31" s="5" customFormat="1" ht="6.95" customHeight="1" x14ac:dyDescent="0.2">
      <c r="A126" s="274"/>
      <c r="B126" s="4"/>
      <c r="C126" s="274"/>
      <c r="D126" s="274"/>
      <c r="E126" s="274"/>
      <c r="F126" s="274"/>
      <c r="G126" s="274"/>
      <c r="H126" s="274"/>
      <c r="I126" s="274"/>
      <c r="J126" s="274"/>
      <c r="K126" s="274"/>
      <c r="L126" s="45"/>
      <c r="S126" s="274"/>
      <c r="T126" s="274"/>
      <c r="U126" s="274"/>
      <c r="V126" s="274"/>
      <c r="W126" s="274"/>
      <c r="X126" s="274"/>
      <c r="Y126" s="274"/>
      <c r="Z126" s="274"/>
      <c r="AA126" s="274"/>
      <c r="AB126" s="274"/>
      <c r="AC126" s="274"/>
      <c r="AD126" s="274"/>
      <c r="AE126" s="274"/>
    </row>
    <row r="127" spans="1:31" s="5" customFormat="1" ht="12" customHeight="1" x14ac:dyDescent="0.2">
      <c r="A127" s="274"/>
      <c r="B127" s="4"/>
      <c r="C127" s="275" t="s">
        <v>14</v>
      </c>
      <c r="D127" s="274"/>
      <c r="E127" s="274"/>
      <c r="F127" s="274"/>
      <c r="G127" s="274"/>
      <c r="H127" s="274"/>
      <c r="I127" s="274"/>
      <c r="J127" s="274"/>
      <c r="K127" s="274"/>
      <c r="L127" s="45"/>
      <c r="S127" s="274"/>
      <c r="T127" s="274"/>
      <c r="U127" s="274"/>
      <c r="V127" s="274"/>
      <c r="W127" s="274"/>
      <c r="X127" s="274"/>
      <c r="Y127" s="274"/>
      <c r="Z127" s="274"/>
      <c r="AA127" s="274"/>
      <c r="AB127" s="274"/>
      <c r="AC127" s="274"/>
      <c r="AD127" s="274"/>
      <c r="AE127" s="274"/>
    </row>
    <row r="128" spans="1:31" s="5" customFormat="1" ht="16.5" customHeight="1" x14ac:dyDescent="0.2">
      <c r="A128" s="274"/>
      <c r="B128" s="4"/>
      <c r="C128" s="274"/>
      <c r="D128" s="274"/>
      <c r="E128" s="312" t="str">
        <f>E7</f>
        <v>REKONSTRUKCE A DOSTAVBA BUDOV FF UK - DVD</v>
      </c>
      <c r="F128" s="313"/>
      <c r="G128" s="313"/>
      <c r="H128" s="313"/>
      <c r="I128" s="274"/>
      <c r="J128" s="274"/>
      <c r="K128" s="274"/>
      <c r="L128" s="45"/>
      <c r="S128" s="274"/>
      <c r="T128" s="274"/>
      <c r="U128" s="274"/>
      <c r="V128" s="274"/>
      <c r="W128" s="274"/>
      <c r="X128" s="274"/>
      <c r="Y128" s="274"/>
      <c r="Z128" s="274"/>
      <c r="AA128" s="274"/>
      <c r="AB128" s="274"/>
      <c r="AC128" s="274"/>
      <c r="AD128" s="274"/>
      <c r="AE128" s="274"/>
    </row>
    <row r="129" spans="1:65" s="5" customFormat="1" ht="12" customHeight="1" x14ac:dyDescent="0.2">
      <c r="A129" s="274"/>
      <c r="B129" s="4"/>
      <c r="C129" s="275" t="s">
        <v>87</v>
      </c>
      <c r="D129" s="274"/>
      <c r="E129" s="274"/>
      <c r="F129" s="274"/>
      <c r="G129" s="274"/>
      <c r="H129" s="274"/>
      <c r="I129" s="274"/>
      <c r="J129" s="274"/>
      <c r="K129" s="274"/>
      <c r="L129" s="45"/>
      <c r="S129" s="274"/>
      <c r="T129" s="274"/>
      <c r="U129" s="274"/>
      <c r="V129" s="274"/>
      <c r="W129" s="274"/>
      <c r="X129" s="274"/>
      <c r="Y129" s="274"/>
      <c r="Z129" s="274"/>
      <c r="AA129" s="274"/>
      <c r="AB129" s="274"/>
      <c r="AC129" s="274"/>
      <c r="AD129" s="274"/>
      <c r="AE129" s="274"/>
    </row>
    <row r="130" spans="1:65" s="5" customFormat="1" ht="16.5" customHeight="1" x14ac:dyDescent="0.2">
      <c r="A130" s="274"/>
      <c r="B130" s="4"/>
      <c r="C130" s="274"/>
      <c r="D130" s="274"/>
      <c r="E130" s="277" t="str">
        <f>E9</f>
        <v>10 - RESTAURÁTORSKÝ ZÁMĚR - Truhlářská část, společně pro objekty A, B a C</v>
      </c>
      <c r="F130" s="311"/>
      <c r="G130" s="311"/>
      <c r="H130" s="311"/>
      <c r="I130" s="274"/>
      <c r="J130" s="274"/>
      <c r="K130" s="274"/>
      <c r="L130" s="45"/>
      <c r="S130" s="274"/>
      <c r="T130" s="274"/>
      <c r="U130" s="274"/>
      <c r="V130" s="274"/>
      <c r="W130" s="274"/>
      <c r="X130" s="274"/>
      <c r="Y130" s="274"/>
      <c r="Z130" s="274"/>
      <c r="AA130" s="274"/>
      <c r="AB130" s="274"/>
      <c r="AC130" s="274"/>
      <c r="AD130" s="274"/>
      <c r="AE130" s="274"/>
    </row>
    <row r="131" spans="1:65" s="5" customFormat="1" ht="6.95" customHeight="1" x14ac:dyDescent="0.2">
      <c r="A131" s="274"/>
      <c r="B131" s="4"/>
      <c r="C131" s="274"/>
      <c r="D131" s="274"/>
      <c r="E131" s="274"/>
      <c r="F131" s="274"/>
      <c r="G131" s="274"/>
      <c r="H131" s="274"/>
      <c r="I131" s="274"/>
      <c r="J131" s="274"/>
      <c r="K131" s="274"/>
      <c r="L131" s="45"/>
      <c r="S131" s="274"/>
      <c r="T131" s="274"/>
      <c r="U131" s="274"/>
      <c r="V131" s="274"/>
      <c r="W131" s="274"/>
      <c r="X131" s="274"/>
      <c r="Y131" s="274"/>
      <c r="Z131" s="274"/>
      <c r="AA131" s="274"/>
      <c r="AB131" s="274"/>
      <c r="AC131" s="274"/>
      <c r="AD131" s="274"/>
      <c r="AE131" s="274"/>
    </row>
    <row r="132" spans="1:65" s="5" customFormat="1" ht="12" customHeight="1" x14ac:dyDescent="0.2">
      <c r="A132" s="274"/>
      <c r="B132" s="4"/>
      <c r="C132" s="275" t="s">
        <v>17</v>
      </c>
      <c r="D132" s="274"/>
      <c r="E132" s="274"/>
      <c r="F132" s="268" t="str">
        <f>F12</f>
        <v>OPLETALOVA 47,49 - PRAHA 1</v>
      </c>
      <c r="G132" s="274"/>
      <c r="H132" s="274"/>
      <c r="I132" s="275" t="s">
        <v>19</v>
      </c>
      <c r="J132" s="273">
        <f>IF(J12="","",J12)</f>
        <v>44310</v>
      </c>
      <c r="K132" s="274"/>
      <c r="L132" s="45"/>
      <c r="S132" s="274"/>
      <c r="T132" s="274"/>
      <c r="U132" s="274"/>
      <c r="V132" s="274"/>
      <c r="W132" s="274"/>
      <c r="X132" s="274"/>
      <c r="Y132" s="274"/>
      <c r="Z132" s="274"/>
      <c r="AA132" s="274"/>
      <c r="AB132" s="274"/>
      <c r="AC132" s="274"/>
      <c r="AD132" s="274"/>
      <c r="AE132" s="274"/>
    </row>
    <row r="133" spans="1:65" s="5" customFormat="1" ht="6.95" customHeight="1" x14ac:dyDescent="0.2">
      <c r="A133" s="274"/>
      <c r="B133" s="4"/>
      <c r="C133" s="274"/>
      <c r="D133" s="274"/>
      <c r="E133" s="274"/>
      <c r="F133" s="274"/>
      <c r="G133" s="274"/>
      <c r="H133" s="274"/>
      <c r="I133" s="274"/>
      <c r="J133" s="274"/>
      <c r="K133" s="274"/>
      <c r="L133" s="45"/>
      <c r="S133" s="274"/>
      <c r="T133" s="274"/>
      <c r="U133" s="274"/>
      <c r="V133" s="274"/>
      <c r="W133" s="274"/>
      <c r="X133" s="274"/>
      <c r="Y133" s="274"/>
      <c r="Z133" s="274"/>
      <c r="AA133" s="274"/>
      <c r="AB133" s="274"/>
      <c r="AC133" s="274"/>
      <c r="AD133" s="274"/>
      <c r="AE133" s="274"/>
    </row>
    <row r="134" spans="1:65" s="5" customFormat="1" ht="38.25" x14ac:dyDescent="0.2">
      <c r="A134" s="274"/>
      <c r="B134" s="4"/>
      <c r="C134" s="275" t="s">
        <v>20</v>
      </c>
      <c r="D134" s="274"/>
      <c r="E134" s="274"/>
      <c r="F134" s="268" t="str">
        <f>E15</f>
        <v>Filozofická fakulta, UK</v>
      </c>
      <c r="G134" s="274"/>
      <c r="H134" s="274"/>
      <c r="I134" s="275" t="s">
        <v>24</v>
      </c>
      <c r="J134" s="269" t="str">
        <f>E21</f>
        <v>Škarda architekti - ing.arch. Václav Škarda</v>
      </c>
      <c r="K134" s="274"/>
      <c r="L134" s="45"/>
      <c r="S134" s="274"/>
      <c r="T134" s="274"/>
      <c r="U134" s="274"/>
      <c r="V134" s="274"/>
      <c r="W134" s="274"/>
      <c r="X134" s="274"/>
      <c r="Y134" s="274"/>
      <c r="Z134" s="274"/>
      <c r="AA134" s="274"/>
      <c r="AB134" s="274"/>
      <c r="AC134" s="274"/>
      <c r="AD134" s="274"/>
      <c r="AE134" s="274"/>
    </row>
    <row r="135" spans="1:65" s="5" customFormat="1" ht="15.2" customHeight="1" x14ac:dyDescent="0.2">
      <c r="A135" s="274"/>
      <c r="B135" s="4"/>
      <c r="C135" s="275" t="s">
        <v>23</v>
      </c>
      <c r="D135" s="274"/>
      <c r="E135" s="274"/>
      <c r="F135" s="268" t="str">
        <f>IF(E18="","",E18)</f>
        <v xml:space="preserve"> </v>
      </c>
      <c r="G135" s="274"/>
      <c r="H135" s="274"/>
      <c r="I135" s="275" t="s">
        <v>26</v>
      </c>
      <c r="J135" s="269" t="str">
        <f>E24</f>
        <v>Vladimír Mrázek</v>
      </c>
      <c r="K135" s="274"/>
      <c r="L135" s="45"/>
      <c r="S135" s="274"/>
      <c r="T135" s="274"/>
      <c r="U135" s="274"/>
      <c r="V135" s="274"/>
      <c r="W135" s="274"/>
      <c r="X135" s="274"/>
      <c r="Y135" s="274"/>
      <c r="Z135" s="274"/>
      <c r="AA135" s="274"/>
      <c r="AB135" s="274"/>
      <c r="AC135" s="274"/>
      <c r="AD135" s="274"/>
      <c r="AE135" s="274"/>
    </row>
    <row r="136" spans="1:65" s="5" customFormat="1" ht="10.35" customHeight="1" x14ac:dyDescent="0.2">
      <c r="A136" s="274"/>
      <c r="B136" s="4"/>
      <c r="C136" s="274"/>
      <c r="D136" s="274"/>
      <c r="E136" s="274"/>
      <c r="F136" s="274"/>
      <c r="G136" s="274"/>
      <c r="H136" s="274"/>
      <c r="I136" s="274"/>
      <c r="J136" s="274"/>
      <c r="K136" s="274"/>
      <c r="L136" s="45"/>
      <c r="S136" s="274"/>
      <c r="T136" s="274"/>
      <c r="U136" s="274"/>
      <c r="V136" s="274"/>
      <c r="W136" s="274"/>
      <c r="X136" s="274"/>
      <c r="Y136" s="274"/>
      <c r="Z136" s="274"/>
      <c r="AA136" s="274"/>
      <c r="AB136" s="274"/>
      <c r="AC136" s="274"/>
      <c r="AD136" s="274"/>
      <c r="AE136" s="274"/>
    </row>
    <row r="137" spans="1:65" s="93" customFormat="1" ht="29.25" customHeight="1" x14ac:dyDescent="0.2">
      <c r="A137" s="84"/>
      <c r="B137" s="85"/>
      <c r="C137" s="86" t="s">
        <v>116</v>
      </c>
      <c r="D137" s="87" t="s">
        <v>53</v>
      </c>
      <c r="E137" s="87" t="s">
        <v>49</v>
      </c>
      <c r="F137" s="87" t="s">
        <v>50</v>
      </c>
      <c r="G137" s="87" t="s">
        <v>117</v>
      </c>
      <c r="H137" s="87" t="s">
        <v>118</v>
      </c>
      <c r="I137" s="87" t="s">
        <v>119</v>
      </c>
      <c r="J137" s="87" t="s">
        <v>90</v>
      </c>
      <c r="K137" s="88" t="s">
        <v>120</v>
      </c>
      <c r="L137" s="89"/>
      <c r="M137" s="90" t="s">
        <v>1</v>
      </c>
      <c r="N137" s="91" t="s">
        <v>32</v>
      </c>
      <c r="O137" s="91" t="s">
        <v>121</v>
      </c>
      <c r="P137" s="91" t="s">
        <v>122</v>
      </c>
      <c r="Q137" s="91" t="s">
        <v>123</v>
      </c>
      <c r="R137" s="91" t="s">
        <v>124</v>
      </c>
      <c r="S137" s="91" t="s">
        <v>125</v>
      </c>
      <c r="T137" s="92" t="s">
        <v>126</v>
      </c>
      <c r="U137" s="84"/>
      <c r="V137" s="84"/>
      <c r="W137" s="84"/>
      <c r="X137" s="84"/>
      <c r="Y137" s="84"/>
      <c r="Z137" s="84"/>
      <c r="AA137" s="84"/>
      <c r="AB137" s="84"/>
      <c r="AC137" s="84"/>
      <c r="AD137" s="84"/>
      <c r="AE137" s="84"/>
    </row>
    <row r="138" spans="1:65" s="93" customFormat="1" ht="37.5" customHeight="1" x14ac:dyDescent="0.2">
      <c r="B138" s="89"/>
      <c r="C138" s="314" t="s">
        <v>1149</v>
      </c>
      <c r="D138" s="314"/>
      <c r="E138" s="314"/>
      <c r="F138" s="314"/>
      <c r="G138" s="314"/>
      <c r="H138" s="314"/>
      <c r="I138" s="314"/>
      <c r="J138" s="314"/>
      <c r="K138" s="315"/>
      <c r="L138" s="94"/>
      <c r="N138" s="95"/>
      <c r="O138" s="96"/>
      <c r="P138" s="96"/>
      <c r="Q138" s="96"/>
      <c r="R138" s="96"/>
      <c r="S138" s="96"/>
      <c r="T138" s="96"/>
      <c r="U138" s="97"/>
    </row>
    <row r="139" spans="1:65" s="5" customFormat="1" ht="22.9" customHeight="1" x14ac:dyDescent="0.25">
      <c r="A139" s="274"/>
      <c r="B139" s="4"/>
      <c r="C139" s="98" t="s">
        <v>127</v>
      </c>
      <c r="D139" s="274"/>
      <c r="E139" s="274"/>
      <c r="F139" s="274"/>
      <c r="G139" s="274"/>
      <c r="H139" s="274"/>
      <c r="I139" s="274"/>
      <c r="J139" s="99">
        <f>BK139</f>
        <v>0</v>
      </c>
      <c r="K139" s="274"/>
      <c r="L139" s="4"/>
      <c r="M139" s="100"/>
      <c r="N139" s="101"/>
      <c r="O139" s="53"/>
      <c r="P139" s="102">
        <f>P140+P143+P148+P151+P154+P158+P161+P165+P171+P174+P177+P181+P185+P189+P193+P196+P199+P202+P206+P211+P215+P218</f>
        <v>0</v>
      </c>
      <c r="Q139" s="53"/>
      <c r="R139" s="102">
        <f>R140+R143+R148+R151+R154+R158+R161+R165+R171+R174+R177+R181+R185+R189+R193+R196+R199+R202+R206+R211+R215+R218</f>
        <v>0</v>
      </c>
      <c r="S139" s="53"/>
      <c r="T139" s="103">
        <f>T140+T143+T148+T151+T154+T158+T161+T165+T171+T174+T177+T181+T185+T189+T193+T196+T199+T202+T206+T211+T215+T218</f>
        <v>0</v>
      </c>
      <c r="U139" s="274"/>
      <c r="V139" s="274"/>
      <c r="W139" s="274"/>
      <c r="X139" s="274"/>
      <c r="Y139" s="274"/>
      <c r="Z139" s="274"/>
      <c r="AA139" s="274"/>
      <c r="AB139" s="274"/>
      <c r="AC139" s="274"/>
      <c r="AD139" s="274"/>
      <c r="AE139" s="274"/>
      <c r="AT139" s="13" t="s">
        <v>67</v>
      </c>
      <c r="AU139" s="13" t="s">
        <v>92</v>
      </c>
      <c r="BK139" s="104">
        <f>BK140+BK143+BK148+BK151+BK154+BK158+BK161+BK165+BK171+BK174+BK177+BK181+BK185+BK189+BK193+BK196+BK199+BK202+BK206+BK211+BK215+BK218</f>
        <v>0</v>
      </c>
    </row>
    <row r="140" spans="1:65" s="20" customFormat="1" ht="25.9" customHeight="1" x14ac:dyDescent="0.2">
      <c r="B140" s="21"/>
      <c r="D140" s="26" t="s">
        <v>67</v>
      </c>
      <c r="E140" s="39" t="s">
        <v>128</v>
      </c>
      <c r="F140" s="39" t="s">
        <v>129</v>
      </c>
      <c r="J140" s="19">
        <f>BK140</f>
        <v>0</v>
      </c>
      <c r="L140" s="21"/>
      <c r="M140" s="22"/>
      <c r="N140" s="23"/>
      <c r="O140" s="23"/>
      <c r="P140" s="24">
        <f>SUM(P141:P142)</f>
        <v>0</v>
      </c>
      <c r="Q140" s="23"/>
      <c r="R140" s="24">
        <f>SUM(R141:R142)</f>
        <v>0</v>
      </c>
      <c r="S140" s="23"/>
      <c r="T140" s="25">
        <f>SUM(T141:T142)</f>
        <v>0</v>
      </c>
      <c r="AR140" s="26" t="s">
        <v>74</v>
      </c>
      <c r="AT140" s="27" t="s">
        <v>67</v>
      </c>
      <c r="AU140" s="27" t="s">
        <v>68</v>
      </c>
      <c r="AY140" s="26" t="s">
        <v>130</v>
      </c>
      <c r="BK140" s="28">
        <f>SUM(BK141:BK142)</f>
        <v>0</v>
      </c>
    </row>
    <row r="141" spans="1:65" s="5" customFormat="1" ht="16.5" customHeight="1" x14ac:dyDescent="0.2">
      <c r="A141" s="274"/>
      <c r="B141" s="4"/>
      <c r="C141" s="33" t="s">
        <v>74</v>
      </c>
      <c r="D141" s="33" t="s">
        <v>131</v>
      </c>
      <c r="E141" s="34" t="s">
        <v>132</v>
      </c>
      <c r="F141" s="7" t="s">
        <v>133</v>
      </c>
      <c r="G141" s="35" t="s">
        <v>134</v>
      </c>
      <c r="H141" s="36">
        <v>1.9</v>
      </c>
      <c r="I141" s="1"/>
      <c r="J141" s="6">
        <f>ROUND(I141*H141,2)</f>
        <v>0</v>
      </c>
      <c r="K141" s="7" t="s">
        <v>1</v>
      </c>
      <c r="L141" s="4"/>
      <c r="M141" s="8" t="s">
        <v>1</v>
      </c>
      <c r="N141" s="9" t="s">
        <v>33</v>
      </c>
      <c r="O141" s="10">
        <v>0</v>
      </c>
      <c r="P141" s="10">
        <f>O141*H141</f>
        <v>0</v>
      </c>
      <c r="Q141" s="10">
        <v>0</v>
      </c>
      <c r="R141" s="10">
        <f>Q141*H141</f>
        <v>0</v>
      </c>
      <c r="S141" s="10">
        <v>0</v>
      </c>
      <c r="T141" s="11">
        <f>S141*H141</f>
        <v>0</v>
      </c>
      <c r="U141" s="274"/>
      <c r="V141" s="274"/>
      <c r="W141" s="274"/>
      <c r="X141" s="274"/>
      <c r="Y141" s="274"/>
      <c r="Z141" s="274"/>
      <c r="AA141" s="274"/>
      <c r="AB141" s="274"/>
      <c r="AC141" s="274"/>
      <c r="AD141" s="274"/>
      <c r="AE141" s="274"/>
      <c r="AR141" s="12" t="s">
        <v>135</v>
      </c>
      <c r="AT141" s="12" t="s">
        <v>131</v>
      </c>
      <c r="AU141" s="12" t="s">
        <v>74</v>
      </c>
      <c r="AY141" s="13" t="s">
        <v>130</v>
      </c>
      <c r="BE141" s="14">
        <f>IF(N141="základní",J141,0)</f>
        <v>0</v>
      </c>
      <c r="BF141" s="14">
        <f>IF(N141="snížená",J141,0)</f>
        <v>0</v>
      </c>
      <c r="BG141" s="14">
        <f>IF(N141="zákl. přenesená",J141,0)</f>
        <v>0</v>
      </c>
      <c r="BH141" s="14">
        <f>IF(N141="sníž. přenesená",J141,0)</f>
        <v>0</v>
      </c>
      <c r="BI141" s="14">
        <f>IF(N141="nulová",J141,0)</f>
        <v>0</v>
      </c>
      <c r="BJ141" s="13" t="s">
        <v>74</v>
      </c>
      <c r="BK141" s="14">
        <f>ROUND(I141*H141,2)</f>
        <v>0</v>
      </c>
      <c r="BL141" s="13" t="s">
        <v>135</v>
      </c>
      <c r="BM141" s="12" t="s">
        <v>76</v>
      </c>
    </row>
    <row r="142" spans="1:65" s="5" customFormat="1" ht="16.5" customHeight="1" x14ac:dyDescent="0.2">
      <c r="A142" s="274"/>
      <c r="B142" s="4"/>
      <c r="C142" s="33" t="s">
        <v>76</v>
      </c>
      <c r="D142" s="33" t="s">
        <v>131</v>
      </c>
      <c r="E142" s="34" t="s">
        <v>136</v>
      </c>
      <c r="F142" s="7" t="s">
        <v>137</v>
      </c>
      <c r="G142" s="35" t="s">
        <v>138</v>
      </c>
      <c r="H142" s="36">
        <v>1</v>
      </c>
      <c r="I142" s="1"/>
      <c r="J142" s="6">
        <f>ROUND(I142*H142,2)</f>
        <v>0</v>
      </c>
      <c r="K142" s="7" t="s">
        <v>1</v>
      </c>
      <c r="L142" s="4"/>
      <c r="M142" s="8" t="s">
        <v>1</v>
      </c>
      <c r="N142" s="9" t="s">
        <v>33</v>
      </c>
      <c r="O142" s="10">
        <v>0</v>
      </c>
      <c r="P142" s="10">
        <f>O142*H142</f>
        <v>0</v>
      </c>
      <c r="Q142" s="10">
        <v>0</v>
      </c>
      <c r="R142" s="10">
        <f>Q142*H142</f>
        <v>0</v>
      </c>
      <c r="S142" s="10">
        <v>0</v>
      </c>
      <c r="T142" s="11">
        <f>S142*H142</f>
        <v>0</v>
      </c>
      <c r="U142" s="274"/>
      <c r="V142" s="274"/>
      <c r="W142" s="274"/>
      <c r="X142" s="274"/>
      <c r="Y142" s="274"/>
      <c r="Z142" s="274"/>
      <c r="AA142" s="274"/>
      <c r="AB142" s="274"/>
      <c r="AC142" s="274"/>
      <c r="AD142" s="274"/>
      <c r="AE142" s="274"/>
      <c r="AR142" s="12" t="s">
        <v>135</v>
      </c>
      <c r="AT142" s="12" t="s">
        <v>131</v>
      </c>
      <c r="AU142" s="12" t="s">
        <v>74</v>
      </c>
      <c r="AY142" s="13" t="s">
        <v>130</v>
      </c>
      <c r="BE142" s="14">
        <f>IF(N142="základní",J142,0)</f>
        <v>0</v>
      </c>
      <c r="BF142" s="14">
        <f>IF(N142="snížená",J142,0)</f>
        <v>0</v>
      </c>
      <c r="BG142" s="14">
        <f>IF(N142="zákl. přenesená",J142,0)</f>
        <v>0</v>
      </c>
      <c r="BH142" s="14">
        <f>IF(N142="sníž. přenesená",J142,0)</f>
        <v>0</v>
      </c>
      <c r="BI142" s="14">
        <f>IF(N142="nulová",J142,0)</f>
        <v>0</v>
      </c>
      <c r="BJ142" s="13" t="s">
        <v>74</v>
      </c>
      <c r="BK142" s="14">
        <f>ROUND(I142*H142,2)</f>
        <v>0</v>
      </c>
      <c r="BL142" s="13" t="s">
        <v>135</v>
      </c>
      <c r="BM142" s="12" t="s">
        <v>135</v>
      </c>
    </row>
    <row r="143" spans="1:65" s="20" customFormat="1" ht="25.9" customHeight="1" x14ac:dyDescent="0.2">
      <c r="B143" s="21"/>
      <c r="D143" s="26" t="s">
        <v>67</v>
      </c>
      <c r="E143" s="39" t="s">
        <v>139</v>
      </c>
      <c r="F143" s="39" t="s">
        <v>140</v>
      </c>
      <c r="J143" s="19">
        <f>BK143</f>
        <v>0</v>
      </c>
      <c r="L143" s="21"/>
      <c r="M143" s="22"/>
      <c r="N143" s="23"/>
      <c r="O143" s="23"/>
      <c r="P143" s="24">
        <f>SUM(P144:P147)</f>
        <v>0</v>
      </c>
      <c r="Q143" s="23"/>
      <c r="R143" s="24">
        <f>SUM(R144:R147)</f>
        <v>0</v>
      </c>
      <c r="S143" s="23"/>
      <c r="T143" s="25">
        <f>SUM(T144:T147)</f>
        <v>0</v>
      </c>
      <c r="AR143" s="26" t="s">
        <v>74</v>
      </c>
      <c r="AT143" s="27" t="s">
        <v>67</v>
      </c>
      <c r="AU143" s="27" t="s">
        <v>68</v>
      </c>
      <c r="AY143" s="26" t="s">
        <v>130</v>
      </c>
      <c r="BK143" s="28">
        <f>SUM(BK144:BK147)</f>
        <v>0</v>
      </c>
    </row>
    <row r="144" spans="1:65" s="5" customFormat="1" ht="16.5" customHeight="1" x14ac:dyDescent="0.2">
      <c r="A144" s="274"/>
      <c r="B144" s="4"/>
      <c r="C144" s="33" t="s">
        <v>141</v>
      </c>
      <c r="D144" s="33" t="s">
        <v>131</v>
      </c>
      <c r="E144" s="34" t="s">
        <v>142</v>
      </c>
      <c r="F144" s="7" t="s">
        <v>143</v>
      </c>
      <c r="G144" s="35" t="s">
        <v>134</v>
      </c>
      <c r="H144" s="36">
        <v>11</v>
      </c>
      <c r="I144" s="1"/>
      <c r="J144" s="6">
        <f>ROUND(I144*H144,2)</f>
        <v>0</v>
      </c>
      <c r="K144" s="7" t="s">
        <v>1</v>
      </c>
      <c r="L144" s="4"/>
      <c r="M144" s="8" t="s">
        <v>1</v>
      </c>
      <c r="N144" s="9" t="s">
        <v>33</v>
      </c>
      <c r="O144" s="10">
        <v>0</v>
      </c>
      <c r="P144" s="10">
        <f>O144*H144</f>
        <v>0</v>
      </c>
      <c r="Q144" s="10">
        <v>0</v>
      </c>
      <c r="R144" s="10">
        <f>Q144*H144</f>
        <v>0</v>
      </c>
      <c r="S144" s="10">
        <v>0</v>
      </c>
      <c r="T144" s="11">
        <f>S144*H144</f>
        <v>0</v>
      </c>
      <c r="U144" s="274"/>
      <c r="V144" s="274"/>
      <c r="W144" s="274"/>
      <c r="X144" s="274"/>
      <c r="Y144" s="274"/>
      <c r="Z144" s="274"/>
      <c r="AA144" s="274"/>
      <c r="AB144" s="274"/>
      <c r="AC144" s="274"/>
      <c r="AD144" s="274"/>
      <c r="AE144" s="274"/>
      <c r="AR144" s="12" t="s">
        <v>135</v>
      </c>
      <c r="AT144" s="12" t="s">
        <v>131</v>
      </c>
      <c r="AU144" s="12" t="s">
        <v>74</v>
      </c>
      <c r="AY144" s="13" t="s">
        <v>130</v>
      </c>
      <c r="BE144" s="14">
        <f>IF(N144="základní",J144,0)</f>
        <v>0</v>
      </c>
      <c r="BF144" s="14">
        <f>IF(N144="snížená",J144,0)</f>
        <v>0</v>
      </c>
      <c r="BG144" s="14">
        <f>IF(N144="zákl. přenesená",J144,0)</f>
        <v>0</v>
      </c>
      <c r="BH144" s="14">
        <f>IF(N144="sníž. přenesená",J144,0)</f>
        <v>0</v>
      </c>
      <c r="BI144" s="14">
        <f>IF(N144="nulová",J144,0)</f>
        <v>0</v>
      </c>
      <c r="BJ144" s="13" t="s">
        <v>74</v>
      </c>
      <c r="BK144" s="14">
        <f>ROUND(I144*H144,2)</f>
        <v>0</v>
      </c>
      <c r="BL144" s="13" t="s">
        <v>135</v>
      </c>
      <c r="BM144" s="12" t="s">
        <v>144</v>
      </c>
    </row>
    <row r="145" spans="1:65" s="5" customFormat="1" ht="16.5" customHeight="1" x14ac:dyDescent="0.2">
      <c r="A145" s="274"/>
      <c r="B145" s="4"/>
      <c r="C145" s="33" t="s">
        <v>135</v>
      </c>
      <c r="D145" s="33" t="s">
        <v>131</v>
      </c>
      <c r="E145" s="34" t="s">
        <v>145</v>
      </c>
      <c r="F145" s="7" t="s">
        <v>146</v>
      </c>
      <c r="G145" s="35" t="s">
        <v>134</v>
      </c>
      <c r="H145" s="36">
        <v>11</v>
      </c>
      <c r="I145" s="1"/>
      <c r="J145" s="6">
        <f>ROUND(I145*H145,2)</f>
        <v>0</v>
      </c>
      <c r="K145" s="7" t="s">
        <v>1</v>
      </c>
      <c r="L145" s="4"/>
      <c r="M145" s="8" t="s">
        <v>1</v>
      </c>
      <c r="N145" s="9" t="s">
        <v>33</v>
      </c>
      <c r="O145" s="10">
        <v>0</v>
      </c>
      <c r="P145" s="10">
        <f>O145*H145</f>
        <v>0</v>
      </c>
      <c r="Q145" s="10">
        <v>0</v>
      </c>
      <c r="R145" s="10">
        <f>Q145*H145</f>
        <v>0</v>
      </c>
      <c r="S145" s="10">
        <v>0</v>
      </c>
      <c r="T145" s="11">
        <f>S145*H145</f>
        <v>0</v>
      </c>
      <c r="U145" s="274"/>
      <c r="V145" s="274"/>
      <c r="W145" s="274"/>
      <c r="X145" s="274"/>
      <c r="Y145" s="274"/>
      <c r="Z145" s="274"/>
      <c r="AA145" s="274"/>
      <c r="AB145" s="274"/>
      <c r="AC145" s="274"/>
      <c r="AD145" s="274"/>
      <c r="AE145" s="274"/>
      <c r="AR145" s="12" t="s">
        <v>135</v>
      </c>
      <c r="AT145" s="12" t="s">
        <v>131</v>
      </c>
      <c r="AU145" s="12" t="s">
        <v>74</v>
      </c>
      <c r="AY145" s="13" t="s">
        <v>130</v>
      </c>
      <c r="BE145" s="14">
        <f>IF(N145="základní",J145,0)</f>
        <v>0</v>
      </c>
      <c r="BF145" s="14">
        <f>IF(N145="snížená",J145,0)</f>
        <v>0</v>
      </c>
      <c r="BG145" s="14">
        <f>IF(N145="zákl. přenesená",J145,0)</f>
        <v>0</v>
      </c>
      <c r="BH145" s="14">
        <f>IF(N145="sníž. přenesená",J145,0)</f>
        <v>0</v>
      </c>
      <c r="BI145" s="14">
        <f>IF(N145="nulová",J145,0)</f>
        <v>0</v>
      </c>
      <c r="BJ145" s="13" t="s">
        <v>74</v>
      </c>
      <c r="BK145" s="14">
        <f>ROUND(I145*H145,2)</f>
        <v>0</v>
      </c>
      <c r="BL145" s="13" t="s">
        <v>135</v>
      </c>
      <c r="BM145" s="12" t="s">
        <v>147</v>
      </c>
    </row>
    <row r="146" spans="1:65" s="5" customFormat="1" ht="29.25" x14ac:dyDescent="0.2">
      <c r="A146" s="274"/>
      <c r="B146" s="4"/>
      <c r="C146" s="274"/>
      <c r="D146" s="37" t="s">
        <v>148</v>
      </c>
      <c r="E146" s="274"/>
      <c r="F146" s="38" t="s">
        <v>149</v>
      </c>
      <c r="G146" s="274"/>
      <c r="H146" s="274"/>
      <c r="I146" s="274"/>
      <c r="J146" s="274"/>
      <c r="K146" s="274"/>
      <c r="L146" s="4"/>
      <c r="M146" s="15"/>
      <c r="N146" s="16"/>
      <c r="O146" s="276"/>
      <c r="P146" s="276"/>
      <c r="Q146" s="276"/>
      <c r="R146" s="276"/>
      <c r="S146" s="276"/>
      <c r="T146" s="18"/>
      <c r="U146" s="274"/>
      <c r="V146" s="274"/>
      <c r="W146" s="274"/>
      <c r="X146" s="274"/>
      <c r="Y146" s="274"/>
      <c r="Z146" s="274"/>
      <c r="AA146" s="274"/>
      <c r="AB146" s="274"/>
      <c r="AC146" s="274"/>
      <c r="AD146" s="274"/>
      <c r="AE146" s="274"/>
      <c r="AT146" s="13" t="s">
        <v>148</v>
      </c>
      <c r="AU146" s="13" t="s">
        <v>74</v>
      </c>
    </row>
    <row r="147" spans="1:65" s="5" customFormat="1" ht="16.5" customHeight="1" x14ac:dyDescent="0.2">
      <c r="A147" s="274"/>
      <c r="B147" s="4"/>
      <c r="C147" s="33" t="s">
        <v>150</v>
      </c>
      <c r="D147" s="33" t="s">
        <v>131</v>
      </c>
      <c r="E147" s="34" t="s">
        <v>151</v>
      </c>
      <c r="F147" s="7" t="s">
        <v>152</v>
      </c>
      <c r="G147" s="35" t="s">
        <v>138</v>
      </c>
      <c r="H147" s="36">
        <v>1</v>
      </c>
      <c r="I147" s="1"/>
      <c r="J147" s="6">
        <f>ROUND(I147*H147,2)</f>
        <v>0</v>
      </c>
      <c r="K147" s="7" t="s">
        <v>1</v>
      </c>
      <c r="L147" s="4"/>
      <c r="M147" s="8" t="s">
        <v>1</v>
      </c>
      <c r="N147" s="9" t="s">
        <v>33</v>
      </c>
      <c r="O147" s="10">
        <v>0</v>
      </c>
      <c r="P147" s="10">
        <f>O147*H147</f>
        <v>0</v>
      </c>
      <c r="Q147" s="10">
        <v>0</v>
      </c>
      <c r="R147" s="10">
        <f>Q147*H147</f>
        <v>0</v>
      </c>
      <c r="S147" s="10">
        <v>0</v>
      </c>
      <c r="T147" s="11">
        <f>S147*H147</f>
        <v>0</v>
      </c>
      <c r="U147" s="274"/>
      <c r="V147" s="274"/>
      <c r="W147" s="274"/>
      <c r="X147" s="274"/>
      <c r="Y147" s="274"/>
      <c r="Z147" s="274"/>
      <c r="AA147" s="274"/>
      <c r="AB147" s="274"/>
      <c r="AC147" s="274"/>
      <c r="AD147" s="274"/>
      <c r="AE147" s="274"/>
      <c r="AR147" s="12" t="s">
        <v>135</v>
      </c>
      <c r="AT147" s="12" t="s">
        <v>131</v>
      </c>
      <c r="AU147" s="12" t="s">
        <v>74</v>
      </c>
      <c r="AY147" s="13" t="s">
        <v>130</v>
      </c>
      <c r="BE147" s="14">
        <f>IF(N147="základní",J147,0)</f>
        <v>0</v>
      </c>
      <c r="BF147" s="14">
        <f>IF(N147="snížená",J147,0)</f>
        <v>0</v>
      </c>
      <c r="BG147" s="14">
        <f>IF(N147="zákl. přenesená",J147,0)</f>
        <v>0</v>
      </c>
      <c r="BH147" s="14">
        <f>IF(N147="sníž. přenesená",J147,0)</f>
        <v>0</v>
      </c>
      <c r="BI147" s="14">
        <f>IF(N147="nulová",J147,0)</f>
        <v>0</v>
      </c>
      <c r="BJ147" s="13" t="s">
        <v>74</v>
      </c>
      <c r="BK147" s="14">
        <f>ROUND(I147*H147,2)</f>
        <v>0</v>
      </c>
      <c r="BL147" s="13" t="s">
        <v>135</v>
      </c>
      <c r="BM147" s="12" t="s">
        <v>72</v>
      </c>
    </row>
    <row r="148" spans="1:65" s="20" customFormat="1" ht="25.9" customHeight="1" x14ac:dyDescent="0.2">
      <c r="B148" s="21"/>
      <c r="D148" s="26" t="s">
        <v>67</v>
      </c>
      <c r="E148" s="39" t="s">
        <v>153</v>
      </c>
      <c r="F148" s="39" t="s">
        <v>154</v>
      </c>
      <c r="J148" s="19">
        <f>BK148</f>
        <v>0</v>
      </c>
      <c r="L148" s="21"/>
      <c r="M148" s="22"/>
      <c r="N148" s="23"/>
      <c r="O148" s="23"/>
      <c r="P148" s="24">
        <f>SUM(P149:P150)</f>
        <v>0</v>
      </c>
      <c r="Q148" s="23"/>
      <c r="R148" s="24">
        <f>SUM(R149:R150)</f>
        <v>0</v>
      </c>
      <c r="S148" s="23"/>
      <c r="T148" s="25">
        <f>SUM(T149:T150)</f>
        <v>0</v>
      </c>
      <c r="AR148" s="26" t="s">
        <v>74</v>
      </c>
      <c r="AT148" s="27" t="s">
        <v>67</v>
      </c>
      <c r="AU148" s="27" t="s">
        <v>68</v>
      </c>
      <c r="AY148" s="26" t="s">
        <v>130</v>
      </c>
      <c r="BK148" s="28">
        <f>SUM(BK149:BK150)</f>
        <v>0</v>
      </c>
    </row>
    <row r="149" spans="1:65" s="5" customFormat="1" ht="16.5" customHeight="1" x14ac:dyDescent="0.2">
      <c r="A149" s="274"/>
      <c r="B149" s="4"/>
      <c r="C149" s="33" t="s">
        <v>144</v>
      </c>
      <c r="D149" s="33" t="s">
        <v>131</v>
      </c>
      <c r="E149" s="34" t="s">
        <v>155</v>
      </c>
      <c r="F149" s="7" t="s">
        <v>156</v>
      </c>
      <c r="G149" s="35" t="s">
        <v>157</v>
      </c>
      <c r="H149" s="36">
        <v>1</v>
      </c>
      <c r="I149" s="1"/>
      <c r="J149" s="6">
        <f>ROUND(I149*H149,2)</f>
        <v>0</v>
      </c>
      <c r="K149" s="7" t="s">
        <v>1</v>
      </c>
      <c r="L149" s="4"/>
      <c r="M149" s="8" t="s">
        <v>1</v>
      </c>
      <c r="N149" s="9" t="s">
        <v>33</v>
      </c>
      <c r="O149" s="10">
        <v>0</v>
      </c>
      <c r="P149" s="10">
        <f>O149*H149</f>
        <v>0</v>
      </c>
      <c r="Q149" s="10">
        <v>0</v>
      </c>
      <c r="R149" s="10">
        <f>Q149*H149</f>
        <v>0</v>
      </c>
      <c r="S149" s="10">
        <v>0</v>
      </c>
      <c r="T149" s="11">
        <f>S149*H149</f>
        <v>0</v>
      </c>
      <c r="U149" s="274"/>
      <c r="V149" s="274"/>
      <c r="W149" s="274"/>
      <c r="X149" s="274"/>
      <c r="Y149" s="274"/>
      <c r="Z149" s="274"/>
      <c r="AA149" s="274"/>
      <c r="AB149" s="274"/>
      <c r="AC149" s="274"/>
      <c r="AD149" s="274"/>
      <c r="AE149" s="274"/>
      <c r="AR149" s="12" t="s">
        <v>135</v>
      </c>
      <c r="AT149" s="12" t="s">
        <v>131</v>
      </c>
      <c r="AU149" s="12" t="s">
        <v>74</v>
      </c>
      <c r="AY149" s="13" t="s">
        <v>130</v>
      </c>
      <c r="BE149" s="14">
        <f>IF(N149="základní",J149,0)</f>
        <v>0</v>
      </c>
      <c r="BF149" s="14">
        <f>IF(N149="snížená",J149,0)</f>
        <v>0</v>
      </c>
      <c r="BG149" s="14">
        <f>IF(N149="zákl. přenesená",J149,0)</f>
        <v>0</v>
      </c>
      <c r="BH149" s="14">
        <f>IF(N149="sníž. přenesená",J149,0)</f>
        <v>0</v>
      </c>
      <c r="BI149" s="14">
        <f>IF(N149="nulová",J149,0)</f>
        <v>0</v>
      </c>
      <c r="BJ149" s="13" t="s">
        <v>74</v>
      </c>
      <c r="BK149" s="14">
        <f>ROUND(I149*H149,2)</f>
        <v>0</v>
      </c>
      <c r="BL149" s="13" t="s">
        <v>135</v>
      </c>
      <c r="BM149" s="12" t="s">
        <v>79</v>
      </c>
    </row>
    <row r="150" spans="1:65" s="5" customFormat="1" ht="16.5" customHeight="1" x14ac:dyDescent="0.2">
      <c r="A150" s="274"/>
      <c r="B150" s="4"/>
      <c r="C150" s="33" t="s">
        <v>158</v>
      </c>
      <c r="D150" s="33" t="s">
        <v>131</v>
      </c>
      <c r="E150" s="34" t="s">
        <v>159</v>
      </c>
      <c r="F150" s="7" t="s">
        <v>160</v>
      </c>
      <c r="G150" s="35" t="s">
        <v>134</v>
      </c>
      <c r="H150" s="36">
        <v>0.2</v>
      </c>
      <c r="I150" s="1"/>
      <c r="J150" s="6">
        <f>ROUND(I150*H150,2)</f>
        <v>0</v>
      </c>
      <c r="K150" s="7" t="s">
        <v>1</v>
      </c>
      <c r="L150" s="4"/>
      <c r="M150" s="8" t="s">
        <v>1</v>
      </c>
      <c r="N150" s="9" t="s">
        <v>33</v>
      </c>
      <c r="O150" s="10">
        <v>0</v>
      </c>
      <c r="P150" s="10">
        <f>O150*H150</f>
        <v>0</v>
      </c>
      <c r="Q150" s="10">
        <v>0</v>
      </c>
      <c r="R150" s="10">
        <f>Q150*H150</f>
        <v>0</v>
      </c>
      <c r="S150" s="10">
        <v>0</v>
      </c>
      <c r="T150" s="11">
        <f>S150*H150</f>
        <v>0</v>
      </c>
      <c r="U150" s="274"/>
      <c r="V150" s="274"/>
      <c r="W150" s="274"/>
      <c r="X150" s="274"/>
      <c r="Y150" s="274"/>
      <c r="Z150" s="274"/>
      <c r="AA150" s="274"/>
      <c r="AB150" s="274"/>
      <c r="AC150" s="274"/>
      <c r="AD150" s="274"/>
      <c r="AE150" s="274"/>
      <c r="AR150" s="12" t="s">
        <v>135</v>
      </c>
      <c r="AT150" s="12" t="s">
        <v>131</v>
      </c>
      <c r="AU150" s="12" t="s">
        <v>74</v>
      </c>
      <c r="AY150" s="13" t="s">
        <v>130</v>
      </c>
      <c r="BE150" s="14">
        <f>IF(N150="základní",J150,0)</f>
        <v>0</v>
      </c>
      <c r="BF150" s="14">
        <f>IF(N150="snížená",J150,0)</f>
        <v>0</v>
      </c>
      <c r="BG150" s="14">
        <f>IF(N150="zákl. přenesená",J150,0)</f>
        <v>0</v>
      </c>
      <c r="BH150" s="14">
        <f>IF(N150="sníž. přenesená",J150,0)</f>
        <v>0</v>
      </c>
      <c r="BI150" s="14">
        <f>IF(N150="nulová",J150,0)</f>
        <v>0</v>
      </c>
      <c r="BJ150" s="13" t="s">
        <v>74</v>
      </c>
      <c r="BK150" s="14">
        <f>ROUND(I150*H150,2)</f>
        <v>0</v>
      </c>
      <c r="BL150" s="13" t="s">
        <v>135</v>
      </c>
      <c r="BM150" s="12" t="s">
        <v>83</v>
      </c>
    </row>
    <row r="151" spans="1:65" s="20" customFormat="1" ht="25.9" customHeight="1" x14ac:dyDescent="0.2">
      <c r="B151" s="21"/>
      <c r="D151" s="26" t="s">
        <v>67</v>
      </c>
      <c r="E151" s="39" t="s">
        <v>161</v>
      </c>
      <c r="F151" s="39" t="s">
        <v>162</v>
      </c>
      <c r="J151" s="19">
        <f>BK151</f>
        <v>0</v>
      </c>
      <c r="L151" s="21"/>
      <c r="M151" s="22"/>
      <c r="N151" s="23"/>
      <c r="O151" s="23"/>
      <c r="P151" s="24">
        <f>SUM(P152:P153)</f>
        <v>0</v>
      </c>
      <c r="Q151" s="23"/>
      <c r="R151" s="24">
        <f>SUM(R152:R153)</f>
        <v>0</v>
      </c>
      <c r="S151" s="23"/>
      <c r="T151" s="25">
        <f>SUM(T152:T153)</f>
        <v>0</v>
      </c>
      <c r="AR151" s="26" t="s">
        <v>74</v>
      </c>
      <c r="AT151" s="27" t="s">
        <v>67</v>
      </c>
      <c r="AU151" s="27" t="s">
        <v>68</v>
      </c>
      <c r="AY151" s="26" t="s">
        <v>130</v>
      </c>
      <c r="BK151" s="28">
        <f>SUM(BK152:BK153)</f>
        <v>0</v>
      </c>
    </row>
    <row r="152" spans="1:65" s="5" customFormat="1" ht="16.5" customHeight="1" x14ac:dyDescent="0.2">
      <c r="A152" s="274"/>
      <c r="B152" s="4"/>
      <c r="C152" s="33" t="s">
        <v>147</v>
      </c>
      <c r="D152" s="33" t="s">
        <v>131</v>
      </c>
      <c r="E152" s="34" t="s">
        <v>155</v>
      </c>
      <c r="F152" s="7" t="s">
        <v>156</v>
      </c>
      <c r="G152" s="35" t="s">
        <v>157</v>
      </c>
      <c r="H152" s="36">
        <v>1</v>
      </c>
      <c r="I152" s="1"/>
      <c r="J152" s="6">
        <f>ROUND(I152*H152,2)</f>
        <v>0</v>
      </c>
      <c r="K152" s="7" t="s">
        <v>1</v>
      </c>
      <c r="L152" s="4"/>
      <c r="M152" s="8" t="s">
        <v>1</v>
      </c>
      <c r="N152" s="9" t="s">
        <v>33</v>
      </c>
      <c r="O152" s="10">
        <v>0</v>
      </c>
      <c r="P152" s="10">
        <f>O152*H152</f>
        <v>0</v>
      </c>
      <c r="Q152" s="10">
        <v>0</v>
      </c>
      <c r="R152" s="10">
        <f>Q152*H152</f>
        <v>0</v>
      </c>
      <c r="S152" s="10">
        <v>0</v>
      </c>
      <c r="T152" s="11">
        <f>S152*H152</f>
        <v>0</v>
      </c>
      <c r="U152" s="274"/>
      <c r="V152" s="274"/>
      <c r="W152" s="274"/>
      <c r="X152" s="274"/>
      <c r="Y152" s="274"/>
      <c r="Z152" s="274"/>
      <c r="AA152" s="274"/>
      <c r="AB152" s="274"/>
      <c r="AC152" s="274"/>
      <c r="AD152" s="274"/>
      <c r="AE152" s="274"/>
      <c r="AR152" s="12" t="s">
        <v>135</v>
      </c>
      <c r="AT152" s="12" t="s">
        <v>131</v>
      </c>
      <c r="AU152" s="12" t="s">
        <v>74</v>
      </c>
      <c r="AY152" s="13" t="s">
        <v>130</v>
      </c>
      <c r="BE152" s="14">
        <f>IF(N152="základní",J152,0)</f>
        <v>0</v>
      </c>
      <c r="BF152" s="14">
        <f>IF(N152="snížená",J152,0)</f>
        <v>0</v>
      </c>
      <c r="BG152" s="14">
        <f>IF(N152="zákl. přenesená",J152,0)</f>
        <v>0</v>
      </c>
      <c r="BH152" s="14">
        <f>IF(N152="sníž. přenesená",J152,0)</f>
        <v>0</v>
      </c>
      <c r="BI152" s="14">
        <f>IF(N152="nulová",J152,0)</f>
        <v>0</v>
      </c>
      <c r="BJ152" s="13" t="s">
        <v>74</v>
      </c>
      <c r="BK152" s="14">
        <f>ROUND(I152*H152,2)</f>
        <v>0</v>
      </c>
      <c r="BL152" s="13" t="s">
        <v>135</v>
      </c>
      <c r="BM152" s="12" t="s">
        <v>163</v>
      </c>
    </row>
    <row r="153" spans="1:65" s="5" customFormat="1" ht="16.5" customHeight="1" x14ac:dyDescent="0.2">
      <c r="A153" s="274"/>
      <c r="B153" s="4"/>
      <c r="C153" s="33" t="s">
        <v>164</v>
      </c>
      <c r="D153" s="33" t="s">
        <v>131</v>
      </c>
      <c r="E153" s="34" t="s">
        <v>159</v>
      </c>
      <c r="F153" s="7" t="s">
        <v>160</v>
      </c>
      <c r="G153" s="35" t="s">
        <v>134</v>
      </c>
      <c r="H153" s="36">
        <v>0.2</v>
      </c>
      <c r="I153" s="1"/>
      <c r="J153" s="6">
        <f>ROUND(I153*H153,2)</f>
        <v>0</v>
      </c>
      <c r="K153" s="7" t="s">
        <v>1</v>
      </c>
      <c r="L153" s="4"/>
      <c r="M153" s="8" t="s">
        <v>1</v>
      </c>
      <c r="N153" s="9" t="s">
        <v>33</v>
      </c>
      <c r="O153" s="10">
        <v>0</v>
      </c>
      <c r="P153" s="10">
        <f>O153*H153</f>
        <v>0</v>
      </c>
      <c r="Q153" s="10">
        <v>0</v>
      </c>
      <c r="R153" s="10">
        <f>Q153*H153</f>
        <v>0</v>
      </c>
      <c r="S153" s="10">
        <v>0</v>
      </c>
      <c r="T153" s="11">
        <f>S153*H153</f>
        <v>0</v>
      </c>
      <c r="U153" s="274"/>
      <c r="V153" s="274"/>
      <c r="W153" s="274"/>
      <c r="X153" s="274"/>
      <c r="Y153" s="274"/>
      <c r="Z153" s="274"/>
      <c r="AA153" s="274"/>
      <c r="AB153" s="274"/>
      <c r="AC153" s="274"/>
      <c r="AD153" s="274"/>
      <c r="AE153" s="274"/>
      <c r="AR153" s="12" t="s">
        <v>135</v>
      </c>
      <c r="AT153" s="12" t="s">
        <v>131</v>
      </c>
      <c r="AU153" s="12" t="s">
        <v>74</v>
      </c>
      <c r="AY153" s="13" t="s">
        <v>130</v>
      </c>
      <c r="BE153" s="14">
        <f>IF(N153="základní",J153,0)</f>
        <v>0</v>
      </c>
      <c r="BF153" s="14">
        <f>IF(N153="snížená",J153,0)</f>
        <v>0</v>
      </c>
      <c r="BG153" s="14">
        <f>IF(N153="zákl. přenesená",J153,0)</f>
        <v>0</v>
      </c>
      <c r="BH153" s="14">
        <f>IF(N153="sníž. přenesená",J153,0)</f>
        <v>0</v>
      </c>
      <c r="BI153" s="14">
        <f>IF(N153="nulová",J153,0)</f>
        <v>0</v>
      </c>
      <c r="BJ153" s="13" t="s">
        <v>74</v>
      </c>
      <c r="BK153" s="14">
        <f>ROUND(I153*H153,2)</f>
        <v>0</v>
      </c>
      <c r="BL153" s="13" t="s">
        <v>135</v>
      </c>
      <c r="BM153" s="12" t="s">
        <v>165</v>
      </c>
    </row>
    <row r="154" spans="1:65" s="20" customFormat="1" ht="25.9" customHeight="1" x14ac:dyDescent="0.2">
      <c r="B154" s="21"/>
      <c r="D154" s="26" t="s">
        <v>67</v>
      </c>
      <c r="E154" s="39" t="s">
        <v>166</v>
      </c>
      <c r="F154" s="39" t="s">
        <v>167</v>
      </c>
      <c r="J154" s="19">
        <f>BK154</f>
        <v>0</v>
      </c>
      <c r="L154" s="21"/>
      <c r="M154" s="22"/>
      <c r="N154" s="23"/>
      <c r="O154" s="23"/>
      <c r="P154" s="24">
        <f>SUM(P155:P157)</f>
        <v>0</v>
      </c>
      <c r="Q154" s="23"/>
      <c r="R154" s="24">
        <f>SUM(R155:R157)</f>
        <v>0</v>
      </c>
      <c r="S154" s="23"/>
      <c r="T154" s="25">
        <f>SUM(T155:T157)</f>
        <v>0</v>
      </c>
      <c r="AR154" s="26" t="s">
        <v>74</v>
      </c>
      <c r="AT154" s="27" t="s">
        <v>67</v>
      </c>
      <c r="AU154" s="27" t="s">
        <v>68</v>
      </c>
      <c r="AY154" s="26" t="s">
        <v>130</v>
      </c>
      <c r="BK154" s="28">
        <f>SUM(BK155:BK157)</f>
        <v>0</v>
      </c>
    </row>
    <row r="155" spans="1:65" s="5" customFormat="1" ht="16.5" customHeight="1" x14ac:dyDescent="0.2">
      <c r="A155" s="274"/>
      <c r="B155" s="4"/>
      <c r="C155" s="33" t="s">
        <v>72</v>
      </c>
      <c r="D155" s="33" t="s">
        <v>131</v>
      </c>
      <c r="E155" s="34" t="s">
        <v>168</v>
      </c>
      <c r="F155" s="7" t="s">
        <v>169</v>
      </c>
      <c r="G155" s="35" t="s">
        <v>170</v>
      </c>
      <c r="H155" s="36">
        <v>1.5</v>
      </c>
      <c r="I155" s="1"/>
      <c r="J155" s="6">
        <f>ROUND(I155*H155,2)</f>
        <v>0</v>
      </c>
      <c r="K155" s="7" t="s">
        <v>1</v>
      </c>
      <c r="L155" s="4"/>
      <c r="M155" s="8" t="s">
        <v>1</v>
      </c>
      <c r="N155" s="9" t="s">
        <v>33</v>
      </c>
      <c r="O155" s="10">
        <v>0</v>
      </c>
      <c r="P155" s="10">
        <f>O155*H155</f>
        <v>0</v>
      </c>
      <c r="Q155" s="10">
        <v>0</v>
      </c>
      <c r="R155" s="10">
        <f>Q155*H155</f>
        <v>0</v>
      </c>
      <c r="S155" s="10">
        <v>0</v>
      </c>
      <c r="T155" s="11">
        <f>S155*H155</f>
        <v>0</v>
      </c>
      <c r="U155" s="274"/>
      <c r="V155" s="274"/>
      <c r="W155" s="274"/>
      <c r="X155" s="274"/>
      <c r="Y155" s="274"/>
      <c r="Z155" s="274"/>
      <c r="AA155" s="274"/>
      <c r="AB155" s="274"/>
      <c r="AC155" s="274"/>
      <c r="AD155" s="274"/>
      <c r="AE155" s="274"/>
      <c r="AR155" s="12" t="s">
        <v>135</v>
      </c>
      <c r="AT155" s="12" t="s">
        <v>131</v>
      </c>
      <c r="AU155" s="12" t="s">
        <v>74</v>
      </c>
      <c r="AY155" s="13" t="s">
        <v>130</v>
      </c>
      <c r="BE155" s="14">
        <f>IF(N155="základní",J155,0)</f>
        <v>0</v>
      </c>
      <c r="BF155" s="14">
        <f>IF(N155="snížená",J155,0)</f>
        <v>0</v>
      </c>
      <c r="BG155" s="14">
        <f>IF(N155="zákl. přenesená",J155,0)</f>
        <v>0</v>
      </c>
      <c r="BH155" s="14">
        <f>IF(N155="sníž. přenesená",J155,0)</f>
        <v>0</v>
      </c>
      <c r="BI155" s="14">
        <f>IF(N155="nulová",J155,0)</f>
        <v>0</v>
      </c>
      <c r="BJ155" s="13" t="s">
        <v>74</v>
      </c>
      <c r="BK155" s="14">
        <f>ROUND(I155*H155,2)</f>
        <v>0</v>
      </c>
      <c r="BL155" s="13" t="s">
        <v>135</v>
      </c>
      <c r="BM155" s="12" t="s">
        <v>171</v>
      </c>
    </row>
    <row r="156" spans="1:65" s="5" customFormat="1" ht="16.5" customHeight="1" x14ac:dyDescent="0.2">
      <c r="A156" s="274"/>
      <c r="B156" s="4"/>
      <c r="C156" s="33" t="s">
        <v>77</v>
      </c>
      <c r="D156" s="33" t="s">
        <v>131</v>
      </c>
      <c r="E156" s="34" t="s">
        <v>172</v>
      </c>
      <c r="F156" s="7" t="s">
        <v>173</v>
      </c>
      <c r="G156" s="35" t="s">
        <v>157</v>
      </c>
      <c r="H156" s="36">
        <v>1</v>
      </c>
      <c r="I156" s="1"/>
      <c r="J156" s="6">
        <f>ROUND(I156*H156,2)</f>
        <v>0</v>
      </c>
      <c r="K156" s="7" t="s">
        <v>1</v>
      </c>
      <c r="L156" s="4"/>
      <c r="M156" s="8" t="s">
        <v>1</v>
      </c>
      <c r="N156" s="9" t="s">
        <v>33</v>
      </c>
      <c r="O156" s="10">
        <v>0</v>
      </c>
      <c r="P156" s="10">
        <f>O156*H156</f>
        <v>0</v>
      </c>
      <c r="Q156" s="10">
        <v>0</v>
      </c>
      <c r="R156" s="10">
        <f>Q156*H156</f>
        <v>0</v>
      </c>
      <c r="S156" s="10">
        <v>0</v>
      </c>
      <c r="T156" s="11">
        <f>S156*H156</f>
        <v>0</v>
      </c>
      <c r="U156" s="274"/>
      <c r="V156" s="274"/>
      <c r="W156" s="274"/>
      <c r="X156" s="274"/>
      <c r="Y156" s="274"/>
      <c r="Z156" s="274"/>
      <c r="AA156" s="274"/>
      <c r="AB156" s="274"/>
      <c r="AC156" s="274"/>
      <c r="AD156" s="274"/>
      <c r="AE156" s="274"/>
      <c r="AR156" s="12" t="s">
        <v>135</v>
      </c>
      <c r="AT156" s="12" t="s">
        <v>131</v>
      </c>
      <c r="AU156" s="12" t="s">
        <v>74</v>
      </c>
      <c r="AY156" s="13" t="s">
        <v>130</v>
      </c>
      <c r="BE156" s="14">
        <f>IF(N156="základní",J156,0)</f>
        <v>0</v>
      </c>
      <c r="BF156" s="14">
        <f>IF(N156="snížená",J156,0)</f>
        <v>0</v>
      </c>
      <c r="BG156" s="14">
        <f>IF(N156="zákl. přenesená",J156,0)</f>
        <v>0</v>
      </c>
      <c r="BH156" s="14">
        <f>IF(N156="sníž. přenesená",J156,0)</f>
        <v>0</v>
      </c>
      <c r="BI156" s="14">
        <f>IF(N156="nulová",J156,0)</f>
        <v>0</v>
      </c>
      <c r="BJ156" s="13" t="s">
        <v>74</v>
      </c>
      <c r="BK156" s="14">
        <f>ROUND(I156*H156,2)</f>
        <v>0</v>
      </c>
      <c r="BL156" s="13" t="s">
        <v>135</v>
      </c>
      <c r="BM156" s="12" t="s">
        <v>174</v>
      </c>
    </row>
    <row r="157" spans="1:65" s="5" customFormat="1" ht="16.5" customHeight="1" x14ac:dyDescent="0.2">
      <c r="A157" s="274"/>
      <c r="B157" s="4"/>
      <c r="C157" s="33" t="s">
        <v>79</v>
      </c>
      <c r="D157" s="33" t="s">
        <v>131</v>
      </c>
      <c r="E157" s="34" t="s">
        <v>175</v>
      </c>
      <c r="F157" s="7" t="s">
        <v>176</v>
      </c>
      <c r="G157" s="35" t="s">
        <v>134</v>
      </c>
      <c r="H157" s="36">
        <v>0.8</v>
      </c>
      <c r="I157" s="1"/>
      <c r="J157" s="6">
        <f>ROUND(I157*H157,2)</f>
        <v>0</v>
      </c>
      <c r="K157" s="7" t="s">
        <v>1</v>
      </c>
      <c r="L157" s="4"/>
      <c r="M157" s="8" t="s">
        <v>1</v>
      </c>
      <c r="N157" s="9" t="s">
        <v>33</v>
      </c>
      <c r="O157" s="10">
        <v>0</v>
      </c>
      <c r="P157" s="10">
        <f>O157*H157</f>
        <v>0</v>
      </c>
      <c r="Q157" s="10">
        <v>0</v>
      </c>
      <c r="R157" s="10">
        <f>Q157*H157</f>
        <v>0</v>
      </c>
      <c r="S157" s="10">
        <v>0</v>
      </c>
      <c r="T157" s="11">
        <f>S157*H157</f>
        <v>0</v>
      </c>
      <c r="U157" s="274"/>
      <c r="V157" s="274"/>
      <c r="W157" s="274"/>
      <c r="X157" s="274"/>
      <c r="Y157" s="274"/>
      <c r="Z157" s="274"/>
      <c r="AA157" s="274"/>
      <c r="AB157" s="274"/>
      <c r="AC157" s="274"/>
      <c r="AD157" s="274"/>
      <c r="AE157" s="274"/>
      <c r="AR157" s="12" t="s">
        <v>135</v>
      </c>
      <c r="AT157" s="12" t="s">
        <v>131</v>
      </c>
      <c r="AU157" s="12" t="s">
        <v>74</v>
      </c>
      <c r="AY157" s="13" t="s">
        <v>130</v>
      </c>
      <c r="BE157" s="14">
        <f>IF(N157="základní",J157,0)</f>
        <v>0</v>
      </c>
      <c r="BF157" s="14">
        <f>IF(N157="snížená",J157,0)</f>
        <v>0</v>
      </c>
      <c r="BG157" s="14">
        <f>IF(N157="zákl. přenesená",J157,0)</f>
        <v>0</v>
      </c>
      <c r="BH157" s="14">
        <f>IF(N157="sníž. přenesená",J157,0)</f>
        <v>0</v>
      </c>
      <c r="BI157" s="14">
        <f>IF(N157="nulová",J157,0)</f>
        <v>0</v>
      </c>
      <c r="BJ157" s="13" t="s">
        <v>74</v>
      </c>
      <c r="BK157" s="14">
        <f>ROUND(I157*H157,2)</f>
        <v>0</v>
      </c>
      <c r="BL157" s="13" t="s">
        <v>135</v>
      </c>
      <c r="BM157" s="12" t="s">
        <v>177</v>
      </c>
    </row>
    <row r="158" spans="1:65" s="20" customFormat="1" ht="25.9" customHeight="1" x14ac:dyDescent="0.2">
      <c r="B158" s="21"/>
      <c r="D158" s="26" t="s">
        <v>67</v>
      </c>
      <c r="E158" s="39" t="s">
        <v>178</v>
      </c>
      <c r="F158" s="39" t="s">
        <v>179</v>
      </c>
      <c r="J158" s="19">
        <f>BK158</f>
        <v>0</v>
      </c>
      <c r="L158" s="21"/>
      <c r="M158" s="22"/>
      <c r="N158" s="23"/>
      <c r="O158" s="23"/>
      <c r="P158" s="24">
        <f>SUM(P159:P160)</f>
        <v>0</v>
      </c>
      <c r="Q158" s="23"/>
      <c r="R158" s="24">
        <f>SUM(R159:R160)</f>
        <v>0</v>
      </c>
      <c r="S158" s="23"/>
      <c r="T158" s="25">
        <f>SUM(T159:T160)</f>
        <v>0</v>
      </c>
      <c r="AR158" s="26" t="s">
        <v>74</v>
      </c>
      <c r="AT158" s="27" t="s">
        <v>67</v>
      </c>
      <c r="AU158" s="27" t="s">
        <v>68</v>
      </c>
      <c r="AY158" s="26" t="s">
        <v>130</v>
      </c>
      <c r="BK158" s="28">
        <f>SUM(BK159:BK160)</f>
        <v>0</v>
      </c>
    </row>
    <row r="159" spans="1:65" s="5" customFormat="1" ht="16.5" customHeight="1" x14ac:dyDescent="0.2">
      <c r="A159" s="274"/>
      <c r="B159" s="4"/>
      <c r="C159" s="33" t="s">
        <v>81</v>
      </c>
      <c r="D159" s="33" t="s">
        <v>131</v>
      </c>
      <c r="E159" s="34" t="s">
        <v>132</v>
      </c>
      <c r="F159" s="7" t="s">
        <v>133</v>
      </c>
      <c r="G159" s="35" t="s">
        <v>134</v>
      </c>
      <c r="H159" s="36">
        <v>2.2999999999999998</v>
      </c>
      <c r="I159" s="1"/>
      <c r="J159" s="6">
        <f>ROUND(I159*H159,2)</f>
        <v>0</v>
      </c>
      <c r="K159" s="7" t="s">
        <v>1</v>
      </c>
      <c r="L159" s="4"/>
      <c r="M159" s="8" t="s">
        <v>1</v>
      </c>
      <c r="N159" s="9" t="s">
        <v>33</v>
      </c>
      <c r="O159" s="10">
        <v>0</v>
      </c>
      <c r="P159" s="10">
        <f>O159*H159</f>
        <v>0</v>
      </c>
      <c r="Q159" s="10">
        <v>0</v>
      </c>
      <c r="R159" s="10">
        <f>Q159*H159</f>
        <v>0</v>
      </c>
      <c r="S159" s="10">
        <v>0</v>
      </c>
      <c r="T159" s="11">
        <f>S159*H159</f>
        <v>0</v>
      </c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  <c r="AR159" s="12" t="s">
        <v>135</v>
      </c>
      <c r="AT159" s="12" t="s">
        <v>131</v>
      </c>
      <c r="AU159" s="12" t="s">
        <v>74</v>
      </c>
      <c r="AY159" s="13" t="s">
        <v>130</v>
      </c>
      <c r="BE159" s="14">
        <f>IF(N159="základní",J159,0)</f>
        <v>0</v>
      </c>
      <c r="BF159" s="14">
        <f>IF(N159="snížená",J159,0)</f>
        <v>0</v>
      </c>
      <c r="BG159" s="14">
        <f>IF(N159="zákl. přenesená",J159,0)</f>
        <v>0</v>
      </c>
      <c r="BH159" s="14">
        <f>IF(N159="sníž. přenesená",J159,0)</f>
        <v>0</v>
      </c>
      <c r="BI159" s="14">
        <f>IF(N159="nulová",J159,0)</f>
        <v>0</v>
      </c>
      <c r="BJ159" s="13" t="s">
        <v>74</v>
      </c>
      <c r="BK159" s="14">
        <f>ROUND(I159*H159,2)</f>
        <v>0</v>
      </c>
      <c r="BL159" s="13" t="s">
        <v>135</v>
      </c>
      <c r="BM159" s="12" t="s">
        <v>180</v>
      </c>
    </row>
    <row r="160" spans="1:65" s="5" customFormat="1" ht="16.5" customHeight="1" x14ac:dyDescent="0.2">
      <c r="A160" s="274"/>
      <c r="B160" s="4"/>
      <c r="C160" s="33" t="s">
        <v>83</v>
      </c>
      <c r="D160" s="33" t="s">
        <v>131</v>
      </c>
      <c r="E160" s="34" t="s">
        <v>181</v>
      </c>
      <c r="F160" s="7" t="s">
        <v>182</v>
      </c>
      <c r="G160" s="35" t="s">
        <v>170</v>
      </c>
      <c r="H160" s="36">
        <v>10.26</v>
      </c>
      <c r="I160" s="1"/>
      <c r="J160" s="6">
        <f>ROUND(I160*H160,2)</f>
        <v>0</v>
      </c>
      <c r="K160" s="7" t="s">
        <v>1</v>
      </c>
      <c r="L160" s="4"/>
      <c r="M160" s="8" t="s">
        <v>1</v>
      </c>
      <c r="N160" s="9" t="s">
        <v>33</v>
      </c>
      <c r="O160" s="10">
        <v>0</v>
      </c>
      <c r="P160" s="10">
        <f>O160*H160</f>
        <v>0</v>
      </c>
      <c r="Q160" s="10">
        <v>0</v>
      </c>
      <c r="R160" s="10">
        <f>Q160*H160</f>
        <v>0</v>
      </c>
      <c r="S160" s="10">
        <v>0</v>
      </c>
      <c r="T160" s="11">
        <f>S160*H160</f>
        <v>0</v>
      </c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  <c r="AR160" s="12" t="s">
        <v>135</v>
      </c>
      <c r="AT160" s="12" t="s">
        <v>131</v>
      </c>
      <c r="AU160" s="12" t="s">
        <v>74</v>
      </c>
      <c r="AY160" s="13" t="s">
        <v>130</v>
      </c>
      <c r="BE160" s="14">
        <f>IF(N160="základní",J160,0)</f>
        <v>0</v>
      </c>
      <c r="BF160" s="14">
        <f>IF(N160="snížená",J160,0)</f>
        <v>0</v>
      </c>
      <c r="BG160" s="14">
        <f>IF(N160="zákl. přenesená",J160,0)</f>
        <v>0</v>
      </c>
      <c r="BH160" s="14">
        <f>IF(N160="sníž. přenesená",J160,0)</f>
        <v>0</v>
      </c>
      <c r="BI160" s="14">
        <f>IF(N160="nulová",J160,0)</f>
        <v>0</v>
      </c>
      <c r="BJ160" s="13" t="s">
        <v>74</v>
      </c>
      <c r="BK160" s="14">
        <f>ROUND(I160*H160,2)</f>
        <v>0</v>
      </c>
      <c r="BL160" s="13" t="s">
        <v>135</v>
      </c>
      <c r="BM160" s="12" t="s">
        <v>183</v>
      </c>
    </row>
    <row r="161" spans="1:65" s="20" customFormat="1" ht="25.9" customHeight="1" x14ac:dyDescent="0.2">
      <c r="B161" s="21"/>
      <c r="D161" s="26" t="s">
        <v>67</v>
      </c>
      <c r="E161" s="39" t="s">
        <v>184</v>
      </c>
      <c r="F161" s="39" t="s">
        <v>185</v>
      </c>
      <c r="J161" s="19">
        <f>BK161</f>
        <v>0</v>
      </c>
      <c r="L161" s="21"/>
      <c r="M161" s="22"/>
      <c r="N161" s="23"/>
      <c r="O161" s="23"/>
      <c r="P161" s="24">
        <f>SUM(P162:P164)</f>
        <v>0</v>
      </c>
      <c r="Q161" s="23"/>
      <c r="R161" s="24">
        <f>SUM(R162:R164)</f>
        <v>0</v>
      </c>
      <c r="S161" s="23"/>
      <c r="T161" s="25">
        <f>SUM(T162:T164)</f>
        <v>0</v>
      </c>
      <c r="AR161" s="26" t="s">
        <v>74</v>
      </c>
      <c r="AT161" s="27" t="s">
        <v>67</v>
      </c>
      <c r="AU161" s="27" t="s">
        <v>68</v>
      </c>
      <c r="AY161" s="26" t="s">
        <v>130</v>
      </c>
      <c r="BK161" s="28">
        <f>SUM(BK162:BK164)</f>
        <v>0</v>
      </c>
    </row>
    <row r="162" spans="1:65" s="5" customFormat="1" ht="16.5" customHeight="1" x14ac:dyDescent="0.2">
      <c r="A162" s="274"/>
      <c r="B162" s="4"/>
      <c r="C162" s="33" t="s">
        <v>8</v>
      </c>
      <c r="D162" s="33" t="s">
        <v>131</v>
      </c>
      <c r="E162" s="34" t="s">
        <v>132</v>
      </c>
      <c r="F162" s="7" t="s">
        <v>133</v>
      </c>
      <c r="G162" s="35" t="s">
        <v>134</v>
      </c>
      <c r="H162" s="36">
        <v>1.7</v>
      </c>
      <c r="I162" s="1"/>
      <c r="J162" s="6">
        <f>ROUND(I162*H162,2)</f>
        <v>0</v>
      </c>
      <c r="K162" s="7" t="s">
        <v>1</v>
      </c>
      <c r="L162" s="4"/>
      <c r="M162" s="8" t="s">
        <v>1</v>
      </c>
      <c r="N162" s="9" t="s">
        <v>33</v>
      </c>
      <c r="O162" s="10">
        <v>0</v>
      </c>
      <c r="P162" s="10">
        <f>O162*H162</f>
        <v>0</v>
      </c>
      <c r="Q162" s="10">
        <v>0</v>
      </c>
      <c r="R162" s="10">
        <f>Q162*H162</f>
        <v>0</v>
      </c>
      <c r="S162" s="10">
        <v>0</v>
      </c>
      <c r="T162" s="11">
        <f>S162*H162</f>
        <v>0</v>
      </c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  <c r="AR162" s="12" t="s">
        <v>135</v>
      </c>
      <c r="AT162" s="12" t="s">
        <v>131</v>
      </c>
      <c r="AU162" s="12" t="s">
        <v>74</v>
      </c>
      <c r="AY162" s="13" t="s">
        <v>130</v>
      </c>
      <c r="BE162" s="14">
        <f>IF(N162="základní",J162,0)</f>
        <v>0</v>
      </c>
      <c r="BF162" s="14">
        <f>IF(N162="snížená",J162,0)</f>
        <v>0</v>
      </c>
      <c r="BG162" s="14">
        <f>IF(N162="zákl. přenesená",J162,0)</f>
        <v>0</v>
      </c>
      <c r="BH162" s="14">
        <f>IF(N162="sníž. přenesená",J162,0)</f>
        <v>0</v>
      </c>
      <c r="BI162" s="14">
        <f>IF(N162="nulová",J162,0)</f>
        <v>0</v>
      </c>
      <c r="BJ162" s="13" t="s">
        <v>74</v>
      </c>
      <c r="BK162" s="14">
        <f>ROUND(I162*H162,2)</f>
        <v>0</v>
      </c>
      <c r="BL162" s="13" t="s">
        <v>135</v>
      </c>
      <c r="BM162" s="12" t="s">
        <v>186</v>
      </c>
    </row>
    <row r="163" spans="1:65" s="5" customFormat="1" ht="16.5" customHeight="1" x14ac:dyDescent="0.2">
      <c r="A163" s="274"/>
      <c r="B163" s="4"/>
      <c r="C163" s="33" t="s">
        <v>163</v>
      </c>
      <c r="D163" s="33" t="s">
        <v>131</v>
      </c>
      <c r="E163" s="34" t="s">
        <v>187</v>
      </c>
      <c r="F163" s="7" t="s">
        <v>188</v>
      </c>
      <c r="G163" s="35" t="s">
        <v>138</v>
      </c>
      <c r="H163" s="36">
        <v>1</v>
      </c>
      <c r="I163" s="1"/>
      <c r="J163" s="6">
        <f>ROUND(I163*H163,2)</f>
        <v>0</v>
      </c>
      <c r="K163" s="7" t="s">
        <v>1</v>
      </c>
      <c r="L163" s="4"/>
      <c r="M163" s="8" t="s">
        <v>1</v>
      </c>
      <c r="N163" s="9" t="s">
        <v>33</v>
      </c>
      <c r="O163" s="10">
        <v>0</v>
      </c>
      <c r="P163" s="10">
        <f>O163*H163</f>
        <v>0</v>
      </c>
      <c r="Q163" s="10">
        <v>0</v>
      </c>
      <c r="R163" s="10">
        <f>Q163*H163</f>
        <v>0</v>
      </c>
      <c r="S163" s="10">
        <v>0</v>
      </c>
      <c r="T163" s="11">
        <f>S163*H163</f>
        <v>0</v>
      </c>
      <c r="U163" s="274"/>
      <c r="V163" s="274"/>
      <c r="W163" s="274"/>
      <c r="X163" s="274"/>
      <c r="Y163" s="274"/>
      <c r="Z163" s="274"/>
      <c r="AA163" s="274"/>
      <c r="AB163" s="274"/>
      <c r="AC163" s="274"/>
      <c r="AD163" s="274"/>
      <c r="AE163" s="274"/>
      <c r="AR163" s="12" t="s">
        <v>135</v>
      </c>
      <c r="AT163" s="12" t="s">
        <v>131</v>
      </c>
      <c r="AU163" s="12" t="s">
        <v>74</v>
      </c>
      <c r="AY163" s="13" t="s">
        <v>130</v>
      </c>
      <c r="BE163" s="14">
        <f>IF(N163="základní",J163,0)</f>
        <v>0</v>
      </c>
      <c r="BF163" s="14">
        <f>IF(N163="snížená",J163,0)</f>
        <v>0</v>
      </c>
      <c r="BG163" s="14">
        <f>IF(N163="zákl. přenesená",J163,0)</f>
        <v>0</v>
      </c>
      <c r="BH163" s="14">
        <f>IF(N163="sníž. přenesená",J163,0)</f>
        <v>0</v>
      </c>
      <c r="BI163" s="14">
        <f>IF(N163="nulová",J163,0)</f>
        <v>0</v>
      </c>
      <c r="BJ163" s="13" t="s">
        <v>74</v>
      </c>
      <c r="BK163" s="14">
        <f>ROUND(I163*H163,2)</f>
        <v>0</v>
      </c>
      <c r="BL163" s="13" t="s">
        <v>135</v>
      </c>
      <c r="BM163" s="12" t="s">
        <v>189</v>
      </c>
    </row>
    <row r="164" spans="1:65" s="5" customFormat="1" ht="19.5" x14ac:dyDescent="0.2">
      <c r="A164" s="274"/>
      <c r="B164" s="4"/>
      <c r="C164" s="274"/>
      <c r="D164" s="37" t="s">
        <v>148</v>
      </c>
      <c r="E164" s="274"/>
      <c r="F164" s="38" t="s">
        <v>190</v>
      </c>
      <c r="G164" s="274"/>
      <c r="H164" s="274"/>
      <c r="I164" s="274"/>
      <c r="J164" s="274"/>
      <c r="K164" s="274"/>
      <c r="L164" s="4"/>
      <c r="M164" s="15"/>
      <c r="N164" s="16"/>
      <c r="O164" s="276"/>
      <c r="P164" s="276"/>
      <c r="Q164" s="276"/>
      <c r="R164" s="276"/>
      <c r="S164" s="276"/>
      <c r="T164" s="18"/>
      <c r="U164" s="274"/>
      <c r="V164" s="274"/>
      <c r="W164" s="274"/>
      <c r="X164" s="274"/>
      <c r="Y164" s="274"/>
      <c r="Z164" s="274"/>
      <c r="AA164" s="274"/>
      <c r="AB164" s="274"/>
      <c r="AC164" s="274"/>
      <c r="AD164" s="274"/>
      <c r="AE164" s="274"/>
      <c r="AT164" s="13" t="s">
        <v>148</v>
      </c>
      <c r="AU164" s="13" t="s">
        <v>74</v>
      </c>
    </row>
    <row r="165" spans="1:65" s="20" customFormat="1" ht="25.9" customHeight="1" x14ac:dyDescent="0.2">
      <c r="B165" s="21"/>
      <c r="D165" s="26" t="s">
        <v>67</v>
      </c>
      <c r="E165" s="39" t="s">
        <v>191</v>
      </c>
      <c r="F165" s="39" t="s">
        <v>192</v>
      </c>
      <c r="J165" s="19">
        <f>BK165</f>
        <v>0</v>
      </c>
      <c r="L165" s="21"/>
      <c r="M165" s="22"/>
      <c r="N165" s="23"/>
      <c r="O165" s="23"/>
      <c r="P165" s="24">
        <f>SUM(P166:P170)</f>
        <v>0</v>
      </c>
      <c r="Q165" s="23"/>
      <c r="R165" s="24">
        <f>SUM(R166:R170)</f>
        <v>0</v>
      </c>
      <c r="S165" s="23"/>
      <c r="T165" s="25">
        <f>SUM(T166:T170)</f>
        <v>0</v>
      </c>
      <c r="AR165" s="26" t="s">
        <v>74</v>
      </c>
      <c r="AT165" s="27" t="s">
        <v>67</v>
      </c>
      <c r="AU165" s="27" t="s">
        <v>68</v>
      </c>
      <c r="AY165" s="26" t="s">
        <v>130</v>
      </c>
      <c r="BK165" s="28">
        <f>SUM(BK166:BK170)</f>
        <v>0</v>
      </c>
    </row>
    <row r="166" spans="1:65" s="5" customFormat="1" ht="16.5" customHeight="1" x14ac:dyDescent="0.2">
      <c r="A166" s="274"/>
      <c r="B166" s="4"/>
      <c r="C166" s="33" t="s">
        <v>193</v>
      </c>
      <c r="D166" s="33" t="s">
        <v>131</v>
      </c>
      <c r="E166" s="34" t="s">
        <v>194</v>
      </c>
      <c r="F166" s="7" t="s">
        <v>195</v>
      </c>
      <c r="G166" s="35" t="s">
        <v>138</v>
      </c>
      <c r="H166" s="36">
        <v>1</v>
      </c>
      <c r="I166" s="1"/>
      <c r="J166" s="6">
        <f>ROUND(I166*H166,2)</f>
        <v>0</v>
      </c>
      <c r="K166" s="7" t="s">
        <v>1</v>
      </c>
      <c r="L166" s="4"/>
      <c r="M166" s="8" t="s">
        <v>1</v>
      </c>
      <c r="N166" s="9" t="s">
        <v>33</v>
      </c>
      <c r="O166" s="10">
        <v>0</v>
      </c>
      <c r="P166" s="10">
        <f>O166*H166</f>
        <v>0</v>
      </c>
      <c r="Q166" s="10">
        <v>0</v>
      </c>
      <c r="R166" s="10">
        <f>Q166*H166</f>
        <v>0</v>
      </c>
      <c r="S166" s="10">
        <v>0</v>
      </c>
      <c r="T166" s="11">
        <f>S166*H166</f>
        <v>0</v>
      </c>
      <c r="U166" s="274"/>
      <c r="V166" s="274"/>
      <c r="W166" s="274"/>
      <c r="X166" s="274"/>
      <c r="Y166" s="274"/>
      <c r="Z166" s="274"/>
      <c r="AA166" s="274"/>
      <c r="AB166" s="274"/>
      <c r="AC166" s="274"/>
      <c r="AD166" s="274"/>
      <c r="AE166" s="274"/>
      <c r="AR166" s="12" t="s">
        <v>135</v>
      </c>
      <c r="AT166" s="12" t="s">
        <v>131</v>
      </c>
      <c r="AU166" s="12" t="s">
        <v>74</v>
      </c>
      <c r="AY166" s="13" t="s">
        <v>130</v>
      </c>
      <c r="BE166" s="14">
        <f>IF(N166="základní",J166,0)</f>
        <v>0</v>
      </c>
      <c r="BF166" s="14">
        <f>IF(N166="snížená",J166,0)</f>
        <v>0</v>
      </c>
      <c r="BG166" s="14">
        <f>IF(N166="zákl. přenesená",J166,0)</f>
        <v>0</v>
      </c>
      <c r="BH166" s="14">
        <f>IF(N166="sníž. přenesená",J166,0)</f>
        <v>0</v>
      </c>
      <c r="BI166" s="14">
        <f>IF(N166="nulová",J166,0)</f>
        <v>0</v>
      </c>
      <c r="BJ166" s="13" t="s">
        <v>74</v>
      </c>
      <c r="BK166" s="14">
        <f>ROUND(I166*H166,2)</f>
        <v>0</v>
      </c>
      <c r="BL166" s="13" t="s">
        <v>135</v>
      </c>
      <c r="BM166" s="12" t="s">
        <v>196</v>
      </c>
    </row>
    <row r="167" spans="1:65" s="5" customFormat="1" ht="16.5" customHeight="1" x14ac:dyDescent="0.2">
      <c r="A167" s="274"/>
      <c r="B167" s="4"/>
      <c r="C167" s="33" t="s">
        <v>165</v>
      </c>
      <c r="D167" s="33" t="s">
        <v>131</v>
      </c>
      <c r="E167" s="34" t="s">
        <v>197</v>
      </c>
      <c r="F167" s="7" t="s">
        <v>198</v>
      </c>
      <c r="G167" s="35" t="s">
        <v>157</v>
      </c>
      <c r="H167" s="36">
        <v>2</v>
      </c>
      <c r="I167" s="1"/>
      <c r="J167" s="6">
        <f>ROUND(I167*H167,2)</f>
        <v>0</v>
      </c>
      <c r="K167" s="7" t="s">
        <v>1</v>
      </c>
      <c r="L167" s="4"/>
      <c r="M167" s="8" t="s">
        <v>1</v>
      </c>
      <c r="N167" s="9" t="s">
        <v>33</v>
      </c>
      <c r="O167" s="10">
        <v>0</v>
      </c>
      <c r="P167" s="10">
        <f>O167*H167</f>
        <v>0</v>
      </c>
      <c r="Q167" s="10">
        <v>0</v>
      </c>
      <c r="R167" s="10">
        <f>Q167*H167</f>
        <v>0</v>
      </c>
      <c r="S167" s="10">
        <v>0</v>
      </c>
      <c r="T167" s="11">
        <f>S167*H167</f>
        <v>0</v>
      </c>
      <c r="U167" s="274"/>
      <c r="V167" s="274"/>
      <c r="W167" s="274"/>
      <c r="X167" s="274"/>
      <c r="Y167" s="274"/>
      <c r="Z167" s="274"/>
      <c r="AA167" s="274"/>
      <c r="AB167" s="274"/>
      <c r="AC167" s="274"/>
      <c r="AD167" s="274"/>
      <c r="AE167" s="274"/>
      <c r="AR167" s="12" t="s">
        <v>135</v>
      </c>
      <c r="AT167" s="12" t="s">
        <v>131</v>
      </c>
      <c r="AU167" s="12" t="s">
        <v>74</v>
      </c>
      <c r="AY167" s="13" t="s">
        <v>130</v>
      </c>
      <c r="BE167" s="14">
        <f>IF(N167="základní",J167,0)</f>
        <v>0</v>
      </c>
      <c r="BF167" s="14">
        <f>IF(N167="snížená",J167,0)</f>
        <v>0</v>
      </c>
      <c r="BG167" s="14">
        <f>IF(N167="zákl. přenesená",J167,0)</f>
        <v>0</v>
      </c>
      <c r="BH167" s="14">
        <f>IF(N167="sníž. přenesená",J167,0)</f>
        <v>0</v>
      </c>
      <c r="BI167" s="14">
        <f>IF(N167="nulová",J167,0)</f>
        <v>0</v>
      </c>
      <c r="BJ167" s="13" t="s">
        <v>74</v>
      </c>
      <c r="BK167" s="14">
        <f>ROUND(I167*H167,2)</f>
        <v>0</v>
      </c>
      <c r="BL167" s="13" t="s">
        <v>135</v>
      </c>
      <c r="BM167" s="12" t="s">
        <v>199</v>
      </c>
    </row>
    <row r="168" spans="1:65" s="5" customFormat="1" ht="16.5" customHeight="1" x14ac:dyDescent="0.2">
      <c r="A168" s="274"/>
      <c r="B168" s="4"/>
      <c r="C168" s="33" t="s">
        <v>200</v>
      </c>
      <c r="D168" s="33" t="s">
        <v>131</v>
      </c>
      <c r="E168" s="34" t="s">
        <v>142</v>
      </c>
      <c r="F168" s="7" t="s">
        <v>143</v>
      </c>
      <c r="G168" s="35" t="s">
        <v>134</v>
      </c>
      <c r="H168" s="36">
        <v>10.7</v>
      </c>
      <c r="I168" s="1"/>
      <c r="J168" s="6">
        <f>ROUND(I168*H168,2)</f>
        <v>0</v>
      </c>
      <c r="K168" s="7" t="s">
        <v>1</v>
      </c>
      <c r="L168" s="4"/>
      <c r="M168" s="8" t="s">
        <v>1</v>
      </c>
      <c r="N168" s="9" t="s">
        <v>33</v>
      </c>
      <c r="O168" s="10">
        <v>0</v>
      </c>
      <c r="P168" s="10">
        <f>O168*H168</f>
        <v>0</v>
      </c>
      <c r="Q168" s="10">
        <v>0</v>
      </c>
      <c r="R168" s="10">
        <f>Q168*H168</f>
        <v>0</v>
      </c>
      <c r="S168" s="10">
        <v>0</v>
      </c>
      <c r="T168" s="11">
        <f>S168*H168</f>
        <v>0</v>
      </c>
      <c r="U168" s="274"/>
      <c r="V168" s="274"/>
      <c r="W168" s="274"/>
      <c r="X168" s="274"/>
      <c r="Y168" s="274"/>
      <c r="Z168" s="274"/>
      <c r="AA168" s="274"/>
      <c r="AB168" s="274"/>
      <c r="AC168" s="274"/>
      <c r="AD168" s="274"/>
      <c r="AE168" s="274"/>
      <c r="AR168" s="12" t="s">
        <v>135</v>
      </c>
      <c r="AT168" s="12" t="s">
        <v>131</v>
      </c>
      <c r="AU168" s="12" t="s">
        <v>74</v>
      </c>
      <c r="AY168" s="13" t="s">
        <v>130</v>
      </c>
      <c r="BE168" s="14">
        <f>IF(N168="základní",J168,0)</f>
        <v>0</v>
      </c>
      <c r="BF168" s="14">
        <f>IF(N168="snížená",J168,0)</f>
        <v>0</v>
      </c>
      <c r="BG168" s="14">
        <f>IF(N168="zákl. přenesená",J168,0)</f>
        <v>0</v>
      </c>
      <c r="BH168" s="14">
        <f>IF(N168="sníž. přenesená",J168,0)</f>
        <v>0</v>
      </c>
      <c r="BI168" s="14">
        <f>IF(N168="nulová",J168,0)</f>
        <v>0</v>
      </c>
      <c r="BJ168" s="13" t="s">
        <v>74</v>
      </c>
      <c r="BK168" s="14">
        <f>ROUND(I168*H168,2)</f>
        <v>0</v>
      </c>
      <c r="BL168" s="13" t="s">
        <v>135</v>
      </c>
      <c r="BM168" s="12" t="s">
        <v>201</v>
      </c>
    </row>
    <row r="169" spans="1:65" s="5" customFormat="1" ht="16.5" customHeight="1" x14ac:dyDescent="0.2">
      <c r="A169" s="274"/>
      <c r="B169" s="4"/>
      <c r="C169" s="33" t="s">
        <v>171</v>
      </c>
      <c r="D169" s="33" t="s">
        <v>131</v>
      </c>
      <c r="E169" s="34" t="s">
        <v>145</v>
      </c>
      <c r="F169" s="7" t="s">
        <v>146</v>
      </c>
      <c r="G169" s="35" t="s">
        <v>134</v>
      </c>
      <c r="H169" s="36">
        <v>10.7</v>
      </c>
      <c r="I169" s="1"/>
      <c r="J169" s="6">
        <f>ROUND(I169*H169,2)</f>
        <v>0</v>
      </c>
      <c r="K169" s="7" t="s">
        <v>1</v>
      </c>
      <c r="L169" s="4"/>
      <c r="M169" s="8" t="s">
        <v>1</v>
      </c>
      <c r="N169" s="9" t="s">
        <v>33</v>
      </c>
      <c r="O169" s="10">
        <v>0</v>
      </c>
      <c r="P169" s="10">
        <f>O169*H169</f>
        <v>0</v>
      </c>
      <c r="Q169" s="10">
        <v>0</v>
      </c>
      <c r="R169" s="10">
        <f>Q169*H169</f>
        <v>0</v>
      </c>
      <c r="S169" s="10">
        <v>0</v>
      </c>
      <c r="T169" s="11">
        <f>S169*H169</f>
        <v>0</v>
      </c>
      <c r="U169" s="274"/>
      <c r="V169" s="274"/>
      <c r="W169" s="274"/>
      <c r="X169" s="274"/>
      <c r="Y169" s="274"/>
      <c r="Z169" s="274"/>
      <c r="AA169" s="274"/>
      <c r="AB169" s="274"/>
      <c r="AC169" s="274"/>
      <c r="AD169" s="274"/>
      <c r="AE169" s="274"/>
      <c r="AR169" s="12" t="s">
        <v>135</v>
      </c>
      <c r="AT169" s="12" t="s">
        <v>131</v>
      </c>
      <c r="AU169" s="12" t="s">
        <v>74</v>
      </c>
      <c r="AY169" s="13" t="s">
        <v>130</v>
      </c>
      <c r="BE169" s="14">
        <f>IF(N169="základní",J169,0)</f>
        <v>0</v>
      </c>
      <c r="BF169" s="14">
        <f>IF(N169="snížená",J169,0)</f>
        <v>0</v>
      </c>
      <c r="BG169" s="14">
        <f>IF(N169="zákl. přenesená",J169,0)</f>
        <v>0</v>
      </c>
      <c r="BH169" s="14">
        <f>IF(N169="sníž. přenesená",J169,0)</f>
        <v>0</v>
      </c>
      <c r="BI169" s="14">
        <f>IF(N169="nulová",J169,0)</f>
        <v>0</v>
      </c>
      <c r="BJ169" s="13" t="s">
        <v>74</v>
      </c>
      <c r="BK169" s="14">
        <f>ROUND(I169*H169,2)</f>
        <v>0</v>
      </c>
      <c r="BL169" s="13" t="s">
        <v>135</v>
      </c>
      <c r="BM169" s="12" t="s">
        <v>202</v>
      </c>
    </row>
    <row r="170" spans="1:65" s="5" customFormat="1" ht="29.25" x14ac:dyDescent="0.2">
      <c r="A170" s="274"/>
      <c r="B170" s="4"/>
      <c r="C170" s="274"/>
      <c r="D170" s="37" t="s">
        <v>148</v>
      </c>
      <c r="E170" s="274"/>
      <c r="F170" s="38" t="s">
        <v>149</v>
      </c>
      <c r="G170" s="274"/>
      <c r="H170" s="274"/>
      <c r="I170" s="274"/>
      <c r="J170" s="274"/>
      <c r="K170" s="274"/>
      <c r="L170" s="4"/>
      <c r="M170" s="15"/>
      <c r="N170" s="16"/>
      <c r="O170" s="276"/>
      <c r="P170" s="276"/>
      <c r="Q170" s="276"/>
      <c r="R170" s="276"/>
      <c r="S170" s="276"/>
      <c r="T170" s="18"/>
      <c r="U170" s="274"/>
      <c r="V170" s="274"/>
      <c r="W170" s="274"/>
      <c r="X170" s="274"/>
      <c r="Y170" s="274"/>
      <c r="Z170" s="274"/>
      <c r="AA170" s="274"/>
      <c r="AB170" s="274"/>
      <c r="AC170" s="274"/>
      <c r="AD170" s="274"/>
      <c r="AE170" s="274"/>
      <c r="AT170" s="13" t="s">
        <v>148</v>
      </c>
      <c r="AU170" s="13" t="s">
        <v>74</v>
      </c>
    </row>
    <row r="171" spans="1:65" s="20" customFormat="1" ht="25.9" customHeight="1" x14ac:dyDescent="0.2">
      <c r="B171" s="21"/>
      <c r="D171" s="26" t="s">
        <v>67</v>
      </c>
      <c r="E171" s="39" t="s">
        <v>203</v>
      </c>
      <c r="F171" s="39" t="s">
        <v>204</v>
      </c>
      <c r="J171" s="19">
        <f>BK171</f>
        <v>0</v>
      </c>
      <c r="L171" s="21"/>
      <c r="M171" s="22"/>
      <c r="N171" s="23"/>
      <c r="O171" s="23"/>
      <c r="P171" s="24">
        <f>SUM(P172:P173)</f>
        <v>0</v>
      </c>
      <c r="Q171" s="23"/>
      <c r="R171" s="24">
        <f>SUM(R172:R173)</f>
        <v>0</v>
      </c>
      <c r="S171" s="23"/>
      <c r="T171" s="25">
        <f>SUM(T172:T173)</f>
        <v>0</v>
      </c>
      <c r="AR171" s="26" t="s">
        <v>74</v>
      </c>
      <c r="AT171" s="27" t="s">
        <v>67</v>
      </c>
      <c r="AU171" s="27" t="s">
        <v>68</v>
      </c>
      <c r="AY171" s="26" t="s">
        <v>130</v>
      </c>
      <c r="BK171" s="28">
        <f>SUM(BK172:BK173)</f>
        <v>0</v>
      </c>
    </row>
    <row r="172" spans="1:65" s="5" customFormat="1" ht="16.5" customHeight="1" x14ac:dyDescent="0.2">
      <c r="A172" s="274"/>
      <c r="B172" s="4"/>
      <c r="C172" s="33" t="s">
        <v>7</v>
      </c>
      <c r="D172" s="33" t="s">
        <v>131</v>
      </c>
      <c r="E172" s="34" t="s">
        <v>155</v>
      </c>
      <c r="F172" s="7" t="s">
        <v>156</v>
      </c>
      <c r="G172" s="35" t="s">
        <v>157</v>
      </c>
      <c r="H172" s="36">
        <v>1</v>
      </c>
      <c r="I172" s="1"/>
      <c r="J172" s="6">
        <f>ROUND(I172*H172,2)</f>
        <v>0</v>
      </c>
      <c r="K172" s="7" t="s">
        <v>1</v>
      </c>
      <c r="L172" s="4"/>
      <c r="M172" s="8" t="s">
        <v>1</v>
      </c>
      <c r="N172" s="9" t="s">
        <v>33</v>
      </c>
      <c r="O172" s="10">
        <v>0</v>
      </c>
      <c r="P172" s="10">
        <f>O172*H172</f>
        <v>0</v>
      </c>
      <c r="Q172" s="10">
        <v>0</v>
      </c>
      <c r="R172" s="10">
        <f>Q172*H172</f>
        <v>0</v>
      </c>
      <c r="S172" s="10">
        <v>0</v>
      </c>
      <c r="T172" s="11">
        <f>S172*H172</f>
        <v>0</v>
      </c>
      <c r="U172" s="274"/>
      <c r="V172" s="274"/>
      <c r="W172" s="274"/>
      <c r="X172" s="274"/>
      <c r="Y172" s="274"/>
      <c r="Z172" s="274"/>
      <c r="AA172" s="274"/>
      <c r="AB172" s="274"/>
      <c r="AC172" s="274"/>
      <c r="AD172" s="274"/>
      <c r="AE172" s="274"/>
      <c r="AR172" s="12" t="s">
        <v>135</v>
      </c>
      <c r="AT172" s="12" t="s">
        <v>131</v>
      </c>
      <c r="AU172" s="12" t="s">
        <v>74</v>
      </c>
      <c r="AY172" s="13" t="s">
        <v>130</v>
      </c>
      <c r="BE172" s="14">
        <f>IF(N172="základní",J172,0)</f>
        <v>0</v>
      </c>
      <c r="BF172" s="14">
        <f>IF(N172="snížená",J172,0)</f>
        <v>0</v>
      </c>
      <c r="BG172" s="14">
        <f>IF(N172="zákl. přenesená",J172,0)</f>
        <v>0</v>
      </c>
      <c r="BH172" s="14">
        <f>IF(N172="sníž. přenesená",J172,0)</f>
        <v>0</v>
      </c>
      <c r="BI172" s="14">
        <f>IF(N172="nulová",J172,0)</f>
        <v>0</v>
      </c>
      <c r="BJ172" s="13" t="s">
        <v>74</v>
      </c>
      <c r="BK172" s="14">
        <f>ROUND(I172*H172,2)</f>
        <v>0</v>
      </c>
      <c r="BL172" s="13" t="s">
        <v>135</v>
      </c>
      <c r="BM172" s="12" t="s">
        <v>205</v>
      </c>
    </row>
    <row r="173" spans="1:65" s="5" customFormat="1" ht="16.5" customHeight="1" x14ac:dyDescent="0.2">
      <c r="A173" s="274"/>
      <c r="B173" s="4"/>
      <c r="C173" s="33" t="s">
        <v>174</v>
      </c>
      <c r="D173" s="33" t="s">
        <v>131</v>
      </c>
      <c r="E173" s="34" t="s">
        <v>159</v>
      </c>
      <c r="F173" s="7" t="s">
        <v>160</v>
      </c>
      <c r="G173" s="35" t="s">
        <v>134</v>
      </c>
      <c r="H173" s="36">
        <v>0.2</v>
      </c>
      <c r="I173" s="1"/>
      <c r="J173" s="6">
        <f>ROUND(I173*H173,2)</f>
        <v>0</v>
      </c>
      <c r="K173" s="7" t="s">
        <v>1</v>
      </c>
      <c r="L173" s="4"/>
      <c r="M173" s="8" t="s">
        <v>1</v>
      </c>
      <c r="N173" s="9" t="s">
        <v>33</v>
      </c>
      <c r="O173" s="10">
        <v>0</v>
      </c>
      <c r="P173" s="10">
        <f>O173*H173</f>
        <v>0</v>
      </c>
      <c r="Q173" s="10">
        <v>0</v>
      </c>
      <c r="R173" s="10">
        <f>Q173*H173</f>
        <v>0</v>
      </c>
      <c r="S173" s="10">
        <v>0</v>
      </c>
      <c r="T173" s="11">
        <f>S173*H173</f>
        <v>0</v>
      </c>
      <c r="U173" s="274"/>
      <c r="V173" s="274"/>
      <c r="W173" s="274"/>
      <c r="X173" s="274"/>
      <c r="Y173" s="274"/>
      <c r="Z173" s="274"/>
      <c r="AA173" s="274"/>
      <c r="AB173" s="274"/>
      <c r="AC173" s="274"/>
      <c r="AD173" s="274"/>
      <c r="AE173" s="274"/>
      <c r="AR173" s="12" t="s">
        <v>135</v>
      </c>
      <c r="AT173" s="12" t="s">
        <v>131</v>
      </c>
      <c r="AU173" s="12" t="s">
        <v>74</v>
      </c>
      <c r="AY173" s="13" t="s">
        <v>130</v>
      </c>
      <c r="BE173" s="14">
        <f>IF(N173="základní",J173,0)</f>
        <v>0</v>
      </c>
      <c r="BF173" s="14">
        <f>IF(N173="snížená",J173,0)</f>
        <v>0</v>
      </c>
      <c r="BG173" s="14">
        <f>IF(N173="zákl. přenesená",J173,0)</f>
        <v>0</v>
      </c>
      <c r="BH173" s="14">
        <f>IF(N173="sníž. přenesená",J173,0)</f>
        <v>0</v>
      </c>
      <c r="BI173" s="14">
        <f>IF(N173="nulová",J173,0)</f>
        <v>0</v>
      </c>
      <c r="BJ173" s="13" t="s">
        <v>74</v>
      </c>
      <c r="BK173" s="14">
        <f>ROUND(I173*H173,2)</f>
        <v>0</v>
      </c>
      <c r="BL173" s="13" t="s">
        <v>135</v>
      </c>
      <c r="BM173" s="12" t="s">
        <v>206</v>
      </c>
    </row>
    <row r="174" spans="1:65" s="20" customFormat="1" ht="25.9" customHeight="1" x14ac:dyDescent="0.2">
      <c r="B174" s="21"/>
      <c r="D174" s="26" t="s">
        <v>67</v>
      </c>
      <c r="E174" s="39" t="s">
        <v>207</v>
      </c>
      <c r="F174" s="39" t="s">
        <v>208</v>
      </c>
      <c r="J174" s="19">
        <f>BK174</f>
        <v>0</v>
      </c>
      <c r="L174" s="21"/>
      <c r="M174" s="22"/>
      <c r="N174" s="23"/>
      <c r="O174" s="23"/>
      <c r="P174" s="24">
        <f>SUM(P175:P176)</f>
        <v>0</v>
      </c>
      <c r="Q174" s="23"/>
      <c r="R174" s="24">
        <f>SUM(R175:R176)</f>
        <v>0</v>
      </c>
      <c r="S174" s="23"/>
      <c r="T174" s="25">
        <f>SUM(T175:T176)</f>
        <v>0</v>
      </c>
      <c r="AR174" s="26" t="s">
        <v>74</v>
      </c>
      <c r="AT174" s="27" t="s">
        <v>67</v>
      </c>
      <c r="AU174" s="27" t="s">
        <v>68</v>
      </c>
      <c r="AY174" s="26" t="s">
        <v>130</v>
      </c>
      <c r="BK174" s="28">
        <f>SUM(BK175:BK176)</f>
        <v>0</v>
      </c>
    </row>
    <row r="175" spans="1:65" s="5" customFormat="1" ht="16.5" customHeight="1" x14ac:dyDescent="0.2">
      <c r="A175" s="274"/>
      <c r="B175" s="4"/>
      <c r="C175" s="33" t="s">
        <v>209</v>
      </c>
      <c r="D175" s="33" t="s">
        <v>131</v>
      </c>
      <c r="E175" s="34" t="s">
        <v>155</v>
      </c>
      <c r="F175" s="7" t="s">
        <v>156</v>
      </c>
      <c r="G175" s="35" t="s">
        <v>157</v>
      </c>
      <c r="H175" s="36">
        <v>1</v>
      </c>
      <c r="I175" s="1"/>
      <c r="J175" s="6">
        <f>ROUND(I175*H175,2)</f>
        <v>0</v>
      </c>
      <c r="K175" s="7" t="s">
        <v>1</v>
      </c>
      <c r="L175" s="4"/>
      <c r="M175" s="8" t="s">
        <v>1</v>
      </c>
      <c r="N175" s="9" t="s">
        <v>33</v>
      </c>
      <c r="O175" s="10">
        <v>0</v>
      </c>
      <c r="P175" s="10">
        <f>O175*H175</f>
        <v>0</v>
      </c>
      <c r="Q175" s="10">
        <v>0</v>
      </c>
      <c r="R175" s="10">
        <f>Q175*H175</f>
        <v>0</v>
      </c>
      <c r="S175" s="10">
        <v>0</v>
      </c>
      <c r="T175" s="11">
        <f>S175*H175</f>
        <v>0</v>
      </c>
      <c r="U175" s="274"/>
      <c r="V175" s="274"/>
      <c r="W175" s="274"/>
      <c r="X175" s="274"/>
      <c r="Y175" s="274"/>
      <c r="Z175" s="274"/>
      <c r="AA175" s="274"/>
      <c r="AB175" s="274"/>
      <c r="AC175" s="274"/>
      <c r="AD175" s="274"/>
      <c r="AE175" s="274"/>
      <c r="AR175" s="12" t="s">
        <v>135</v>
      </c>
      <c r="AT175" s="12" t="s">
        <v>131</v>
      </c>
      <c r="AU175" s="12" t="s">
        <v>74</v>
      </c>
      <c r="AY175" s="13" t="s">
        <v>130</v>
      </c>
      <c r="BE175" s="14">
        <f>IF(N175="základní",J175,0)</f>
        <v>0</v>
      </c>
      <c r="BF175" s="14">
        <f>IF(N175="snížená",J175,0)</f>
        <v>0</v>
      </c>
      <c r="BG175" s="14">
        <f>IF(N175="zákl. přenesená",J175,0)</f>
        <v>0</v>
      </c>
      <c r="BH175" s="14">
        <f>IF(N175="sníž. přenesená",J175,0)</f>
        <v>0</v>
      </c>
      <c r="BI175" s="14">
        <f>IF(N175="nulová",J175,0)</f>
        <v>0</v>
      </c>
      <c r="BJ175" s="13" t="s">
        <v>74</v>
      </c>
      <c r="BK175" s="14">
        <f>ROUND(I175*H175,2)</f>
        <v>0</v>
      </c>
      <c r="BL175" s="13" t="s">
        <v>135</v>
      </c>
      <c r="BM175" s="12" t="s">
        <v>210</v>
      </c>
    </row>
    <row r="176" spans="1:65" s="5" customFormat="1" ht="16.5" customHeight="1" x14ac:dyDescent="0.2">
      <c r="A176" s="274"/>
      <c r="B176" s="4"/>
      <c r="C176" s="33" t="s">
        <v>177</v>
      </c>
      <c r="D176" s="33" t="s">
        <v>131</v>
      </c>
      <c r="E176" s="34" t="s">
        <v>159</v>
      </c>
      <c r="F176" s="7" t="s">
        <v>160</v>
      </c>
      <c r="G176" s="35" t="s">
        <v>134</v>
      </c>
      <c r="H176" s="36">
        <v>0.2</v>
      </c>
      <c r="I176" s="1"/>
      <c r="J176" s="6">
        <f>ROUND(I176*H176,2)</f>
        <v>0</v>
      </c>
      <c r="K176" s="7" t="s">
        <v>1</v>
      </c>
      <c r="L176" s="4"/>
      <c r="M176" s="8" t="s">
        <v>1</v>
      </c>
      <c r="N176" s="9" t="s">
        <v>33</v>
      </c>
      <c r="O176" s="10">
        <v>0</v>
      </c>
      <c r="P176" s="10">
        <f>O176*H176</f>
        <v>0</v>
      </c>
      <c r="Q176" s="10">
        <v>0</v>
      </c>
      <c r="R176" s="10">
        <f>Q176*H176</f>
        <v>0</v>
      </c>
      <c r="S176" s="10">
        <v>0</v>
      </c>
      <c r="T176" s="11">
        <f>S176*H176</f>
        <v>0</v>
      </c>
      <c r="U176" s="274"/>
      <c r="V176" s="274"/>
      <c r="W176" s="274"/>
      <c r="X176" s="274"/>
      <c r="Y176" s="274"/>
      <c r="Z176" s="274"/>
      <c r="AA176" s="274"/>
      <c r="AB176" s="274"/>
      <c r="AC176" s="274"/>
      <c r="AD176" s="274"/>
      <c r="AE176" s="274"/>
      <c r="AR176" s="12" t="s">
        <v>135</v>
      </c>
      <c r="AT176" s="12" t="s">
        <v>131</v>
      </c>
      <c r="AU176" s="12" t="s">
        <v>74</v>
      </c>
      <c r="AY176" s="13" t="s">
        <v>130</v>
      </c>
      <c r="BE176" s="14">
        <f>IF(N176="základní",J176,0)</f>
        <v>0</v>
      </c>
      <c r="BF176" s="14">
        <f>IF(N176="snížená",J176,0)</f>
        <v>0</v>
      </c>
      <c r="BG176" s="14">
        <f>IF(N176="zákl. přenesená",J176,0)</f>
        <v>0</v>
      </c>
      <c r="BH176" s="14">
        <f>IF(N176="sníž. přenesená",J176,0)</f>
        <v>0</v>
      </c>
      <c r="BI176" s="14">
        <f>IF(N176="nulová",J176,0)</f>
        <v>0</v>
      </c>
      <c r="BJ176" s="13" t="s">
        <v>74</v>
      </c>
      <c r="BK176" s="14">
        <f>ROUND(I176*H176,2)</f>
        <v>0</v>
      </c>
      <c r="BL176" s="13" t="s">
        <v>135</v>
      </c>
      <c r="BM176" s="12" t="s">
        <v>211</v>
      </c>
    </row>
    <row r="177" spans="1:65" s="20" customFormat="1" ht="25.9" customHeight="1" x14ac:dyDescent="0.2">
      <c r="B177" s="21"/>
      <c r="D177" s="26" t="s">
        <v>67</v>
      </c>
      <c r="E177" s="39" t="s">
        <v>212</v>
      </c>
      <c r="F177" s="39" t="s">
        <v>213</v>
      </c>
      <c r="J177" s="19">
        <f>BK177</f>
        <v>0</v>
      </c>
      <c r="L177" s="21"/>
      <c r="M177" s="22"/>
      <c r="N177" s="23"/>
      <c r="O177" s="23"/>
      <c r="P177" s="24">
        <f>SUM(P178:P180)</f>
        <v>0</v>
      </c>
      <c r="Q177" s="23"/>
      <c r="R177" s="24">
        <f>SUM(R178:R180)</f>
        <v>0</v>
      </c>
      <c r="S177" s="23"/>
      <c r="T177" s="25">
        <f>SUM(T178:T180)</f>
        <v>0</v>
      </c>
      <c r="AR177" s="26" t="s">
        <v>74</v>
      </c>
      <c r="AT177" s="27" t="s">
        <v>67</v>
      </c>
      <c r="AU177" s="27" t="s">
        <v>68</v>
      </c>
      <c r="AY177" s="26" t="s">
        <v>130</v>
      </c>
      <c r="BK177" s="28">
        <f>SUM(BK178:BK180)</f>
        <v>0</v>
      </c>
    </row>
    <row r="178" spans="1:65" s="5" customFormat="1" ht="16.5" customHeight="1" x14ac:dyDescent="0.2">
      <c r="A178" s="274"/>
      <c r="B178" s="4"/>
      <c r="C178" s="33" t="s">
        <v>214</v>
      </c>
      <c r="D178" s="33" t="s">
        <v>131</v>
      </c>
      <c r="E178" s="34" t="s">
        <v>168</v>
      </c>
      <c r="F178" s="7" t="s">
        <v>169</v>
      </c>
      <c r="G178" s="35" t="s">
        <v>170</v>
      </c>
      <c r="H178" s="36">
        <v>1.5</v>
      </c>
      <c r="I178" s="1"/>
      <c r="J178" s="6">
        <f>ROUND(I178*H178,2)</f>
        <v>0</v>
      </c>
      <c r="K178" s="7" t="s">
        <v>1</v>
      </c>
      <c r="L178" s="4"/>
      <c r="M178" s="8" t="s">
        <v>1</v>
      </c>
      <c r="N178" s="9" t="s">
        <v>33</v>
      </c>
      <c r="O178" s="10">
        <v>0</v>
      </c>
      <c r="P178" s="10">
        <f>O178*H178</f>
        <v>0</v>
      </c>
      <c r="Q178" s="10">
        <v>0</v>
      </c>
      <c r="R178" s="10">
        <f>Q178*H178</f>
        <v>0</v>
      </c>
      <c r="S178" s="10">
        <v>0</v>
      </c>
      <c r="T178" s="11">
        <f>S178*H178</f>
        <v>0</v>
      </c>
      <c r="U178" s="274"/>
      <c r="V178" s="274"/>
      <c r="W178" s="274"/>
      <c r="X178" s="274"/>
      <c r="Y178" s="274"/>
      <c r="Z178" s="274"/>
      <c r="AA178" s="274"/>
      <c r="AB178" s="274"/>
      <c r="AC178" s="274"/>
      <c r="AD178" s="274"/>
      <c r="AE178" s="274"/>
      <c r="AR178" s="12" t="s">
        <v>135</v>
      </c>
      <c r="AT178" s="12" t="s">
        <v>131</v>
      </c>
      <c r="AU178" s="12" t="s">
        <v>74</v>
      </c>
      <c r="AY178" s="13" t="s">
        <v>130</v>
      </c>
      <c r="BE178" s="14">
        <f>IF(N178="základní",J178,0)</f>
        <v>0</v>
      </c>
      <c r="BF178" s="14">
        <f>IF(N178="snížená",J178,0)</f>
        <v>0</v>
      </c>
      <c r="BG178" s="14">
        <f>IF(N178="zákl. přenesená",J178,0)</f>
        <v>0</v>
      </c>
      <c r="BH178" s="14">
        <f>IF(N178="sníž. přenesená",J178,0)</f>
        <v>0</v>
      </c>
      <c r="BI178" s="14">
        <f>IF(N178="nulová",J178,0)</f>
        <v>0</v>
      </c>
      <c r="BJ178" s="13" t="s">
        <v>74</v>
      </c>
      <c r="BK178" s="14">
        <f>ROUND(I178*H178,2)</f>
        <v>0</v>
      </c>
      <c r="BL178" s="13" t="s">
        <v>135</v>
      </c>
      <c r="BM178" s="12" t="s">
        <v>215</v>
      </c>
    </row>
    <row r="179" spans="1:65" s="5" customFormat="1" ht="16.5" customHeight="1" x14ac:dyDescent="0.2">
      <c r="A179" s="274"/>
      <c r="B179" s="4"/>
      <c r="C179" s="33" t="s">
        <v>180</v>
      </c>
      <c r="D179" s="33" t="s">
        <v>131</v>
      </c>
      <c r="E179" s="34" t="s">
        <v>172</v>
      </c>
      <c r="F179" s="7" t="s">
        <v>173</v>
      </c>
      <c r="G179" s="35" t="s">
        <v>157</v>
      </c>
      <c r="H179" s="36">
        <v>1</v>
      </c>
      <c r="I179" s="1"/>
      <c r="J179" s="6">
        <f>ROUND(I179*H179,2)</f>
        <v>0</v>
      </c>
      <c r="K179" s="7" t="s">
        <v>1</v>
      </c>
      <c r="L179" s="4"/>
      <c r="M179" s="8" t="s">
        <v>1</v>
      </c>
      <c r="N179" s="9" t="s">
        <v>33</v>
      </c>
      <c r="O179" s="10">
        <v>0</v>
      </c>
      <c r="P179" s="10">
        <f>O179*H179</f>
        <v>0</v>
      </c>
      <c r="Q179" s="10">
        <v>0</v>
      </c>
      <c r="R179" s="10">
        <f>Q179*H179</f>
        <v>0</v>
      </c>
      <c r="S179" s="10">
        <v>0</v>
      </c>
      <c r="T179" s="11">
        <f>S179*H179</f>
        <v>0</v>
      </c>
      <c r="U179" s="274"/>
      <c r="V179" s="274"/>
      <c r="W179" s="274"/>
      <c r="X179" s="274"/>
      <c r="Y179" s="274"/>
      <c r="Z179" s="274"/>
      <c r="AA179" s="274"/>
      <c r="AB179" s="274"/>
      <c r="AC179" s="274"/>
      <c r="AD179" s="274"/>
      <c r="AE179" s="274"/>
      <c r="AR179" s="12" t="s">
        <v>135</v>
      </c>
      <c r="AT179" s="12" t="s">
        <v>131</v>
      </c>
      <c r="AU179" s="12" t="s">
        <v>74</v>
      </c>
      <c r="AY179" s="13" t="s">
        <v>130</v>
      </c>
      <c r="BE179" s="14">
        <f>IF(N179="základní",J179,0)</f>
        <v>0</v>
      </c>
      <c r="BF179" s="14">
        <f>IF(N179="snížená",J179,0)</f>
        <v>0</v>
      </c>
      <c r="BG179" s="14">
        <f>IF(N179="zákl. přenesená",J179,0)</f>
        <v>0</v>
      </c>
      <c r="BH179" s="14">
        <f>IF(N179="sníž. přenesená",J179,0)</f>
        <v>0</v>
      </c>
      <c r="BI179" s="14">
        <f>IF(N179="nulová",J179,0)</f>
        <v>0</v>
      </c>
      <c r="BJ179" s="13" t="s">
        <v>74</v>
      </c>
      <c r="BK179" s="14">
        <f>ROUND(I179*H179,2)</f>
        <v>0</v>
      </c>
      <c r="BL179" s="13" t="s">
        <v>135</v>
      </c>
      <c r="BM179" s="12" t="s">
        <v>216</v>
      </c>
    </row>
    <row r="180" spans="1:65" s="5" customFormat="1" ht="16.5" customHeight="1" x14ac:dyDescent="0.2">
      <c r="A180" s="274"/>
      <c r="B180" s="4"/>
      <c r="C180" s="33" t="s">
        <v>217</v>
      </c>
      <c r="D180" s="33" t="s">
        <v>131</v>
      </c>
      <c r="E180" s="34" t="s">
        <v>218</v>
      </c>
      <c r="F180" s="7" t="s">
        <v>176</v>
      </c>
      <c r="G180" s="35" t="s">
        <v>134</v>
      </c>
      <c r="H180" s="36">
        <v>0.8</v>
      </c>
      <c r="I180" s="1"/>
      <c r="J180" s="6">
        <f>ROUND(I180*H180,2)</f>
        <v>0</v>
      </c>
      <c r="K180" s="7" t="s">
        <v>1</v>
      </c>
      <c r="L180" s="4"/>
      <c r="M180" s="8" t="s">
        <v>1</v>
      </c>
      <c r="N180" s="9" t="s">
        <v>33</v>
      </c>
      <c r="O180" s="10">
        <v>0</v>
      </c>
      <c r="P180" s="10">
        <f>O180*H180</f>
        <v>0</v>
      </c>
      <c r="Q180" s="10">
        <v>0</v>
      </c>
      <c r="R180" s="10">
        <f>Q180*H180</f>
        <v>0</v>
      </c>
      <c r="S180" s="10">
        <v>0</v>
      </c>
      <c r="T180" s="11">
        <f>S180*H180</f>
        <v>0</v>
      </c>
      <c r="U180" s="274"/>
      <c r="V180" s="274"/>
      <c r="W180" s="274"/>
      <c r="X180" s="274"/>
      <c r="Y180" s="274"/>
      <c r="Z180" s="274"/>
      <c r="AA180" s="274"/>
      <c r="AB180" s="274"/>
      <c r="AC180" s="274"/>
      <c r="AD180" s="274"/>
      <c r="AE180" s="274"/>
      <c r="AR180" s="12" t="s">
        <v>135</v>
      </c>
      <c r="AT180" s="12" t="s">
        <v>131</v>
      </c>
      <c r="AU180" s="12" t="s">
        <v>74</v>
      </c>
      <c r="AY180" s="13" t="s">
        <v>130</v>
      </c>
      <c r="BE180" s="14">
        <f>IF(N180="základní",J180,0)</f>
        <v>0</v>
      </c>
      <c r="BF180" s="14">
        <f>IF(N180="snížená",J180,0)</f>
        <v>0</v>
      </c>
      <c r="BG180" s="14">
        <f>IF(N180="zákl. přenesená",J180,0)</f>
        <v>0</v>
      </c>
      <c r="BH180" s="14">
        <f>IF(N180="sníž. přenesená",J180,0)</f>
        <v>0</v>
      </c>
      <c r="BI180" s="14">
        <f>IF(N180="nulová",J180,0)</f>
        <v>0</v>
      </c>
      <c r="BJ180" s="13" t="s">
        <v>74</v>
      </c>
      <c r="BK180" s="14">
        <f>ROUND(I180*H180,2)</f>
        <v>0</v>
      </c>
      <c r="BL180" s="13" t="s">
        <v>135</v>
      </c>
      <c r="BM180" s="12" t="s">
        <v>219</v>
      </c>
    </row>
    <row r="181" spans="1:65" s="20" customFormat="1" ht="25.9" customHeight="1" x14ac:dyDescent="0.2">
      <c r="B181" s="21"/>
      <c r="D181" s="26" t="s">
        <v>67</v>
      </c>
      <c r="E181" s="39" t="s">
        <v>220</v>
      </c>
      <c r="F181" s="39" t="s">
        <v>221</v>
      </c>
      <c r="J181" s="19">
        <f>BK181</f>
        <v>0</v>
      </c>
      <c r="L181" s="21"/>
      <c r="M181" s="22"/>
      <c r="N181" s="23"/>
      <c r="O181" s="23"/>
      <c r="P181" s="24">
        <f>SUM(P182:P184)</f>
        <v>0</v>
      </c>
      <c r="Q181" s="23"/>
      <c r="R181" s="24">
        <f>SUM(R182:R184)</f>
        <v>0</v>
      </c>
      <c r="S181" s="23"/>
      <c r="T181" s="25">
        <f>SUM(T182:T184)</f>
        <v>0</v>
      </c>
      <c r="AR181" s="26" t="s">
        <v>74</v>
      </c>
      <c r="AT181" s="27" t="s">
        <v>67</v>
      </c>
      <c r="AU181" s="27" t="s">
        <v>68</v>
      </c>
      <c r="AY181" s="26" t="s">
        <v>130</v>
      </c>
      <c r="BK181" s="28">
        <f>SUM(BK182:BK184)</f>
        <v>0</v>
      </c>
    </row>
    <row r="182" spans="1:65" s="5" customFormat="1" ht="16.5" customHeight="1" x14ac:dyDescent="0.2">
      <c r="A182" s="274"/>
      <c r="B182" s="4"/>
      <c r="C182" s="33" t="s">
        <v>183</v>
      </c>
      <c r="D182" s="33" t="s">
        <v>131</v>
      </c>
      <c r="E182" s="34" t="s">
        <v>168</v>
      </c>
      <c r="F182" s="7" t="s">
        <v>169</v>
      </c>
      <c r="G182" s="35" t="s">
        <v>170</v>
      </c>
      <c r="H182" s="36">
        <v>1.5</v>
      </c>
      <c r="I182" s="1"/>
      <c r="J182" s="6">
        <f>ROUND(I182*H182,2)</f>
        <v>0</v>
      </c>
      <c r="K182" s="7" t="s">
        <v>1</v>
      </c>
      <c r="L182" s="4"/>
      <c r="M182" s="8" t="s">
        <v>1</v>
      </c>
      <c r="N182" s="9" t="s">
        <v>33</v>
      </c>
      <c r="O182" s="10">
        <v>0</v>
      </c>
      <c r="P182" s="10">
        <f>O182*H182</f>
        <v>0</v>
      </c>
      <c r="Q182" s="10">
        <v>0</v>
      </c>
      <c r="R182" s="10">
        <f>Q182*H182</f>
        <v>0</v>
      </c>
      <c r="S182" s="10">
        <v>0</v>
      </c>
      <c r="T182" s="11">
        <f>S182*H182</f>
        <v>0</v>
      </c>
      <c r="U182" s="274"/>
      <c r="V182" s="274"/>
      <c r="W182" s="274"/>
      <c r="X182" s="274"/>
      <c r="Y182" s="274"/>
      <c r="Z182" s="274"/>
      <c r="AA182" s="274"/>
      <c r="AB182" s="274"/>
      <c r="AC182" s="274"/>
      <c r="AD182" s="274"/>
      <c r="AE182" s="274"/>
      <c r="AR182" s="12" t="s">
        <v>135</v>
      </c>
      <c r="AT182" s="12" t="s">
        <v>131</v>
      </c>
      <c r="AU182" s="12" t="s">
        <v>74</v>
      </c>
      <c r="AY182" s="13" t="s">
        <v>130</v>
      </c>
      <c r="BE182" s="14">
        <f>IF(N182="základní",J182,0)</f>
        <v>0</v>
      </c>
      <c r="BF182" s="14">
        <f>IF(N182="snížená",J182,0)</f>
        <v>0</v>
      </c>
      <c r="BG182" s="14">
        <f>IF(N182="zákl. přenesená",J182,0)</f>
        <v>0</v>
      </c>
      <c r="BH182" s="14">
        <f>IF(N182="sníž. přenesená",J182,0)</f>
        <v>0</v>
      </c>
      <c r="BI182" s="14">
        <f>IF(N182="nulová",J182,0)</f>
        <v>0</v>
      </c>
      <c r="BJ182" s="13" t="s">
        <v>74</v>
      </c>
      <c r="BK182" s="14">
        <f>ROUND(I182*H182,2)</f>
        <v>0</v>
      </c>
      <c r="BL182" s="13" t="s">
        <v>135</v>
      </c>
      <c r="BM182" s="12" t="s">
        <v>222</v>
      </c>
    </row>
    <row r="183" spans="1:65" s="5" customFormat="1" ht="16.5" customHeight="1" x14ac:dyDescent="0.2">
      <c r="A183" s="274"/>
      <c r="B183" s="4"/>
      <c r="C183" s="33" t="s">
        <v>223</v>
      </c>
      <c r="D183" s="33" t="s">
        <v>131</v>
      </c>
      <c r="E183" s="34" t="s">
        <v>172</v>
      </c>
      <c r="F183" s="7" t="s">
        <v>173</v>
      </c>
      <c r="G183" s="35" t="s">
        <v>157</v>
      </c>
      <c r="H183" s="36">
        <v>1</v>
      </c>
      <c r="I183" s="1"/>
      <c r="J183" s="6">
        <f>ROUND(I183*H183,2)</f>
        <v>0</v>
      </c>
      <c r="K183" s="7" t="s">
        <v>1</v>
      </c>
      <c r="L183" s="4"/>
      <c r="M183" s="8" t="s">
        <v>1</v>
      </c>
      <c r="N183" s="9" t="s">
        <v>33</v>
      </c>
      <c r="O183" s="10">
        <v>0</v>
      </c>
      <c r="P183" s="10">
        <f>O183*H183</f>
        <v>0</v>
      </c>
      <c r="Q183" s="10">
        <v>0</v>
      </c>
      <c r="R183" s="10">
        <f>Q183*H183</f>
        <v>0</v>
      </c>
      <c r="S183" s="10">
        <v>0</v>
      </c>
      <c r="T183" s="11">
        <f>S183*H183</f>
        <v>0</v>
      </c>
      <c r="U183" s="274"/>
      <c r="V183" s="274"/>
      <c r="W183" s="274"/>
      <c r="X183" s="274"/>
      <c r="Y183" s="274"/>
      <c r="Z183" s="274"/>
      <c r="AA183" s="274"/>
      <c r="AB183" s="274"/>
      <c r="AC183" s="274"/>
      <c r="AD183" s="274"/>
      <c r="AE183" s="274"/>
      <c r="AR183" s="12" t="s">
        <v>135</v>
      </c>
      <c r="AT183" s="12" t="s">
        <v>131</v>
      </c>
      <c r="AU183" s="12" t="s">
        <v>74</v>
      </c>
      <c r="AY183" s="13" t="s">
        <v>130</v>
      </c>
      <c r="BE183" s="14">
        <f>IF(N183="základní",J183,0)</f>
        <v>0</v>
      </c>
      <c r="BF183" s="14">
        <f>IF(N183="snížená",J183,0)</f>
        <v>0</v>
      </c>
      <c r="BG183" s="14">
        <f>IF(N183="zákl. přenesená",J183,0)</f>
        <v>0</v>
      </c>
      <c r="BH183" s="14">
        <f>IF(N183="sníž. přenesená",J183,0)</f>
        <v>0</v>
      </c>
      <c r="BI183" s="14">
        <f>IF(N183="nulová",J183,0)</f>
        <v>0</v>
      </c>
      <c r="BJ183" s="13" t="s">
        <v>74</v>
      </c>
      <c r="BK183" s="14">
        <f>ROUND(I183*H183,2)</f>
        <v>0</v>
      </c>
      <c r="BL183" s="13" t="s">
        <v>135</v>
      </c>
      <c r="BM183" s="12" t="s">
        <v>224</v>
      </c>
    </row>
    <row r="184" spans="1:65" s="5" customFormat="1" ht="16.5" customHeight="1" x14ac:dyDescent="0.2">
      <c r="A184" s="274"/>
      <c r="B184" s="4"/>
      <c r="C184" s="33" t="s">
        <v>186</v>
      </c>
      <c r="D184" s="33" t="s">
        <v>131</v>
      </c>
      <c r="E184" s="34" t="s">
        <v>218</v>
      </c>
      <c r="F184" s="7" t="s">
        <v>176</v>
      </c>
      <c r="G184" s="35" t="s">
        <v>134</v>
      </c>
      <c r="H184" s="36">
        <v>0.8</v>
      </c>
      <c r="I184" s="1"/>
      <c r="J184" s="6">
        <f>ROUND(I184*H184,2)</f>
        <v>0</v>
      </c>
      <c r="K184" s="7" t="s">
        <v>1</v>
      </c>
      <c r="L184" s="4"/>
      <c r="M184" s="8" t="s">
        <v>1</v>
      </c>
      <c r="N184" s="9" t="s">
        <v>33</v>
      </c>
      <c r="O184" s="10">
        <v>0</v>
      </c>
      <c r="P184" s="10">
        <f>O184*H184</f>
        <v>0</v>
      </c>
      <c r="Q184" s="10">
        <v>0</v>
      </c>
      <c r="R184" s="10">
        <f>Q184*H184</f>
        <v>0</v>
      </c>
      <c r="S184" s="10">
        <v>0</v>
      </c>
      <c r="T184" s="11">
        <f>S184*H184</f>
        <v>0</v>
      </c>
      <c r="U184" s="274"/>
      <c r="V184" s="274"/>
      <c r="W184" s="274"/>
      <c r="X184" s="274"/>
      <c r="Y184" s="274"/>
      <c r="Z184" s="274"/>
      <c r="AA184" s="274"/>
      <c r="AB184" s="274"/>
      <c r="AC184" s="274"/>
      <c r="AD184" s="274"/>
      <c r="AE184" s="274"/>
      <c r="AR184" s="12" t="s">
        <v>135</v>
      </c>
      <c r="AT184" s="12" t="s">
        <v>131</v>
      </c>
      <c r="AU184" s="12" t="s">
        <v>74</v>
      </c>
      <c r="AY184" s="13" t="s">
        <v>130</v>
      </c>
      <c r="BE184" s="14">
        <f>IF(N184="základní",J184,0)</f>
        <v>0</v>
      </c>
      <c r="BF184" s="14">
        <f>IF(N184="snížená",J184,0)</f>
        <v>0</v>
      </c>
      <c r="BG184" s="14">
        <f>IF(N184="zákl. přenesená",J184,0)</f>
        <v>0</v>
      </c>
      <c r="BH184" s="14">
        <f>IF(N184="sníž. přenesená",J184,0)</f>
        <v>0</v>
      </c>
      <c r="BI184" s="14">
        <f>IF(N184="nulová",J184,0)</f>
        <v>0</v>
      </c>
      <c r="BJ184" s="13" t="s">
        <v>74</v>
      </c>
      <c r="BK184" s="14">
        <f>ROUND(I184*H184,2)</f>
        <v>0</v>
      </c>
      <c r="BL184" s="13" t="s">
        <v>135</v>
      </c>
      <c r="BM184" s="12" t="s">
        <v>225</v>
      </c>
    </row>
    <row r="185" spans="1:65" s="20" customFormat="1" ht="25.9" customHeight="1" x14ac:dyDescent="0.2">
      <c r="B185" s="21"/>
      <c r="D185" s="26" t="s">
        <v>67</v>
      </c>
      <c r="E185" s="39" t="s">
        <v>226</v>
      </c>
      <c r="F185" s="39" t="s">
        <v>227</v>
      </c>
      <c r="J185" s="19">
        <f>BK185</f>
        <v>0</v>
      </c>
      <c r="L185" s="21"/>
      <c r="M185" s="22"/>
      <c r="N185" s="23"/>
      <c r="O185" s="23"/>
      <c r="P185" s="24">
        <f>SUM(P186:P188)</f>
        <v>0</v>
      </c>
      <c r="Q185" s="23"/>
      <c r="R185" s="24">
        <f>SUM(R186:R188)</f>
        <v>0</v>
      </c>
      <c r="S185" s="23"/>
      <c r="T185" s="25">
        <f>SUM(T186:T188)</f>
        <v>0</v>
      </c>
      <c r="AR185" s="26" t="s">
        <v>74</v>
      </c>
      <c r="AT185" s="27" t="s">
        <v>67</v>
      </c>
      <c r="AU185" s="27" t="s">
        <v>68</v>
      </c>
      <c r="AY185" s="26" t="s">
        <v>130</v>
      </c>
      <c r="BK185" s="28">
        <f>SUM(BK186:BK188)</f>
        <v>0</v>
      </c>
    </row>
    <row r="186" spans="1:65" s="5" customFormat="1" ht="21.75" customHeight="1" x14ac:dyDescent="0.2">
      <c r="A186" s="274"/>
      <c r="B186" s="4"/>
      <c r="C186" s="33" t="s">
        <v>228</v>
      </c>
      <c r="D186" s="33" t="s">
        <v>131</v>
      </c>
      <c r="E186" s="34" t="s">
        <v>229</v>
      </c>
      <c r="F186" s="7" t="s">
        <v>230</v>
      </c>
      <c r="G186" s="35" t="s">
        <v>134</v>
      </c>
      <c r="H186" s="36">
        <v>18.3</v>
      </c>
      <c r="I186" s="1"/>
      <c r="J186" s="6">
        <f>ROUND(I186*H186,2)</f>
        <v>0</v>
      </c>
      <c r="K186" s="7" t="s">
        <v>1</v>
      </c>
      <c r="L186" s="4"/>
      <c r="M186" s="8" t="s">
        <v>1</v>
      </c>
      <c r="N186" s="9" t="s">
        <v>33</v>
      </c>
      <c r="O186" s="10">
        <v>0</v>
      </c>
      <c r="P186" s="10">
        <f>O186*H186</f>
        <v>0</v>
      </c>
      <c r="Q186" s="10">
        <v>0</v>
      </c>
      <c r="R186" s="10">
        <f>Q186*H186</f>
        <v>0</v>
      </c>
      <c r="S186" s="10">
        <v>0</v>
      </c>
      <c r="T186" s="11">
        <f>S186*H186</f>
        <v>0</v>
      </c>
      <c r="U186" s="274"/>
      <c r="V186" s="274"/>
      <c r="W186" s="274"/>
      <c r="X186" s="274"/>
      <c r="Y186" s="274"/>
      <c r="Z186" s="274"/>
      <c r="AA186" s="274"/>
      <c r="AB186" s="274"/>
      <c r="AC186" s="274"/>
      <c r="AD186" s="274"/>
      <c r="AE186" s="274"/>
      <c r="AR186" s="12" t="s">
        <v>135</v>
      </c>
      <c r="AT186" s="12" t="s">
        <v>131</v>
      </c>
      <c r="AU186" s="12" t="s">
        <v>74</v>
      </c>
      <c r="AY186" s="13" t="s">
        <v>130</v>
      </c>
      <c r="BE186" s="14">
        <f>IF(N186="základní",J186,0)</f>
        <v>0</v>
      </c>
      <c r="BF186" s="14">
        <f>IF(N186="snížená",J186,0)</f>
        <v>0</v>
      </c>
      <c r="BG186" s="14">
        <f>IF(N186="zákl. přenesená",J186,0)</f>
        <v>0</v>
      </c>
      <c r="BH186" s="14">
        <f>IF(N186="sníž. přenesená",J186,0)</f>
        <v>0</v>
      </c>
      <c r="BI186" s="14">
        <f>IF(N186="nulová",J186,0)</f>
        <v>0</v>
      </c>
      <c r="BJ186" s="13" t="s">
        <v>74</v>
      </c>
      <c r="BK186" s="14">
        <f>ROUND(I186*H186,2)</f>
        <v>0</v>
      </c>
      <c r="BL186" s="13" t="s">
        <v>135</v>
      </c>
      <c r="BM186" s="12" t="s">
        <v>231</v>
      </c>
    </row>
    <row r="187" spans="1:65" s="5" customFormat="1" ht="16.5" customHeight="1" x14ac:dyDescent="0.2">
      <c r="A187" s="274"/>
      <c r="B187" s="4"/>
      <c r="C187" s="33" t="s">
        <v>189</v>
      </c>
      <c r="D187" s="33" t="s">
        <v>131</v>
      </c>
      <c r="E187" s="34" t="s">
        <v>232</v>
      </c>
      <c r="F187" s="7" t="s">
        <v>233</v>
      </c>
      <c r="G187" s="35" t="s">
        <v>138</v>
      </c>
      <c r="H187" s="36">
        <v>1</v>
      </c>
      <c r="I187" s="1"/>
      <c r="J187" s="6">
        <f>ROUND(I187*H187,2)</f>
        <v>0</v>
      </c>
      <c r="K187" s="7" t="s">
        <v>1</v>
      </c>
      <c r="L187" s="4"/>
      <c r="M187" s="8" t="s">
        <v>1</v>
      </c>
      <c r="N187" s="9" t="s">
        <v>33</v>
      </c>
      <c r="O187" s="10">
        <v>0</v>
      </c>
      <c r="P187" s="10">
        <f>O187*H187</f>
        <v>0</v>
      </c>
      <c r="Q187" s="10">
        <v>0</v>
      </c>
      <c r="R187" s="10">
        <f>Q187*H187</f>
        <v>0</v>
      </c>
      <c r="S187" s="10">
        <v>0</v>
      </c>
      <c r="T187" s="11">
        <f>S187*H187</f>
        <v>0</v>
      </c>
      <c r="U187" s="274"/>
      <c r="V187" s="274"/>
      <c r="W187" s="274"/>
      <c r="X187" s="274"/>
      <c r="Y187" s="274"/>
      <c r="Z187" s="274"/>
      <c r="AA187" s="274"/>
      <c r="AB187" s="274"/>
      <c r="AC187" s="274"/>
      <c r="AD187" s="274"/>
      <c r="AE187" s="274"/>
      <c r="AR187" s="12" t="s">
        <v>135</v>
      </c>
      <c r="AT187" s="12" t="s">
        <v>131</v>
      </c>
      <c r="AU187" s="12" t="s">
        <v>74</v>
      </c>
      <c r="AY187" s="13" t="s">
        <v>130</v>
      </c>
      <c r="BE187" s="14">
        <f>IF(N187="základní",J187,0)</f>
        <v>0</v>
      </c>
      <c r="BF187" s="14">
        <f>IF(N187="snížená",J187,0)</f>
        <v>0</v>
      </c>
      <c r="BG187" s="14">
        <f>IF(N187="zákl. přenesená",J187,0)</f>
        <v>0</v>
      </c>
      <c r="BH187" s="14">
        <f>IF(N187="sníž. přenesená",J187,0)</f>
        <v>0</v>
      </c>
      <c r="BI187" s="14">
        <f>IF(N187="nulová",J187,0)</f>
        <v>0</v>
      </c>
      <c r="BJ187" s="13" t="s">
        <v>74</v>
      </c>
      <c r="BK187" s="14">
        <f>ROUND(I187*H187,2)</f>
        <v>0</v>
      </c>
      <c r="BL187" s="13" t="s">
        <v>135</v>
      </c>
      <c r="BM187" s="12" t="s">
        <v>234</v>
      </c>
    </row>
    <row r="188" spans="1:65" s="5" customFormat="1" ht="39" x14ac:dyDescent="0.2">
      <c r="A188" s="274"/>
      <c r="B188" s="4"/>
      <c r="C188" s="274"/>
      <c r="D188" s="37" t="s">
        <v>148</v>
      </c>
      <c r="E188" s="274"/>
      <c r="F188" s="38" t="s">
        <v>235</v>
      </c>
      <c r="G188" s="274"/>
      <c r="H188" s="274"/>
      <c r="I188" s="274"/>
      <c r="J188" s="274"/>
      <c r="K188" s="274"/>
      <c r="L188" s="4"/>
      <c r="M188" s="15"/>
      <c r="N188" s="16"/>
      <c r="O188" s="276"/>
      <c r="P188" s="276"/>
      <c r="Q188" s="276"/>
      <c r="R188" s="276"/>
      <c r="S188" s="276"/>
      <c r="T188" s="18"/>
      <c r="U188" s="274"/>
      <c r="V188" s="274"/>
      <c r="W188" s="274"/>
      <c r="X188" s="274"/>
      <c r="Y188" s="274"/>
      <c r="Z188" s="274"/>
      <c r="AA188" s="274"/>
      <c r="AB188" s="274"/>
      <c r="AC188" s="274"/>
      <c r="AD188" s="274"/>
      <c r="AE188" s="274"/>
      <c r="AT188" s="13" t="s">
        <v>148</v>
      </c>
      <c r="AU188" s="13" t="s">
        <v>74</v>
      </c>
    </row>
    <row r="189" spans="1:65" s="20" customFormat="1" ht="25.9" customHeight="1" x14ac:dyDescent="0.2">
      <c r="B189" s="21"/>
      <c r="D189" s="26" t="s">
        <v>67</v>
      </c>
      <c r="E189" s="39" t="s">
        <v>236</v>
      </c>
      <c r="F189" s="39" t="s">
        <v>237</v>
      </c>
      <c r="J189" s="19">
        <f>BK189</f>
        <v>0</v>
      </c>
      <c r="L189" s="21"/>
      <c r="M189" s="22"/>
      <c r="N189" s="23"/>
      <c r="O189" s="23"/>
      <c r="P189" s="24">
        <f>SUM(P190:P192)</f>
        <v>0</v>
      </c>
      <c r="Q189" s="23"/>
      <c r="R189" s="24">
        <f>SUM(R190:R192)</f>
        <v>0</v>
      </c>
      <c r="S189" s="23"/>
      <c r="T189" s="25">
        <f>SUM(T190:T192)</f>
        <v>0</v>
      </c>
      <c r="AR189" s="26" t="s">
        <v>74</v>
      </c>
      <c r="AT189" s="27" t="s">
        <v>67</v>
      </c>
      <c r="AU189" s="27" t="s">
        <v>68</v>
      </c>
      <c r="AY189" s="26" t="s">
        <v>130</v>
      </c>
      <c r="BK189" s="28">
        <f>SUM(BK190:BK192)</f>
        <v>0</v>
      </c>
    </row>
    <row r="190" spans="1:65" s="5" customFormat="1" ht="21.75" customHeight="1" x14ac:dyDescent="0.2">
      <c r="A190" s="274"/>
      <c r="B190" s="4"/>
      <c r="C190" s="33" t="s">
        <v>238</v>
      </c>
      <c r="D190" s="33" t="s">
        <v>131</v>
      </c>
      <c r="E190" s="34" t="s">
        <v>229</v>
      </c>
      <c r="F190" s="7" t="s">
        <v>230</v>
      </c>
      <c r="G190" s="35" t="s">
        <v>134</v>
      </c>
      <c r="H190" s="36">
        <v>11.3</v>
      </c>
      <c r="I190" s="1"/>
      <c r="J190" s="6">
        <f>ROUND(I190*H190,2)</f>
        <v>0</v>
      </c>
      <c r="K190" s="7" t="s">
        <v>1</v>
      </c>
      <c r="L190" s="4"/>
      <c r="M190" s="8" t="s">
        <v>1</v>
      </c>
      <c r="N190" s="9" t="s">
        <v>33</v>
      </c>
      <c r="O190" s="10">
        <v>0</v>
      </c>
      <c r="P190" s="10">
        <f>O190*H190</f>
        <v>0</v>
      </c>
      <c r="Q190" s="10">
        <v>0</v>
      </c>
      <c r="R190" s="10">
        <f>Q190*H190</f>
        <v>0</v>
      </c>
      <c r="S190" s="10">
        <v>0</v>
      </c>
      <c r="T190" s="11">
        <f>S190*H190</f>
        <v>0</v>
      </c>
      <c r="U190" s="274"/>
      <c r="V190" s="274"/>
      <c r="W190" s="274"/>
      <c r="X190" s="274"/>
      <c r="Y190" s="274"/>
      <c r="Z190" s="274"/>
      <c r="AA190" s="274"/>
      <c r="AB190" s="274"/>
      <c r="AC190" s="274"/>
      <c r="AD190" s="274"/>
      <c r="AE190" s="274"/>
      <c r="AR190" s="12" t="s">
        <v>135</v>
      </c>
      <c r="AT190" s="12" t="s">
        <v>131</v>
      </c>
      <c r="AU190" s="12" t="s">
        <v>74</v>
      </c>
      <c r="AY190" s="13" t="s">
        <v>130</v>
      </c>
      <c r="BE190" s="14">
        <f>IF(N190="základní",J190,0)</f>
        <v>0</v>
      </c>
      <c r="BF190" s="14">
        <f>IF(N190="snížená",J190,0)</f>
        <v>0</v>
      </c>
      <c r="BG190" s="14">
        <f>IF(N190="zákl. přenesená",J190,0)</f>
        <v>0</v>
      </c>
      <c r="BH190" s="14">
        <f>IF(N190="sníž. přenesená",J190,0)</f>
        <v>0</v>
      </c>
      <c r="BI190" s="14">
        <f>IF(N190="nulová",J190,0)</f>
        <v>0</v>
      </c>
      <c r="BJ190" s="13" t="s">
        <v>74</v>
      </c>
      <c r="BK190" s="14">
        <f>ROUND(I190*H190,2)</f>
        <v>0</v>
      </c>
      <c r="BL190" s="13" t="s">
        <v>135</v>
      </c>
      <c r="BM190" s="12" t="s">
        <v>239</v>
      </c>
    </row>
    <row r="191" spans="1:65" s="5" customFormat="1" ht="16.5" customHeight="1" x14ac:dyDescent="0.2">
      <c r="A191" s="274"/>
      <c r="B191" s="4"/>
      <c r="C191" s="33" t="s">
        <v>196</v>
      </c>
      <c r="D191" s="33" t="s">
        <v>131</v>
      </c>
      <c r="E191" s="34" t="s">
        <v>240</v>
      </c>
      <c r="F191" s="7" t="s">
        <v>241</v>
      </c>
      <c r="G191" s="35" t="s">
        <v>138</v>
      </c>
      <c r="H191" s="36">
        <v>1</v>
      </c>
      <c r="I191" s="1"/>
      <c r="J191" s="6">
        <f>ROUND(I191*H191,2)</f>
        <v>0</v>
      </c>
      <c r="K191" s="7" t="s">
        <v>1</v>
      </c>
      <c r="L191" s="4"/>
      <c r="M191" s="8" t="s">
        <v>1</v>
      </c>
      <c r="N191" s="9" t="s">
        <v>33</v>
      </c>
      <c r="O191" s="10">
        <v>0</v>
      </c>
      <c r="P191" s="10">
        <f>O191*H191</f>
        <v>0</v>
      </c>
      <c r="Q191" s="10">
        <v>0</v>
      </c>
      <c r="R191" s="10">
        <f>Q191*H191</f>
        <v>0</v>
      </c>
      <c r="S191" s="10">
        <v>0</v>
      </c>
      <c r="T191" s="11">
        <f>S191*H191</f>
        <v>0</v>
      </c>
      <c r="U191" s="274"/>
      <c r="V191" s="274"/>
      <c r="W191" s="274"/>
      <c r="X191" s="274"/>
      <c r="Y191" s="274"/>
      <c r="Z191" s="274"/>
      <c r="AA191" s="274"/>
      <c r="AB191" s="274"/>
      <c r="AC191" s="274"/>
      <c r="AD191" s="274"/>
      <c r="AE191" s="274"/>
      <c r="AR191" s="12" t="s">
        <v>135</v>
      </c>
      <c r="AT191" s="12" t="s">
        <v>131</v>
      </c>
      <c r="AU191" s="12" t="s">
        <v>74</v>
      </c>
      <c r="AY191" s="13" t="s">
        <v>130</v>
      </c>
      <c r="BE191" s="14">
        <f>IF(N191="základní",J191,0)</f>
        <v>0</v>
      </c>
      <c r="BF191" s="14">
        <f>IF(N191="snížená",J191,0)</f>
        <v>0</v>
      </c>
      <c r="BG191" s="14">
        <f>IF(N191="zákl. přenesená",J191,0)</f>
        <v>0</v>
      </c>
      <c r="BH191" s="14">
        <f>IF(N191="sníž. přenesená",J191,0)</f>
        <v>0</v>
      </c>
      <c r="BI191" s="14">
        <f>IF(N191="nulová",J191,0)</f>
        <v>0</v>
      </c>
      <c r="BJ191" s="13" t="s">
        <v>74</v>
      </c>
      <c r="BK191" s="14">
        <f>ROUND(I191*H191,2)</f>
        <v>0</v>
      </c>
      <c r="BL191" s="13" t="s">
        <v>135</v>
      </c>
      <c r="BM191" s="12" t="s">
        <v>242</v>
      </c>
    </row>
    <row r="192" spans="1:65" s="5" customFormat="1" ht="39" x14ac:dyDescent="0.2">
      <c r="A192" s="274"/>
      <c r="B192" s="4"/>
      <c r="C192" s="274"/>
      <c r="D192" s="37" t="s">
        <v>148</v>
      </c>
      <c r="E192" s="274"/>
      <c r="F192" s="38" t="s">
        <v>235</v>
      </c>
      <c r="G192" s="274"/>
      <c r="H192" s="274"/>
      <c r="I192" s="274"/>
      <c r="J192" s="274"/>
      <c r="K192" s="274"/>
      <c r="L192" s="4"/>
      <c r="M192" s="15"/>
      <c r="N192" s="16"/>
      <c r="O192" s="276"/>
      <c r="P192" s="276"/>
      <c r="Q192" s="276"/>
      <c r="R192" s="276"/>
      <c r="S192" s="276"/>
      <c r="T192" s="18"/>
      <c r="U192" s="274"/>
      <c r="V192" s="274"/>
      <c r="W192" s="274"/>
      <c r="X192" s="274"/>
      <c r="Y192" s="274"/>
      <c r="Z192" s="274"/>
      <c r="AA192" s="274"/>
      <c r="AB192" s="274"/>
      <c r="AC192" s="274"/>
      <c r="AD192" s="274"/>
      <c r="AE192" s="274"/>
      <c r="AT192" s="13" t="s">
        <v>148</v>
      </c>
      <c r="AU192" s="13" t="s">
        <v>74</v>
      </c>
    </row>
    <row r="193" spans="1:65" s="20" customFormat="1" ht="25.9" customHeight="1" x14ac:dyDescent="0.2">
      <c r="B193" s="21"/>
      <c r="D193" s="26" t="s">
        <v>67</v>
      </c>
      <c r="E193" s="39" t="s">
        <v>243</v>
      </c>
      <c r="F193" s="39" t="s">
        <v>244</v>
      </c>
      <c r="J193" s="19">
        <f>BK193</f>
        <v>0</v>
      </c>
      <c r="L193" s="21"/>
      <c r="M193" s="22"/>
      <c r="N193" s="23"/>
      <c r="O193" s="23"/>
      <c r="P193" s="24">
        <f>SUM(P194:P195)</f>
        <v>0</v>
      </c>
      <c r="Q193" s="23"/>
      <c r="R193" s="24">
        <f>SUM(R194:R195)</f>
        <v>0</v>
      </c>
      <c r="S193" s="23"/>
      <c r="T193" s="25">
        <f>SUM(T194:T195)</f>
        <v>0</v>
      </c>
      <c r="AR193" s="26" t="s">
        <v>74</v>
      </c>
      <c r="AT193" s="27" t="s">
        <v>67</v>
      </c>
      <c r="AU193" s="27" t="s">
        <v>68</v>
      </c>
      <c r="AY193" s="26" t="s">
        <v>130</v>
      </c>
      <c r="BK193" s="28">
        <f>SUM(BK194:BK195)</f>
        <v>0</v>
      </c>
    </row>
    <row r="194" spans="1:65" s="5" customFormat="1" ht="16.5" customHeight="1" x14ac:dyDescent="0.2">
      <c r="A194" s="274"/>
      <c r="B194" s="4"/>
      <c r="C194" s="33" t="s">
        <v>245</v>
      </c>
      <c r="D194" s="33" t="s">
        <v>131</v>
      </c>
      <c r="E194" s="34" t="s">
        <v>246</v>
      </c>
      <c r="F194" s="7" t="s">
        <v>247</v>
      </c>
      <c r="G194" s="35" t="s">
        <v>138</v>
      </c>
      <c r="H194" s="36">
        <v>1</v>
      </c>
      <c r="I194" s="1"/>
      <c r="J194" s="6">
        <f>ROUND(I194*H194,2)</f>
        <v>0</v>
      </c>
      <c r="K194" s="7" t="s">
        <v>1</v>
      </c>
      <c r="L194" s="4"/>
      <c r="M194" s="8" t="s">
        <v>1</v>
      </c>
      <c r="N194" s="9" t="s">
        <v>33</v>
      </c>
      <c r="O194" s="10">
        <v>0</v>
      </c>
      <c r="P194" s="10">
        <f>O194*H194</f>
        <v>0</v>
      </c>
      <c r="Q194" s="10">
        <v>0</v>
      </c>
      <c r="R194" s="10">
        <f>Q194*H194</f>
        <v>0</v>
      </c>
      <c r="S194" s="10">
        <v>0</v>
      </c>
      <c r="T194" s="11">
        <f>S194*H194</f>
        <v>0</v>
      </c>
      <c r="U194" s="274"/>
      <c r="V194" s="274"/>
      <c r="W194" s="274"/>
      <c r="X194" s="274"/>
      <c r="Y194" s="274"/>
      <c r="Z194" s="274"/>
      <c r="AA194" s="274"/>
      <c r="AB194" s="274"/>
      <c r="AC194" s="274"/>
      <c r="AD194" s="274"/>
      <c r="AE194" s="274"/>
      <c r="AR194" s="12" t="s">
        <v>135</v>
      </c>
      <c r="AT194" s="12" t="s">
        <v>131</v>
      </c>
      <c r="AU194" s="12" t="s">
        <v>74</v>
      </c>
      <c r="AY194" s="13" t="s">
        <v>130</v>
      </c>
      <c r="BE194" s="14">
        <f>IF(N194="základní",J194,0)</f>
        <v>0</v>
      </c>
      <c r="BF194" s="14">
        <f>IF(N194="snížená",J194,0)</f>
        <v>0</v>
      </c>
      <c r="BG194" s="14">
        <f>IF(N194="zákl. přenesená",J194,0)</f>
        <v>0</v>
      </c>
      <c r="BH194" s="14">
        <f>IF(N194="sníž. přenesená",J194,0)</f>
        <v>0</v>
      </c>
      <c r="BI194" s="14">
        <f>IF(N194="nulová",J194,0)</f>
        <v>0</v>
      </c>
      <c r="BJ194" s="13" t="s">
        <v>74</v>
      </c>
      <c r="BK194" s="14">
        <f>ROUND(I194*H194,2)</f>
        <v>0</v>
      </c>
      <c r="BL194" s="13" t="s">
        <v>135</v>
      </c>
      <c r="BM194" s="12" t="s">
        <v>248</v>
      </c>
    </row>
    <row r="195" spans="1:65" s="5" customFormat="1" ht="39" x14ac:dyDescent="0.2">
      <c r="A195" s="274"/>
      <c r="B195" s="4"/>
      <c r="C195" s="274"/>
      <c r="D195" s="37" t="s">
        <v>148</v>
      </c>
      <c r="E195" s="274"/>
      <c r="F195" s="38" t="s">
        <v>249</v>
      </c>
      <c r="G195" s="274"/>
      <c r="H195" s="274"/>
      <c r="I195" s="274"/>
      <c r="J195" s="274"/>
      <c r="K195" s="274"/>
      <c r="L195" s="4"/>
      <c r="M195" s="15"/>
      <c r="N195" s="16"/>
      <c r="O195" s="276"/>
      <c r="P195" s="276"/>
      <c r="Q195" s="276"/>
      <c r="R195" s="276"/>
      <c r="S195" s="276"/>
      <c r="T195" s="18"/>
      <c r="U195" s="274"/>
      <c r="V195" s="274"/>
      <c r="W195" s="274"/>
      <c r="X195" s="274"/>
      <c r="Y195" s="274"/>
      <c r="Z195" s="274"/>
      <c r="AA195" s="274"/>
      <c r="AB195" s="274"/>
      <c r="AC195" s="274"/>
      <c r="AD195" s="274"/>
      <c r="AE195" s="274"/>
      <c r="AT195" s="13" t="s">
        <v>148</v>
      </c>
      <c r="AU195" s="13" t="s">
        <v>74</v>
      </c>
    </row>
    <row r="196" spans="1:65" s="20" customFormat="1" ht="25.9" customHeight="1" x14ac:dyDescent="0.2">
      <c r="B196" s="21"/>
      <c r="D196" s="26" t="s">
        <v>67</v>
      </c>
      <c r="E196" s="39" t="s">
        <v>250</v>
      </c>
      <c r="F196" s="39" t="s">
        <v>251</v>
      </c>
      <c r="J196" s="19">
        <f>BK196</f>
        <v>0</v>
      </c>
      <c r="L196" s="21"/>
      <c r="M196" s="22"/>
      <c r="N196" s="23"/>
      <c r="O196" s="23"/>
      <c r="P196" s="24">
        <f>SUM(P197:P198)</f>
        <v>0</v>
      </c>
      <c r="Q196" s="23"/>
      <c r="R196" s="24">
        <f>SUM(R197:R198)</f>
        <v>0</v>
      </c>
      <c r="S196" s="23"/>
      <c r="T196" s="25">
        <f>SUM(T197:T198)</f>
        <v>0</v>
      </c>
      <c r="AR196" s="26" t="s">
        <v>74</v>
      </c>
      <c r="AT196" s="27" t="s">
        <v>67</v>
      </c>
      <c r="AU196" s="27" t="s">
        <v>68</v>
      </c>
      <c r="AY196" s="26" t="s">
        <v>130</v>
      </c>
      <c r="BK196" s="28">
        <f>SUM(BK197:BK198)</f>
        <v>0</v>
      </c>
    </row>
    <row r="197" spans="1:65" s="5" customFormat="1" ht="16.5" customHeight="1" x14ac:dyDescent="0.2">
      <c r="A197" s="274"/>
      <c r="B197" s="4"/>
      <c r="C197" s="33" t="s">
        <v>199</v>
      </c>
      <c r="D197" s="33" t="s">
        <v>131</v>
      </c>
      <c r="E197" s="34" t="s">
        <v>252</v>
      </c>
      <c r="F197" s="7" t="s">
        <v>253</v>
      </c>
      <c r="G197" s="35" t="s">
        <v>138</v>
      </c>
      <c r="H197" s="36">
        <v>1</v>
      </c>
      <c r="I197" s="1"/>
      <c r="J197" s="6">
        <f>ROUND(I197*H197,2)</f>
        <v>0</v>
      </c>
      <c r="K197" s="7" t="s">
        <v>1</v>
      </c>
      <c r="L197" s="4"/>
      <c r="M197" s="8" t="s">
        <v>1</v>
      </c>
      <c r="N197" s="9" t="s">
        <v>33</v>
      </c>
      <c r="O197" s="10">
        <v>0</v>
      </c>
      <c r="P197" s="10">
        <f>O197*H197</f>
        <v>0</v>
      </c>
      <c r="Q197" s="10">
        <v>0</v>
      </c>
      <c r="R197" s="10">
        <f>Q197*H197</f>
        <v>0</v>
      </c>
      <c r="S197" s="10">
        <v>0</v>
      </c>
      <c r="T197" s="11">
        <f>S197*H197</f>
        <v>0</v>
      </c>
      <c r="U197" s="274"/>
      <c r="V197" s="274"/>
      <c r="W197" s="274"/>
      <c r="X197" s="274"/>
      <c r="Y197" s="274"/>
      <c r="Z197" s="274"/>
      <c r="AA197" s="274"/>
      <c r="AB197" s="274"/>
      <c r="AC197" s="274"/>
      <c r="AD197" s="274"/>
      <c r="AE197" s="274"/>
      <c r="AR197" s="12" t="s">
        <v>135</v>
      </c>
      <c r="AT197" s="12" t="s">
        <v>131</v>
      </c>
      <c r="AU197" s="12" t="s">
        <v>74</v>
      </c>
      <c r="AY197" s="13" t="s">
        <v>130</v>
      </c>
      <c r="BE197" s="14">
        <f>IF(N197="základní",J197,0)</f>
        <v>0</v>
      </c>
      <c r="BF197" s="14">
        <f>IF(N197="snížená",J197,0)</f>
        <v>0</v>
      </c>
      <c r="BG197" s="14">
        <f>IF(N197="zákl. přenesená",J197,0)</f>
        <v>0</v>
      </c>
      <c r="BH197" s="14">
        <f>IF(N197="sníž. přenesená",J197,0)</f>
        <v>0</v>
      </c>
      <c r="BI197" s="14">
        <f>IF(N197="nulová",J197,0)</f>
        <v>0</v>
      </c>
      <c r="BJ197" s="13" t="s">
        <v>74</v>
      </c>
      <c r="BK197" s="14">
        <f>ROUND(I197*H197,2)</f>
        <v>0</v>
      </c>
      <c r="BL197" s="13" t="s">
        <v>135</v>
      </c>
      <c r="BM197" s="12" t="s">
        <v>254</v>
      </c>
    </row>
    <row r="198" spans="1:65" s="5" customFormat="1" ht="19.5" x14ac:dyDescent="0.2">
      <c r="A198" s="274"/>
      <c r="B198" s="4"/>
      <c r="C198" s="274"/>
      <c r="D198" s="37" t="s">
        <v>148</v>
      </c>
      <c r="E198" s="274"/>
      <c r="F198" s="38" t="s">
        <v>255</v>
      </c>
      <c r="G198" s="274"/>
      <c r="H198" s="274"/>
      <c r="I198" s="274"/>
      <c r="J198" s="274"/>
      <c r="K198" s="274"/>
      <c r="L198" s="4"/>
      <c r="M198" s="15"/>
      <c r="N198" s="16"/>
      <c r="O198" s="276"/>
      <c r="P198" s="276"/>
      <c r="Q198" s="276"/>
      <c r="R198" s="276"/>
      <c r="S198" s="276"/>
      <c r="T198" s="18"/>
      <c r="U198" s="274"/>
      <c r="V198" s="274"/>
      <c r="W198" s="274"/>
      <c r="X198" s="274"/>
      <c r="Y198" s="274"/>
      <c r="Z198" s="274"/>
      <c r="AA198" s="274"/>
      <c r="AB198" s="274"/>
      <c r="AC198" s="274"/>
      <c r="AD198" s="274"/>
      <c r="AE198" s="274"/>
      <c r="AT198" s="13" t="s">
        <v>148</v>
      </c>
      <c r="AU198" s="13" t="s">
        <v>74</v>
      </c>
    </row>
    <row r="199" spans="1:65" s="20" customFormat="1" ht="25.9" customHeight="1" x14ac:dyDescent="0.2">
      <c r="B199" s="21"/>
      <c r="D199" s="26" t="s">
        <v>67</v>
      </c>
      <c r="E199" s="39" t="s">
        <v>256</v>
      </c>
      <c r="F199" s="39" t="s">
        <v>257</v>
      </c>
      <c r="J199" s="19">
        <f>BK199</f>
        <v>0</v>
      </c>
      <c r="L199" s="21"/>
      <c r="M199" s="22"/>
      <c r="N199" s="23"/>
      <c r="O199" s="23"/>
      <c r="P199" s="24">
        <f>SUM(P200:P201)</f>
        <v>0</v>
      </c>
      <c r="Q199" s="23"/>
      <c r="R199" s="24">
        <f>SUM(R200:R201)</f>
        <v>0</v>
      </c>
      <c r="S199" s="23"/>
      <c r="T199" s="25">
        <f>SUM(T200:T201)</f>
        <v>0</v>
      </c>
      <c r="AR199" s="26" t="s">
        <v>74</v>
      </c>
      <c r="AT199" s="27" t="s">
        <v>67</v>
      </c>
      <c r="AU199" s="27" t="s">
        <v>68</v>
      </c>
      <c r="AY199" s="26" t="s">
        <v>130</v>
      </c>
      <c r="BK199" s="28">
        <f>SUM(BK200:BK201)</f>
        <v>0</v>
      </c>
    </row>
    <row r="200" spans="1:65" s="5" customFormat="1" ht="16.5" customHeight="1" x14ac:dyDescent="0.2">
      <c r="A200" s="274"/>
      <c r="B200" s="4"/>
      <c r="C200" s="33" t="s">
        <v>258</v>
      </c>
      <c r="D200" s="33" t="s">
        <v>131</v>
      </c>
      <c r="E200" s="34" t="s">
        <v>132</v>
      </c>
      <c r="F200" s="7" t="s">
        <v>133</v>
      </c>
      <c r="G200" s="35" t="s">
        <v>134</v>
      </c>
      <c r="H200" s="36">
        <v>1.5</v>
      </c>
      <c r="I200" s="1"/>
      <c r="J200" s="6">
        <f>ROUND(I200*H200,2)</f>
        <v>0</v>
      </c>
      <c r="K200" s="7" t="s">
        <v>1</v>
      </c>
      <c r="L200" s="4"/>
      <c r="M200" s="8" t="s">
        <v>1</v>
      </c>
      <c r="N200" s="9" t="s">
        <v>33</v>
      </c>
      <c r="O200" s="10">
        <v>0</v>
      </c>
      <c r="P200" s="10">
        <f>O200*H200</f>
        <v>0</v>
      </c>
      <c r="Q200" s="10">
        <v>0</v>
      </c>
      <c r="R200" s="10">
        <f>Q200*H200</f>
        <v>0</v>
      </c>
      <c r="S200" s="10">
        <v>0</v>
      </c>
      <c r="T200" s="11">
        <f>S200*H200</f>
        <v>0</v>
      </c>
      <c r="U200" s="274"/>
      <c r="V200" s="274"/>
      <c r="W200" s="274"/>
      <c r="X200" s="274"/>
      <c r="Y200" s="274"/>
      <c r="Z200" s="274"/>
      <c r="AA200" s="274"/>
      <c r="AB200" s="274"/>
      <c r="AC200" s="274"/>
      <c r="AD200" s="274"/>
      <c r="AE200" s="274"/>
      <c r="AR200" s="12" t="s">
        <v>135</v>
      </c>
      <c r="AT200" s="12" t="s">
        <v>131</v>
      </c>
      <c r="AU200" s="12" t="s">
        <v>74</v>
      </c>
      <c r="AY200" s="13" t="s">
        <v>130</v>
      </c>
      <c r="BE200" s="14">
        <f>IF(N200="základní",J200,0)</f>
        <v>0</v>
      </c>
      <c r="BF200" s="14">
        <f>IF(N200="snížená",J200,0)</f>
        <v>0</v>
      </c>
      <c r="BG200" s="14">
        <f>IF(N200="zákl. přenesená",J200,0)</f>
        <v>0</v>
      </c>
      <c r="BH200" s="14">
        <f>IF(N200="sníž. přenesená",J200,0)</f>
        <v>0</v>
      </c>
      <c r="BI200" s="14">
        <f>IF(N200="nulová",J200,0)</f>
        <v>0</v>
      </c>
      <c r="BJ200" s="13" t="s">
        <v>74</v>
      </c>
      <c r="BK200" s="14">
        <f>ROUND(I200*H200,2)</f>
        <v>0</v>
      </c>
      <c r="BL200" s="13" t="s">
        <v>135</v>
      </c>
      <c r="BM200" s="12" t="s">
        <v>259</v>
      </c>
    </row>
    <row r="201" spans="1:65" s="5" customFormat="1" ht="16.5" customHeight="1" x14ac:dyDescent="0.2">
      <c r="A201" s="274"/>
      <c r="B201" s="4"/>
      <c r="C201" s="33" t="s">
        <v>201</v>
      </c>
      <c r="D201" s="33" t="s">
        <v>131</v>
      </c>
      <c r="E201" s="34" t="s">
        <v>260</v>
      </c>
      <c r="F201" s="7" t="s">
        <v>261</v>
      </c>
      <c r="G201" s="35" t="s">
        <v>170</v>
      </c>
      <c r="H201" s="36">
        <v>6.73</v>
      </c>
      <c r="I201" s="1"/>
      <c r="J201" s="6">
        <f>ROUND(I201*H201,2)</f>
        <v>0</v>
      </c>
      <c r="K201" s="7" t="s">
        <v>1</v>
      </c>
      <c r="L201" s="4"/>
      <c r="M201" s="8" t="s">
        <v>1</v>
      </c>
      <c r="N201" s="9" t="s">
        <v>33</v>
      </c>
      <c r="O201" s="10">
        <v>0</v>
      </c>
      <c r="P201" s="10">
        <f>O201*H201</f>
        <v>0</v>
      </c>
      <c r="Q201" s="10">
        <v>0</v>
      </c>
      <c r="R201" s="10">
        <f>Q201*H201</f>
        <v>0</v>
      </c>
      <c r="S201" s="10">
        <v>0</v>
      </c>
      <c r="T201" s="11">
        <f>S201*H201</f>
        <v>0</v>
      </c>
      <c r="U201" s="274"/>
      <c r="V201" s="274"/>
      <c r="W201" s="274"/>
      <c r="X201" s="274"/>
      <c r="Y201" s="274"/>
      <c r="Z201" s="274"/>
      <c r="AA201" s="274"/>
      <c r="AB201" s="274"/>
      <c r="AC201" s="274"/>
      <c r="AD201" s="274"/>
      <c r="AE201" s="274"/>
      <c r="AR201" s="12" t="s">
        <v>135</v>
      </c>
      <c r="AT201" s="12" t="s">
        <v>131</v>
      </c>
      <c r="AU201" s="12" t="s">
        <v>74</v>
      </c>
      <c r="AY201" s="13" t="s">
        <v>130</v>
      </c>
      <c r="BE201" s="14">
        <f>IF(N201="základní",J201,0)</f>
        <v>0</v>
      </c>
      <c r="BF201" s="14">
        <f>IF(N201="snížená",J201,0)</f>
        <v>0</v>
      </c>
      <c r="BG201" s="14">
        <f>IF(N201="zákl. přenesená",J201,0)</f>
        <v>0</v>
      </c>
      <c r="BH201" s="14">
        <f>IF(N201="sníž. přenesená",J201,0)</f>
        <v>0</v>
      </c>
      <c r="BI201" s="14">
        <f>IF(N201="nulová",J201,0)</f>
        <v>0</v>
      </c>
      <c r="BJ201" s="13" t="s">
        <v>74</v>
      </c>
      <c r="BK201" s="14">
        <f>ROUND(I201*H201,2)</f>
        <v>0</v>
      </c>
      <c r="BL201" s="13" t="s">
        <v>135</v>
      </c>
      <c r="BM201" s="12" t="s">
        <v>262</v>
      </c>
    </row>
    <row r="202" spans="1:65" s="20" customFormat="1" ht="25.9" customHeight="1" x14ac:dyDescent="0.2">
      <c r="B202" s="21"/>
      <c r="D202" s="26" t="s">
        <v>67</v>
      </c>
      <c r="E202" s="39" t="s">
        <v>263</v>
      </c>
      <c r="F202" s="39" t="s">
        <v>264</v>
      </c>
      <c r="J202" s="19">
        <f>BK202</f>
        <v>0</v>
      </c>
      <c r="L202" s="21"/>
      <c r="M202" s="22"/>
      <c r="N202" s="23"/>
      <c r="O202" s="23"/>
      <c r="P202" s="24">
        <f>SUM(P203:P205)</f>
        <v>0</v>
      </c>
      <c r="Q202" s="23"/>
      <c r="R202" s="24">
        <f>SUM(R203:R205)</f>
        <v>0</v>
      </c>
      <c r="S202" s="23"/>
      <c r="T202" s="25">
        <f>SUM(T203:T205)</f>
        <v>0</v>
      </c>
      <c r="AR202" s="26" t="s">
        <v>74</v>
      </c>
      <c r="AT202" s="27" t="s">
        <v>67</v>
      </c>
      <c r="AU202" s="27" t="s">
        <v>68</v>
      </c>
      <c r="AY202" s="26" t="s">
        <v>130</v>
      </c>
      <c r="BK202" s="28">
        <f>SUM(BK203:BK205)</f>
        <v>0</v>
      </c>
    </row>
    <row r="203" spans="1:65" s="5" customFormat="1" ht="16.5" customHeight="1" x14ac:dyDescent="0.2">
      <c r="A203" s="274"/>
      <c r="B203" s="4"/>
      <c r="C203" s="33" t="s">
        <v>265</v>
      </c>
      <c r="D203" s="33" t="s">
        <v>131</v>
      </c>
      <c r="E203" s="34" t="s">
        <v>132</v>
      </c>
      <c r="F203" s="7" t="s">
        <v>133</v>
      </c>
      <c r="G203" s="35" t="s">
        <v>134</v>
      </c>
      <c r="H203" s="36">
        <v>0.5</v>
      </c>
      <c r="I203" s="1"/>
      <c r="J203" s="6">
        <f>ROUND(I203*H203,2)</f>
        <v>0</v>
      </c>
      <c r="K203" s="7" t="s">
        <v>1</v>
      </c>
      <c r="L203" s="4"/>
      <c r="M203" s="8" t="s">
        <v>1</v>
      </c>
      <c r="N203" s="9" t="s">
        <v>33</v>
      </c>
      <c r="O203" s="10">
        <v>0</v>
      </c>
      <c r="P203" s="10">
        <f>O203*H203</f>
        <v>0</v>
      </c>
      <c r="Q203" s="10">
        <v>0</v>
      </c>
      <c r="R203" s="10">
        <f>Q203*H203</f>
        <v>0</v>
      </c>
      <c r="S203" s="10">
        <v>0</v>
      </c>
      <c r="T203" s="11">
        <f>S203*H203</f>
        <v>0</v>
      </c>
      <c r="U203" s="274"/>
      <c r="V203" s="274"/>
      <c r="W203" s="274"/>
      <c r="X203" s="274"/>
      <c r="Y203" s="274"/>
      <c r="Z203" s="274"/>
      <c r="AA203" s="274"/>
      <c r="AB203" s="274"/>
      <c r="AC203" s="274"/>
      <c r="AD203" s="274"/>
      <c r="AE203" s="274"/>
      <c r="AR203" s="12" t="s">
        <v>135</v>
      </c>
      <c r="AT203" s="12" t="s">
        <v>131</v>
      </c>
      <c r="AU203" s="12" t="s">
        <v>74</v>
      </c>
      <c r="AY203" s="13" t="s">
        <v>130</v>
      </c>
      <c r="BE203" s="14">
        <f>IF(N203="základní",J203,0)</f>
        <v>0</v>
      </c>
      <c r="BF203" s="14">
        <f>IF(N203="snížená",J203,0)</f>
        <v>0</v>
      </c>
      <c r="BG203" s="14">
        <f>IF(N203="zákl. přenesená",J203,0)</f>
        <v>0</v>
      </c>
      <c r="BH203" s="14">
        <f>IF(N203="sníž. přenesená",J203,0)</f>
        <v>0</v>
      </c>
      <c r="BI203" s="14">
        <f>IF(N203="nulová",J203,0)</f>
        <v>0</v>
      </c>
      <c r="BJ203" s="13" t="s">
        <v>74</v>
      </c>
      <c r="BK203" s="14">
        <f>ROUND(I203*H203,2)</f>
        <v>0</v>
      </c>
      <c r="BL203" s="13" t="s">
        <v>135</v>
      </c>
      <c r="BM203" s="12" t="s">
        <v>266</v>
      </c>
    </row>
    <row r="204" spans="1:65" s="5" customFormat="1" ht="16.5" customHeight="1" x14ac:dyDescent="0.2">
      <c r="A204" s="274"/>
      <c r="B204" s="4"/>
      <c r="C204" s="33" t="s">
        <v>202</v>
      </c>
      <c r="D204" s="33" t="s">
        <v>131</v>
      </c>
      <c r="E204" s="34" t="s">
        <v>267</v>
      </c>
      <c r="F204" s="7" t="s">
        <v>268</v>
      </c>
      <c r="G204" s="35" t="s">
        <v>138</v>
      </c>
      <c r="H204" s="36">
        <v>1</v>
      </c>
      <c r="I204" s="1"/>
      <c r="J204" s="6">
        <f>ROUND(I204*H204,2)</f>
        <v>0</v>
      </c>
      <c r="K204" s="7" t="s">
        <v>1</v>
      </c>
      <c r="L204" s="4"/>
      <c r="M204" s="8" t="s">
        <v>1</v>
      </c>
      <c r="N204" s="9" t="s">
        <v>33</v>
      </c>
      <c r="O204" s="10">
        <v>0</v>
      </c>
      <c r="P204" s="10">
        <f>O204*H204</f>
        <v>0</v>
      </c>
      <c r="Q204" s="10">
        <v>0</v>
      </c>
      <c r="R204" s="10">
        <f>Q204*H204</f>
        <v>0</v>
      </c>
      <c r="S204" s="10">
        <v>0</v>
      </c>
      <c r="T204" s="11">
        <f>S204*H204</f>
        <v>0</v>
      </c>
      <c r="U204" s="274"/>
      <c r="V204" s="274"/>
      <c r="W204" s="274"/>
      <c r="X204" s="274"/>
      <c r="Y204" s="274"/>
      <c r="Z204" s="274"/>
      <c r="AA204" s="274"/>
      <c r="AB204" s="274"/>
      <c r="AC204" s="274"/>
      <c r="AD204" s="274"/>
      <c r="AE204" s="274"/>
      <c r="AR204" s="12" t="s">
        <v>135</v>
      </c>
      <c r="AT204" s="12" t="s">
        <v>131</v>
      </c>
      <c r="AU204" s="12" t="s">
        <v>74</v>
      </c>
      <c r="AY204" s="13" t="s">
        <v>130</v>
      </c>
      <c r="BE204" s="14">
        <f>IF(N204="základní",J204,0)</f>
        <v>0</v>
      </c>
      <c r="BF204" s="14">
        <f>IF(N204="snížená",J204,0)</f>
        <v>0</v>
      </c>
      <c r="BG204" s="14">
        <f>IF(N204="zákl. přenesená",J204,0)</f>
        <v>0</v>
      </c>
      <c r="BH204" s="14">
        <f>IF(N204="sníž. přenesená",J204,0)</f>
        <v>0</v>
      </c>
      <c r="BI204" s="14">
        <f>IF(N204="nulová",J204,0)</f>
        <v>0</v>
      </c>
      <c r="BJ204" s="13" t="s">
        <v>74</v>
      </c>
      <c r="BK204" s="14">
        <f>ROUND(I204*H204,2)</f>
        <v>0</v>
      </c>
      <c r="BL204" s="13" t="s">
        <v>135</v>
      </c>
      <c r="BM204" s="12" t="s">
        <v>269</v>
      </c>
    </row>
    <row r="205" spans="1:65" s="5" customFormat="1" ht="19.5" x14ac:dyDescent="0.2">
      <c r="A205" s="274"/>
      <c r="B205" s="4"/>
      <c r="C205" s="274"/>
      <c r="D205" s="37" t="s">
        <v>148</v>
      </c>
      <c r="E205" s="274"/>
      <c r="F205" s="38" t="s">
        <v>270</v>
      </c>
      <c r="G205" s="274"/>
      <c r="H205" s="274"/>
      <c r="I205" s="274"/>
      <c r="J205" s="274"/>
      <c r="K205" s="274"/>
      <c r="L205" s="4"/>
      <c r="M205" s="15"/>
      <c r="N205" s="16"/>
      <c r="O205" s="276"/>
      <c r="P205" s="276"/>
      <c r="Q205" s="276"/>
      <c r="R205" s="276"/>
      <c r="S205" s="276"/>
      <c r="T205" s="18"/>
      <c r="U205" s="274"/>
      <c r="V205" s="274"/>
      <c r="W205" s="274"/>
      <c r="X205" s="274"/>
      <c r="Y205" s="274"/>
      <c r="Z205" s="274"/>
      <c r="AA205" s="274"/>
      <c r="AB205" s="274"/>
      <c r="AC205" s="274"/>
      <c r="AD205" s="274"/>
      <c r="AE205" s="274"/>
      <c r="AT205" s="13" t="s">
        <v>148</v>
      </c>
      <c r="AU205" s="13" t="s">
        <v>74</v>
      </c>
    </row>
    <row r="206" spans="1:65" s="20" customFormat="1" ht="25.9" customHeight="1" x14ac:dyDescent="0.2">
      <c r="B206" s="21"/>
      <c r="D206" s="26" t="s">
        <v>67</v>
      </c>
      <c r="E206" s="39" t="s">
        <v>271</v>
      </c>
      <c r="F206" s="39" t="s">
        <v>272</v>
      </c>
      <c r="J206" s="19">
        <f>BK206</f>
        <v>0</v>
      </c>
      <c r="L206" s="21"/>
      <c r="M206" s="22"/>
      <c r="N206" s="23"/>
      <c r="O206" s="23"/>
      <c r="P206" s="24">
        <f>SUM(P207:P210)</f>
        <v>0</v>
      </c>
      <c r="Q206" s="23"/>
      <c r="R206" s="24">
        <f>SUM(R207:R210)</f>
        <v>0</v>
      </c>
      <c r="S206" s="23"/>
      <c r="T206" s="25">
        <f>SUM(T207:T210)</f>
        <v>0</v>
      </c>
      <c r="AR206" s="26" t="s">
        <v>74</v>
      </c>
      <c r="AT206" s="27" t="s">
        <v>67</v>
      </c>
      <c r="AU206" s="27" t="s">
        <v>68</v>
      </c>
      <c r="AY206" s="26" t="s">
        <v>130</v>
      </c>
      <c r="BK206" s="28">
        <f>SUM(BK207:BK210)</f>
        <v>0</v>
      </c>
    </row>
    <row r="207" spans="1:65" s="5" customFormat="1" ht="16.5" customHeight="1" x14ac:dyDescent="0.2">
      <c r="A207" s="274"/>
      <c r="B207" s="4"/>
      <c r="C207" s="33" t="s">
        <v>273</v>
      </c>
      <c r="D207" s="33" t="s">
        <v>131</v>
      </c>
      <c r="E207" s="34" t="s">
        <v>142</v>
      </c>
      <c r="F207" s="7" t="s">
        <v>143</v>
      </c>
      <c r="G207" s="35" t="s">
        <v>134</v>
      </c>
      <c r="H207" s="36">
        <v>10.8</v>
      </c>
      <c r="I207" s="1"/>
      <c r="J207" s="6">
        <f>ROUND(I207*H207,2)</f>
        <v>0</v>
      </c>
      <c r="K207" s="7" t="s">
        <v>1</v>
      </c>
      <c r="L207" s="4"/>
      <c r="M207" s="8" t="s">
        <v>1</v>
      </c>
      <c r="N207" s="9" t="s">
        <v>33</v>
      </c>
      <c r="O207" s="10">
        <v>0</v>
      </c>
      <c r="P207" s="10">
        <f>O207*H207</f>
        <v>0</v>
      </c>
      <c r="Q207" s="10">
        <v>0</v>
      </c>
      <c r="R207" s="10">
        <f>Q207*H207</f>
        <v>0</v>
      </c>
      <c r="S207" s="10">
        <v>0</v>
      </c>
      <c r="T207" s="11">
        <f>S207*H207</f>
        <v>0</v>
      </c>
      <c r="U207" s="274"/>
      <c r="V207" s="274"/>
      <c r="W207" s="274"/>
      <c r="X207" s="274"/>
      <c r="Y207" s="274"/>
      <c r="Z207" s="274"/>
      <c r="AA207" s="274"/>
      <c r="AB207" s="274"/>
      <c r="AC207" s="274"/>
      <c r="AD207" s="274"/>
      <c r="AE207" s="274"/>
      <c r="AR207" s="12" t="s">
        <v>135</v>
      </c>
      <c r="AT207" s="12" t="s">
        <v>131</v>
      </c>
      <c r="AU207" s="12" t="s">
        <v>74</v>
      </c>
      <c r="AY207" s="13" t="s">
        <v>130</v>
      </c>
      <c r="BE207" s="14">
        <f>IF(N207="základní",J207,0)</f>
        <v>0</v>
      </c>
      <c r="BF207" s="14">
        <f>IF(N207="snížená",J207,0)</f>
        <v>0</v>
      </c>
      <c r="BG207" s="14">
        <f>IF(N207="zákl. přenesená",J207,0)</f>
        <v>0</v>
      </c>
      <c r="BH207" s="14">
        <f>IF(N207="sníž. přenesená",J207,0)</f>
        <v>0</v>
      </c>
      <c r="BI207" s="14">
        <f>IF(N207="nulová",J207,0)</f>
        <v>0</v>
      </c>
      <c r="BJ207" s="13" t="s">
        <v>74</v>
      </c>
      <c r="BK207" s="14">
        <f>ROUND(I207*H207,2)</f>
        <v>0</v>
      </c>
      <c r="BL207" s="13" t="s">
        <v>135</v>
      </c>
      <c r="BM207" s="12" t="s">
        <v>274</v>
      </c>
    </row>
    <row r="208" spans="1:65" s="5" customFormat="1" ht="16.5" customHeight="1" x14ac:dyDescent="0.2">
      <c r="A208" s="274"/>
      <c r="B208" s="4"/>
      <c r="C208" s="33" t="s">
        <v>205</v>
      </c>
      <c r="D208" s="33" t="s">
        <v>131</v>
      </c>
      <c r="E208" s="34" t="s">
        <v>145</v>
      </c>
      <c r="F208" s="7" t="s">
        <v>146</v>
      </c>
      <c r="G208" s="35" t="s">
        <v>134</v>
      </c>
      <c r="H208" s="36">
        <v>10.8</v>
      </c>
      <c r="I208" s="1"/>
      <c r="J208" s="6">
        <f>ROUND(I208*H208,2)</f>
        <v>0</v>
      </c>
      <c r="K208" s="7" t="s">
        <v>1</v>
      </c>
      <c r="L208" s="4"/>
      <c r="M208" s="8" t="s">
        <v>1</v>
      </c>
      <c r="N208" s="9" t="s">
        <v>33</v>
      </c>
      <c r="O208" s="10">
        <v>0</v>
      </c>
      <c r="P208" s="10">
        <f>O208*H208</f>
        <v>0</v>
      </c>
      <c r="Q208" s="10">
        <v>0</v>
      </c>
      <c r="R208" s="10">
        <f>Q208*H208</f>
        <v>0</v>
      </c>
      <c r="S208" s="10">
        <v>0</v>
      </c>
      <c r="T208" s="11">
        <f>S208*H208</f>
        <v>0</v>
      </c>
      <c r="U208" s="274"/>
      <c r="V208" s="274"/>
      <c r="W208" s="274"/>
      <c r="X208" s="274"/>
      <c r="Y208" s="274"/>
      <c r="Z208" s="274"/>
      <c r="AA208" s="274"/>
      <c r="AB208" s="274"/>
      <c r="AC208" s="274"/>
      <c r="AD208" s="274"/>
      <c r="AE208" s="274"/>
      <c r="AR208" s="12" t="s">
        <v>135</v>
      </c>
      <c r="AT208" s="12" t="s">
        <v>131</v>
      </c>
      <c r="AU208" s="12" t="s">
        <v>74</v>
      </c>
      <c r="AY208" s="13" t="s">
        <v>130</v>
      </c>
      <c r="BE208" s="14">
        <f>IF(N208="základní",J208,0)</f>
        <v>0</v>
      </c>
      <c r="BF208" s="14">
        <f>IF(N208="snížená",J208,0)</f>
        <v>0</v>
      </c>
      <c r="BG208" s="14">
        <f>IF(N208="zákl. přenesená",J208,0)</f>
        <v>0</v>
      </c>
      <c r="BH208" s="14">
        <f>IF(N208="sníž. přenesená",J208,0)</f>
        <v>0</v>
      </c>
      <c r="BI208" s="14">
        <f>IF(N208="nulová",J208,0)</f>
        <v>0</v>
      </c>
      <c r="BJ208" s="13" t="s">
        <v>74</v>
      </c>
      <c r="BK208" s="14">
        <f>ROUND(I208*H208,2)</f>
        <v>0</v>
      </c>
      <c r="BL208" s="13" t="s">
        <v>135</v>
      </c>
      <c r="BM208" s="12" t="s">
        <v>275</v>
      </c>
    </row>
    <row r="209" spans="1:65" s="5" customFormat="1" ht="29.25" x14ac:dyDescent="0.2">
      <c r="A209" s="274"/>
      <c r="B209" s="4"/>
      <c r="C209" s="274"/>
      <c r="D209" s="37" t="s">
        <v>148</v>
      </c>
      <c r="E209" s="274"/>
      <c r="F209" s="38" t="s">
        <v>276</v>
      </c>
      <c r="G209" s="274"/>
      <c r="H209" s="274"/>
      <c r="I209" s="274"/>
      <c r="J209" s="274"/>
      <c r="K209" s="274"/>
      <c r="L209" s="4"/>
      <c r="M209" s="15"/>
      <c r="N209" s="16"/>
      <c r="O209" s="276"/>
      <c r="P209" s="276"/>
      <c r="Q209" s="276"/>
      <c r="R209" s="276"/>
      <c r="S209" s="276"/>
      <c r="T209" s="18"/>
      <c r="U209" s="274"/>
      <c r="V209" s="274"/>
      <c r="W209" s="274"/>
      <c r="X209" s="274"/>
      <c r="Y209" s="274"/>
      <c r="Z209" s="274"/>
      <c r="AA209" s="274"/>
      <c r="AB209" s="274"/>
      <c r="AC209" s="274"/>
      <c r="AD209" s="274"/>
      <c r="AE209" s="274"/>
      <c r="AT209" s="13" t="s">
        <v>148</v>
      </c>
      <c r="AU209" s="13" t="s">
        <v>74</v>
      </c>
    </row>
    <row r="210" spans="1:65" s="5" customFormat="1" ht="16.5" customHeight="1" x14ac:dyDescent="0.2">
      <c r="A210" s="274"/>
      <c r="B210" s="4"/>
      <c r="C210" s="33" t="s">
        <v>277</v>
      </c>
      <c r="D210" s="33" t="s">
        <v>131</v>
      </c>
      <c r="E210" s="34" t="s">
        <v>278</v>
      </c>
      <c r="F210" s="7" t="s">
        <v>195</v>
      </c>
      <c r="G210" s="35" t="s">
        <v>138</v>
      </c>
      <c r="H210" s="36">
        <v>1</v>
      </c>
      <c r="I210" s="1"/>
      <c r="J210" s="6">
        <f>ROUND(I210*H210,2)</f>
        <v>0</v>
      </c>
      <c r="K210" s="7" t="s">
        <v>1</v>
      </c>
      <c r="L210" s="4"/>
      <c r="M210" s="8" t="s">
        <v>1</v>
      </c>
      <c r="N210" s="9" t="s">
        <v>33</v>
      </c>
      <c r="O210" s="10">
        <v>0</v>
      </c>
      <c r="P210" s="10">
        <f>O210*H210</f>
        <v>0</v>
      </c>
      <c r="Q210" s="10">
        <v>0</v>
      </c>
      <c r="R210" s="10">
        <f>Q210*H210</f>
        <v>0</v>
      </c>
      <c r="S210" s="10">
        <v>0</v>
      </c>
      <c r="T210" s="11">
        <f>S210*H210</f>
        <v>0</v>
      </c>
      <c r="U210" s="274"/>
      <c r="V210" s="274"/>
      <c r="W210" s="274"/>
      <c r="X210" s="274"/>
      <c r="Y210" s="274"/>
      <c r="Z210" s="274"/>
      <c r="AA210" s="274"/>
      <c r="AB210" s="274"/>
      <c r="AC210" s="274"/>
      <c r="AD210" s="274"/>
      <c r="AE210" s="274"/>
      <c r="AR210" s="12" t="s">
        <v>135</v>
      </c>
      <c r="AT210" s="12" t="s">
        <v>131</v>
      </c>
      <c r="AU210" s="12" t="s">
        <v>74</v>
      </c>
      <c r="AY210" s="13" t="s">
        <v>130</v>
      </c>
      <c r="BE210" s="14">
        <f>IF(N210="základní",J210,0)</f>
        <v>0</v>
      </c>
      <c r="BF210" s="14">
        <f>IF(N210="snížená",J210,0)</f>
        <v>0</v>
      </c>
      <c r="BG210" s="14">
        <f>IF(N210="zákl. přenesená",J210,0)</f>
        <v>0</v>
      </c>
      <c r="BH210" s="14">
        <f>IF(N210="sníž. přenesená",J210,0)</f>
        <v>0</v>
      </c>
      <c r="BI210" s="14">
        <f>IF(N210="nulová",J210,0)</f>
        <v>0</v>
      </c>
      <c r="BJ210" s="13" t="s">
        <v>74</v>
      </c>
      <c r="BK210" s="14">
        <f>ROUND(I210*H210,2)</f>
        <v>0</v>
      </c>
      <c r="BL210" s="13" t="s">
        <v>135</v>
      </c>
      <c r="BM210" s="12" t="s">
        <v>279</v>
      </c>
    </row>
    <row r="211" spans="1:65" s="20" customFormat="1" ht="25.9" customHeight="1" x14ac:dyDescent="0.2">
      <c r="B211" s="21"/>
      <c r="D211" s="26" t="s">
        <v>67</v>
      </c>
      <c r="E211" s="39" t="s">
        <v>280</v>
      </c>
      <c r="F211" s="39" t="s">
        <v>281</v>
      </c>
      <c r="J211" s="19">
        <f>BK211</f>
        <v>0</v>
      </c>
      <c r="L211" s="21"/>
      <c r="M211" s="22"/>
      <c r="N211" s="23"/>
      <c r="O211" s="23"/>
      <c r="P211" s="24">
        <f>SUM(P212:P214)</f>
        <v>0</v>
      </c>
      <c r="Q211" s="23"/>
      <c r="R211" s="24">
        <f>SUM(R212:R214)</f>
        <v>0</v>
      </c>
      <c r="S211" s="23"/>
      <c r="T211" s="25">
        <f>SUM(T212:T214)</f>
        <v>0</v>
      </c>
      <c r="AR211" s="26" t="s">
        <v>74</v>
      </c>
      <c r="AT211" s="27" t="s">
        <v>67</v>
      </c>
      <c r="AU211" s="27" t="s">
        <v>68</v>
      </c>
      <c r="AY211" s="26" t="s">
        <v>130</v>
      </c>
      <c r="BK211" s="28">
        <f>SUM(BK212:BK214)</f>
        <v>0</v>
      </c>
    </row>
    <row r="212" spans="1:65" s="5" customFormat="1" ht="21.75" customHeight="1" x14ac:dyDescent="0.2">
      <c r="A212" s="274"/>
      <c r="B212" s="4"/>
      <c r="C212" s="33" t="s">
        <v>206</v>
      </c>
      <c r="D212" s="33" t="s">
        <v>131</v>
      </c>
      <c r="E212" s="34" t="s">
        <v>229</v>
      </c>
      <c r="F212" s="7" t="s">
        <v>230</v>
      </c>
      <c r="G212" s="35" t="s">
        <v>134</v>
      </c>
      <c r="H212" s="36">
        <v>11.3</v>
      </c>
      <c r="I212" s="1"/>
      <c r="J212" s="6">
        <f>ROUND(I212*H212,2)</f>
        <v>0</v>
      </c>
      <c r="K212" s="7" t="s">
        <v>1</v>
      </c>
      <c r="L212" s="4"/>
      <c r="M212" s="8" t="s">
        <v>1</v>
      </c>
      <c r="N212" s="9" t="s">
        <v>33</v>
      </c>
      <c r="O212" s="10">
        <v>0</v>
      </c>
      <c r="P212" s="10">
        <f>O212*H212</f>
        <v>0</v>
      </c>
      <c r="Q212" s="10">
        <v>0</v>
      </c>
      <c r="R212" s="10">
        <f>Q212*H212</f>
        <v>0</v>
      </c>
      <c r="S212" s="10">
        <v>0</v>
      </c>
      <c r="T212" s="11">
        <f>S212*H212</f>
        <v>0</v>
      </c>
      <c r="U212" s="274"/>
      <c r="V212" s="274"/>
      <c r="W212" s="274"/>
      <c r="X212" s="274"/>
      <c r="Y212" s="274"/>
      <c r="Z212" s="274"/>
      <c r="AA212" s="274"/>
      <c r="AB212" s="274"/>
      <c r="AC212" s="274"/>
      <c r="AD212" s="274"/>
      <c r="AE212" s="274"/>
      <c r="AR212" s="12" t="s">
        <v>135</v>
      </c>
      <c r="AT212" s="12" t="s">
        <v>131</v>
      </c>
      <c r="AU212" s="12" t="s">
        <v>74</v>
      </c>
      <c r="AY212" s="13" t="s">
        <v>130</v>
      </c>
      <c r="BE212" s="14">
        <f>IF(N212="základní",J212,0)</f>
        <v>0</v>
      </c>
      <c r="BF212" s="14">
        <f>IF(N212="snížená",J212,0)</f>
        <v>0</v>
      </c>
      <c r="BG212" s="14">
        <f>IF(N212="zákl. přenesená",J212,0)</f>
        <v>0</v>
      </c>
      <c r="BH212" s="14">
        <f>IF(N212="sníž. přenesená",J212,0)</f>
        <v>0</v>
      </c>
      <c r="BI212" s="14">
        <f>IF(N212="nulová",J212,0)</f>
        <v>0</v>
      </c>
      <c r="BJ212" s="13" t="s">
        <v>74</v>
      </c>
      <c r="BK212" s="14">
        <f>ROUND(I212*H212,2)</f>
        <v>0</v>
      </c>
      <c r="BL212" s="13" t="s">
        <v>135</v>
      </c>
      <c r="BM212" s="12" t="s">
        <v>282</v>
      </c>
    </row>
    <row r="213" spans="1:65" s="5" customFormat="1" ht="16.5" customHeight="1" x14ac:dyDescent="0.2">
      <c r="A213" s="274"/>
      <c r="B213" s="4"/>
      <c r="C213" s="33" t="s">
        <v>283</v>
      </c>
      <c r="D213" s="33" t="s">
        <v>131</v>
      </c>
      <c r="E213" s="34" t="s">
        <v>284</v>
      </c>
      <c r="F213" s="7" t="s">
        <v>285</v>
      </c>
      <c r="G213" s="35" t="s">
        <v>138</v>
      </c>
      <c r="H213" s="36">
        <v>1</v>
      </c>
      <c r="I213" s="1"/>
      <c r="J213" s="6">
        <f>ROUND(I213*H213,2)</f>
        <v>0</v>
      </c>
      <c r="K213" s="7" t="s">
        <v>1</v>
      </c>
      <c r="L213" s="4"/>
      <c r="M213" s="8" t="s">
        <v>1</v>
      </c>
      <c r="N213" s="9" t="s">
        <v>33</v>
      </c>
      <c r="O213" s="10">
        <v>0</v>
      </c>
      <c r="P213" s="10">
        <f>O213*H213</f>
        <v>0</v>
      </c>
      <c r="Q213" s="10">
        <v>0</v>
      </c>
      <c r="R213" s="10">
        <f>Q213*H213</f>
        <v>0</v>
      </c>
      <c r="S213" s="10">
        <v>0</v>
      </c>
      <c r="T213" s="11">
        <f>S213*H213</f>
        <v>0</v>
      </c>
      <c r="U213" s="274"/>
      <c r="V213" s="274"/>
      <c r="W213" s="274"/>
      <c r="X213" s="274"/>
      <c r="Y213" s="274"/>
      <c r="Z213" s="274"/>
      <c r="AA213" s="274"/>
      <c r="AB213" s="274"/>
      <c r="AC213" s="274"/>
      <c r="AD213" s="274"/>
      <c r="AE213" s="274"/>
      <c r="AR213" s="12" t="s">
        <v>135</v>
      </c>
      <c r="AT213" s="12" t="s">
        <v>131</v>
      </c>
      <c r="AU213" s="12" t="s">
        <v>74</v>
      </c>
      <c r="AY213" s="13" t="s">
        <v>130</v>
      </c>
      <c r="BE213" s="14">
        <f>IF(N213="základní",J213,0)</f>
        <v>0</v>
      </c>
      <c r="BF213" s="14">
        <f>IF(N213="snížená",J213,0)</f>
        <v>0</v>
      </c>
      <c r="BG213" s="14">
        <f>IF(N213="zákl. přenesená",J213,0)</f>
        <v>0</v>
      </c>
      <c r="BH213" s="14">
        <f>IF(N213="sníž. přenesená",J213,0)</f>
        <v>0</v>
      </c>
      <c r="BI213" s="14">
        <f>IF(N213="nulová",J213,0)</f>
        <v>0</v>
      </c>
      <c r="BJ213" s="13" t="s">
        <v>74</v>
      </c>
      <c r="BK213" s="14">
        <f>ROUND(I213*H213,2)</f>
        <v>0</v>
      </c>
      <c r="BL213" s="13" t="s">
        <v>135</v>
      </c>
      <c r="BM213" s="12" t="s">
        <v>286</v>
      </c>
    </row>
    <row r="214" spans="1:65" s="5" customFormat="1" ht="39" x14ac:dyDescent="0.2">
      <c r="A214" s="274"/>
      <c r="B214" s="4"/>
      <c r="C214" s="274"/>
      <c r="D214" s="37" t="s">
        <v>148</v>
      </c>
      <c r="E214" s="274"/>
      <c r="F214" s="38" t="s">
        <v>287</v>
      </c>
      <c r="G214" s="274"/>
      <c r="H214" s="274"/>
      <c r="I214" s="274"/>
      <c r="J214" s="274"/>
      <c r="K214" s="274"/>
      <c r="L214" s="4"/>
      <c r="M214" s="15"/>
      <c r="N214" s="16"/>
      <c r="O214" s="276"/>
      <c r="P214" s="276"/>
      <c r="Q214" s="276"/>
      <c r="R214" s="276"/>
      <c r="S214" s="276"/>
      <c r="T214" s="18"/>
      <c r="U214" s="274"/>
      <c r="V214" s="274"/>
      <c r="W214" s="274"/>
      <c r="X214" s="274"/>
      <c r="Y214" s="274"/>
      <c r="Z214" s="274"/>
      <c r="AA214" s="274"/>
      <c r="AB214" s="274"/>
      <c r="AC214" s="274"/>
      <c r="AD214" s="274"/>
      <c r="AE214" s="274"/>
      <c r="AT214" s="13" t="s">
        <v>148</v>
      </c>
      <c r="AU214" s="13" t="s">
        <v>74</v>
      </c>
    </row>
    <row r="215" spans="1:65" s="20" customFormat="1" ht="25.9" customHeight="1" x14ac:dyDescent="0.2">
      <c r="B215" s="21"/>
      <c r="D215" s="26" t="s">
        <v>67</v>
      </c>
      <c r="E215" s="39" t="s">
        <v>288</v>
      </c>
      <c r="F215" s="39" t="s">
        <v>289</v>
      </c>
      <c r="J215" s="19">
        <f>BK215</f>
        <v>0</v>
      </c>
      <c r="L215" s="21"/>
      <c r="M215" s="22"/>
      <c r="N215" s="23"/>
      <c r="O215" s="23"/>
      <c r="P215" s="24">
        <f>SUM(P216:P217)</f>
        <v>0</v>
      </c>
      <c r="Q215" s="23"/>
      <c r="R215" s="24">
        <f>SUM(R216:R217)</f>
        <v>0</v>
      </c>
      <c r="S215" s="23"/>
      <c r="T215" s="25">
        <f>SUM(T216:T217)</f>
        <v>0</v>
      </c>
      <c r="AR215" s="26" t="s">
        <v>74</v>
      </c>
      <c r="AT215" s="27" t="s">
        <v>67</v>
      </c>
      <c r="AU215" s="27" t="s">
        <v>68</v>
      </c>
      <c r="AY215" s="26" t="s">
        <v>130</v>
      </c>
      <c r="BK215" s="28">
        <f>SUM(BK216:BK217)</f>
        <v>0</v>
      </c>
    </row>
    <row r="216" spans="1:65" s="5" customFormat="1" ht="16.5" customHeight="1" x14ac:dyDescent="0.2">
      <c r="A216" s="274"/>
      <c r="B216" s="4"/>
      <c r="C216" s="33" t="s">
        <v>210</v>
      </c>
      <c r="D216" s="33" t="s">
        <v>131</v>
      </c>
      <c r="E216" s="34" t="s">
        <v>132</v>
      </c>
      <c r="F216" s="7" t="s">
        <v>133</v>
      </c>
      <c r="G216" s="35" t="s">
        <v>134</v>
      </c>
      <c r="H216" s="36">
        <v>1.5</v>
      </c>
      <c r="I216" s="1"/>
      <c r="J216" s="6">
        <f>ROUND(I216*H216,2)</f>
        <v>0</v>
      </c>
      <c r="K216" s="7" t="s">
        <v>1</v>
      </c>
      <c r="L216" s="4"/>
      <c r="M216" s="8" t="s">
        <v>1</v>
      </c>
      <c r="N216" s="9" t="s">
        <v>33</v>
      </c>
      <c r="O216" s="10">
        <v>0</v>
      </c>
      <c r="P216" s="10">
        <f>O216*H216</f>
        <v>0</v>
      </c>
      <c r="Q216" s="10">
        <v>0</v>
      </c>
      <c r="R216" s="10">
        <f>Q216*H216</f>
        <v>0</v>
      </c>
      <c r="S216" s="10">
        <v>0</v>
      </c>
      <c r="T216" s="11">
        <f>S216*H216</f>
        <v>0</v>
      </c>
      <c r="U216" s="274"/>
      <c r="V216" s="274"/>
      <c r="W216" s="274"/>
      <c r="X216" s="274"/>
      <c r="Y216" s="274"/>
      <c r="Z216" s="274"/>
      <c r="AA216" s="274"/>
      <c r="AB216" s="274"/>
      <c r="AC216" s="274"/>
      <c r="AD216" s="274"/>
      <c r="AE216" s="274"/>
      <c r="AR216" s="12" t="s">
        <v>135</v>
      </c>
      <c r="AT216" s="12" t="s">
        <v>131</v>
      </c>
      <c r="AU216" s="12" t="s">
        <v>74</v>
      </c>
      <c r="AY216" s="13" t="s">
        <v>130</v>
      </c>
      <c r="BE216" s="14">
        <f>IF(N216="základní",J216,0)</f>
        <v>0</v>
      </c>
      <c r="BF216" s="14">
        <f>IF(N216="snížená",J216,0)</f>
        <v>0</v>
      </c>
      <c r="BG216" s="14">
        <f>IF(N216="zákl. přenesená",J216,0)</f>
        <v>0</v>
      </c>
      <c r="BH216" s="14">
        <f>IF(N216="sníž. přenesená",J216,0)</f>
        <v>0</v>
      </c>
      <c r="BI216" s="14">
        <f>IF(N216="nulová",J216,0)</f>
        <v>0</v>
      </c>
      <c r="BJ216" s="13" t="s">
        <v>74</v>
      </c>
      <c r="BK216" s="14">
        <f>ROUND(I216*H216,2)</f>
        <v>0</v>
      </c>
      <c r="BL216" s="13" t="s">
        <v>135</v>
      </c>
      <c r="BM216" s="12" t="s">
        <v>290</v>
      </c>
    </row>
    <row r="217" spans="1:65" s="5" customFormat="1" ht="16.5" customHeight="1" x14ac:dyDescent="0.2">
      <c r="A217" s="274"/>
      <c r="B217" s="4"/>
      <c r="C217" s="33" t="s">
        <v>291</v>
      </c>
      <c r="D217" s="33" t="s">
        <v>131</v>
      </c>
      <c r="E217" s="34" t="s">
        <v>260</v>
      </c>
      <c r="F217" s="7" t="s">
        <v>261</v>
      </c>
      <c r="G217" s="35" t="s">
        <v>170</v>
      </c>
      <c r="H217" s="36">
        <v>6.73</v>
      </c>
      <c r="I217" s="1"/>
      <c r="J217" s="6">
        <f>ROUND(I217*H217,2)</f>
        <v>0</v>
      </c>
      <c r="K217" s="7" t="s">
        <v>1</v>
      </c>
      <c r="L217" s="4"/>
      <c r="M217" s="8" t="s">
        <v>1</v>
      </c>
      <c r="N217" s="9" t="s">
        <v>33</v>
      </c>
      <c r="O217" s="10">
        <v>0</v>
      </c>
      <c r="P217" s="10">
        <f>O217*H217</f>
        <v>0</v>
      </c>
      <c r="Q217" s="10">
        <v>0</v>
      </c>
      <c r="R217" s="10">
        <f>Q217*H217</f>
        <v>0</v>
      </c>
      <c r="S217" s="10">
        <v>0</v>
      </c>
      <c r="T217" s="11">
        <f>S217*H217</f>
        <v>0</v>
      </c>
      <c r="U217" s="274"/>
      <c r="V217" s="274"/>
      <c r="W217" s="274"/>
      <c r="X217" s="274"/>
      <c r="Y217" s="274"/>
      <c r="Z217" s="274"/>
      <c r="AA217" s="274"/>
      <c r="AB217" s="274"/>
      <c r="AC217" s="274"/>
      <c r="AD217" s="274"/>
      <c r="AE217" s="274"/>
      <c r="AR217" s="12" t="s">
        <v>135</v>
      </c>
      <c r="AT217" s="12" t="s">
        <v>131</v>
      </c>
      <c r="AU217" s="12" t="s">
        <v>74</v>
      </c>
      <c r="AY217" s="13" t="s">
        <v>130</v>
      </c>
      <c r="BE217" s="14">
        <f>IF(N217="základní",J217,0)</f>
        <v>0</v>
      </c>
      <c r="BF217" s="14">
        <f>IF(N217="snížená",J217,0)</f>
        <v>0</v>
      </c>
      <c r="BG217" s="14">
        <f>IF(N217="zákl. přenesená",J217,0)</f>
        <v>0</v>
      </c>
      <c r="BH217" s="14">
        <f>IF(N217="sníž. přenesená",J217,0)</f>
        <v>0</v>
      </c>
      <c r="BI217" s="14">
        <f>IF(N217="nulová",J217,0)</f>
        <v>0</v>
      </c>
      <c r="BJ217" s="13" t="s">
        <v>74</v>
      </c>
      <c r="BK217" s="14">
        <f>ROUND(I217*H217,2)</f>
        <v>0</v>
      </c>
      <c r="BL217" s="13" t="s">
        <v>135</v>
      </c>
      <c r="BM217" s="12" t="s">
        <v>292</v>
      </c>
    </row>
    <row r="218" spans="1:65" s="20" customFormat="1" ht="25.9" customHeight="1" x14ac:dyDescent="0.2">
      <c r="B218" s="21"/>
      <c r="D218" s="26" t="s">
        <v>67</v>
      </c>
      <c r="E218" s="39" t="s">
        <v>293</v>
      </c>
      <c r="F218" s="39" t="s">
        <v>294</v>
      </c>
      <c r="J218" s="19">
        <f>BK218</f>
        <v>0</v>
      </c>
      <c r="L218" s="21"/>
      <c r="M218" s="22"/>
      <c r="N218" s="23"/>
      <c r="O218" s="23"/>
      <c r="P218" s="24">
        <f>SUM(P219:P220)</f>
        <v>0</v>
      </c>
      <c r="Q218" s="23"/>
      <c r="R218" s="24">
        <f>SUM(R219:R220)</f>
        <v>0</v>
      </c>
      <c r="S218" s="23"/>
      <c r="T218" s="25">
        <f>SUM(T219:T220)</f>
        <v>0</v>
      </c>
      <c r="AR218" s="26" t="s">
        <v>74</v>
      </c>
      <c r="AT218" s="27" t="s">
        <v>67</v>
      </c>
      <c r="AU218" s="27" t="s">
        <v>68</v>
      </c>
      <c r="AY218" s="26" t="s">
        <v>130</v>
      </c>
      <c r="BK218" s="28">
        <f>SUM(BK219:BK220)</f>
        <v>0</v>
      </c>
    </row>
    <row r="219" spans="1:65" s="5" customFormat="1" ht="16.5" customHeight="1" x14ac:dyDescent="0.2">
      <c r="A219" s="274"/>
      <c r="B219" s="4"/>
      <c r="C219" s="33" t="s">
        <v>211</v>
      </c>
      <c r="D219" s="33" t="s">
        <v>131</v>
      </c>
      <c r="E219" s="34" t="s">
        <v>295</v>
      </c>
      <c r="F219" s="7" t="s">
        <v>296</v>
      </c>
      <c r="G219" s="35" t="s">
        <v>170</v>
      </c>
      <c r="H219" s="36">
        <v>1.34</v>
      </c>
      <c r="I219" s="1"/>
      <c r="J219" s="6">
        <f>ROUND(I219*H219,2)</f>
        <v>0</v>
      </c>
      <c r="K219" s="7" t="s">
        <v>1</v>
      </c>
      <c r="L219" s="4"/>
      <c r="M219" s="8" t="s">
        <v>1</v>
      </c>
      <c r="N219" s="9" t="s">
        <v>33</v>
      </c>
      <c r="O219" s="10">
        <v>0</v>
      </c>
      <c r="P219" s="10">
        <f>O219*H219</f>
        <v>0</v>
      </c>
      <c r="Q219" s="10">
        <v>0</v>
      </c>
      <c r="R219" s="10">
        <f>Q219*H219</f>
        <v>0</v>
      </c>
      <c r="S219" s="10">
        <v>0</v>
      </c>
      <c r="T219" s="11">
        <f>S219*H219</f>
        <v>0</v>
      </c>
      <c r="U219" s="274"/>
      <c r="V219" s="274"/>
      <c r="W219" s="274"/>
      <c r="X219" s="274"/>
      <c r="Y219" s="274"/>
      <c r="Z219" s="274"/>
      <c r="AA219" s="274"/>
      <c r="AB219" s="274"/>
      <c r="AC219" s="274"/>
      <c r="AD219" s="274"/>
      <c r="AE219" s="274"/>
      <c r="AR219" s="12" t="s">
        <v>135</v>
      </c>
      <c r="AT219" s="12" t="s">
        <v>131</v>
      </c>
      <c r="AU219" s="12" t="s">
        <v>74</v>
      </c>
      <c r="AY219" s="13" t="s">
        <v>130</v>
      </c>
      <c r="BE219" s="14">
        <f>IF(N219="základní",J219,0)</f>
        <v>0</v>
      </c>
      <c r="BF219" s="14">
        <f>IF(N219="snížená",J219,0)</f>
        <v>0</v>
      </c>
      <c r="BG219" s="14">
        <f>IF(N219="zákl. přenesená",J219,0)</f>
        <v>0</v>
      </c>
      <c r="BH219" s="14">
        <f>IF(N219="sníž. přenesená",J219,0)</f>
        <v>0</v>
      </c>
      <c r="BI219" s="14">
        <f>IF(N219="nulová",J219,0)</f>
        <v>0</v>
      </c>
      <c r="BJ219" s="13" t="s">
        <v>74</v>
      </c>
      <c r="BK219" s="14">
        <f>ROUND(I219*H219,2)</f>
        <v>0</v>
      </c>
      <c r="BL219" s="13" t="s">
        <v>135</v>
      </c>
      <c r="BM219" s="12" t="s">
        <v>297</v>
      </c>
    </row>
    <row r="220" spans="1:65" s="5" customFormat="1" ht="16.5" customHeight="1" x14ac:dyDescent="0.2">
      <c r="A220" s="274"/>
      <c r="B220" s="4"/>
      <c r="C220" s="33" t="s">
        <v>298</v>
      </c>
      <c r="D220" s="33" t="s">
        <v>131</v>
      </c>
      <c r="E220" s="34" t="s">
        <v>299</v>
      </c>
      <c r="F220" s="7" t="s">
        <v>300</v>
      </c>
      <c r="G220" s="35" t="s">
        <v>170</v>
      </c>
      <c r="H220" s="36">
        <v>1.34</v>
      </c>
      <c r="I220" s="1"/>
      <c r="J220" s="6">
        <f>ROUND(I220*H220,2)</f>
        <v>0</v>
      </c>
      <c r="K220" s="7" t="s">
        <v>1</v>
      </c>
      <c r="L220" s="4"/>
      <c r="M220" s="29" t="s">
        <v>1</v>
      </c>
      <c r="N220" s="30" t="s">
        <v>33</v>
      </c>
      <c r="O220" s="31">
        <v>0</v>
      </c>
      <c r="P220" s="31">
        <f>O220*H220</f>
        <v>0</v>
      </c>
      <c r="Q220" s="31">
        <v>0</v>
      </c>
      <c r="R220" s="31">
        <f>Q220*H220</f>
        <v>0</v>
      </c>
      <c r="S220" s="31">
        <v>0</v>
      </c>
      <c r="T220" s="32">
        <f>S220*H220</f>
        <v>0</v>
      </c>
      <c r="U220" s="274"/>
      <c r="V220" s="274"/>
      <c r="W220" s="274"/>
      <c r="X220" s="274"/>
      <c r="Y220" s="274"/>
      <c r="Z220" s="274"/>
      <c r="AA220" s="274"/>
      <c r="AB220" s="274"/>
      <c r="AC220" s="274"/>
      <c r="AD220" s="274"/>
      <c r="AE220" s="274"/>
      <c r="AR220" s="12" t="s">
        <v>135</v>
      </c>
      <c r="AT220" s="12" t="s">
        <v>131</v>
      </c>
      <c r="AU220" s="12" t="s">
        <v>74</v>
      </c>
      <c r="AY220" s="13" t="s">
        <v>130</v>
      </c>
      <c r="BE220" s="14">
        <f>IF(N220="základní",J220,0)</f>
        <v>0</v>
      </c>
      <c r="BF220" s="14">
        <f>IF(N220="snížená",J220,0)</f>
        <v>0</v>
      </c>
      <c r="BG220" s="14">
        <f>IF(N220="zákl. přenesená",J220,0)</f>
        <v>0</v>
      </c>
      <c r="BH220" s="14">
        <f>IF(N220="sníž. přenesená",J220,0)</f>
        <v>0</v>
      </c>
      <c r="BI220" s="14">
        <f>IF(N220="nulová",J220,0)</f>
        <v>0</v>
      </c>
      <c r="BJ220" s="13" t="s">
        <v>74</v>
      </c>
      <c r="BK220" s="14">
        <f>ROUND(I220*H220,2)</f>
        <v>0</v>
      </c>
      <c r="BL220" s="13" t="s">
        <v>135</v>
      </c>
      <c r="BM220" s="12" t="s">
        <v>301</v>
      </c>
    </row>
    <row r="221" spans="1:65" s="5" customFormat="1" ht="6.95" customHeight="1" x14ac:dyDescent="0.2">
      <c r="A221" s="274"/>
      <c r="B221" s="2"/>
      <c r="C221" s="3"/>
      <c r="D221" s="3"/>
      <c r="E221" s="3"/>
      <c r="F221" s="3"/>
      <c r="G221" s="3"/>
      <c r="H221" s="3"/>
      <c r="I221" s="3"/>
      <c r="J221" s="3"/>
      <c r="K221" s="3"/>
      <c r="L221" s="4"/>
      <c r="M221" s="274"/>
      <c r="O221" s="274"/>
      <c r="P221" s="274"/>
      <c r="Q221" s="274"/>
      <c r="R221" s="274"/>
      <c r="S221" s="274"/>
      <c r="T221" s="274"/>
      <c r="U221" s="274"/>
      <c r="V221" s="274"/>
      <c r="W221" s="274"/>
      <c r="X221" s="274"/>
      <c r="Y221" s="274"/>
      <c r="Z221" s="274"/>
      <c r="AA221" s="274"/>
      <c r="AB221" s="274"/>
      <c r="AC221" s="274"/>
      <c r="AD221" s="274"/>
      <c r="AE221" s="274"/>
    </row>
  </sheetData>
  <sheetProtection algorithmName="SHA-512" hashValue="OJBcBaXWlbPyiz+MKUyo6Pm4BjrJQJmFB9cjVhNbxgwWI/jjnDp2xWviLmPJxE5cMIBbnMig83F7vP7EKMpJ7g==" saltValue="0To1hcSxE5qTV+d+0xEVjQ==" spinCount="100000" sheet="1" objects="1" scenarios="1"/>
  <autoFilter ref="C137:K220"/>
  <mergeCells count="10">
    <mergeCell ref="E87:H87"/>
    <mergeCell ref="E128:H128"/>
    <mergeCell ref="E130:H130"/>
    <mergeCell ref="L2:V2"/>
    <mergeCell ref="C138:K13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1"/>
  <sheetViews>
    <sheetView showGridLines="0" topLeftCell="A287" zoomScale="90" zoomScaleNormal="90" workbookViewId="0">
      <selection activeCell="W146" sqref="W146"/>
    </sheetView>
  </sheetViews>
  <sheetFormatPr defaultColWidth="9.1640625" defaultRowHeight="11.25" x14ac:dyDescent="0.2"/>
  <cols>
    <col min="1" max="1" width="8.33203125" style="107" customWidth="1"/>
    <col min="2" max="2" width="1.1640625" style="107" customWidth="1"/>
    <col min="3" max="3" width="4.1640625" style="107" customWidth="1"/>
    <col min="4" max="4" width="4.33203125" style="107" customWidth="1"/>
    <col min="5" max="5" width="17.1640625" style="107" customWidth="1"/>
    <col min="6" max="6" width="100.83203125" style="107" customWidth="1"/>
    <col min="7" max="7" width="7.5" style="107" customWidth="1"/>
    <col min="8" max="8" width="14" style="107" customWidth="1"/>
    <col min="9" max="9" width="15.83203125" style="107" customWidth="1"/>
    <col min="10" max="11" width="22.33203125" style="107" customWidth="1"/>
    <col min="12" max="12" width="9.33203125" style="107" customWidth="1"/>
    <col min="13" max="13" width="10.83203125" style="107" hidden="1" customWidth="1"/>
    <col min="14" max="14" width="9.33203125" style="107" hidden="1"/>
    <col min="15" max="20" width="14.1640625" style="107" hidden="1" customWidth="1"/>
    <col min="21" max="21" width="16.33203125" style="107" hidden="1" customWidth="1"/>
    <col min="22" max="22" width="12.33203125" style="107" customWidth="1"/>
    <col min="23" max="23" width="16.33203125" style="107" customWidth="1"/>
    <col min="24" max="24" width="12.33203125" style="107" customWidth="1"/>
    <col min="25" max="25" width="15" style="107" customWidth="1"/>
    <col min="26" max="26" width="11" style="107" customWidth="1"/>
    <col min="27" max="27" width="15" style="107" customWidth="1"/>
    <col min="28" max="28" width="16.33203125" style="107" customWidth="1"/>
    <col min="29" max="29" width="11" style="107" customWidth="1"/>
    <col min="30" max="30" width="15" style="107" customWidth="1"/>
    <col min="31" max="31" width="16.33203125" style="107" customWidth="1"/>
    <col min="32" max="43" width="9.1640625" style="107"/>
    <col min="44" max="65" width="9.33203125" style="107" hidden="1"/>
    <col min="66" max="16384" width="9.1640625" style="107"/>
  </cols>
  <sheetData>
    <row r="2" spans="1:46" ht="36.950000000000003" customHeight="1" x14ac:dyDescent="0.2">
      <c r="L2" s="306" t="s">
        <v>5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3" t="s">
        <v>78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106" t="s">
        <v>14</v>
      </c>
      <c r="L6" s="42"/>
    </row>
    <row r="7" spans="1:46" ht="16.5" customHeight="1" x14ac:dyDescent="0.2">
      <c r="B7" s="42"/>
      <c r="E7" s="312" t="str">
        <f>'Rekapitulace stavby'!K6</f>
        <v>REKONSTRUKCE A DOSTAVBA BUDOV FF UK - DVD</v>
      </c>
      <c r="F7" s="313"/>
      <c r="G7" s="313"/>
      <c r="H7" s="313"/>
      <c r="L7" s="42"/>
    </row>
    <row r="8" spans="1:46" s="5" customFormat="1" ht="12" customHeight="1" x14ac:dyDescent="0.2">
      <c r="A8" s="105"/>
      <c r="B8" s="4"/>
      <c r="C8" s="105"/>
      <c r="D8" s="106" t="s">
        <v>87</v>
      </c>
      <c r="E8" s="105"/>
      <c r="F8" s="105"/>
      <c r="G8" s="105"/>
      <c r="H8" s="105"/>
      <c r="I8" s="105"/>
      <c r="J8" s="105"/>
      <c r="K8" s="105"/>
      <c r="L8" s="4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46" s="5" customFormat="1" ht="16.5" customHeight="1" x14ac:dyDescent="0.2">
      <c r="A9" s="105"/>
      <c r="B9" s="4"/>
      <c r="C9" s="105"/>
      <c r="D9" s="105"/>
      <c r="E9" s="277" t="s">
        <v>1150</v>
      </c>
      <c r="F9" s="311"/>
      <c r="G9" s="311"/>
      <c r="H9" s="311"/>
      <c r="I9" s="105"/>
      <c r="J9" s="105"/>
      <c r="K9" s="105"/>
      <c r="L9" s="4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46" s="5" customFormat="1" x14ac:dyDescent="0.2">
      <c r="A10" s="105"/>
      <c r="B10" s="4"/>
      <c r="C10" s="105"/>
      <c r="D10" s="105"/>
      <c r="E10" s="105"/>
      <c r="F10" s="105"/>
      <c r="G10" s="105"/>
      <c r="H10" s="105"/>
      <c r="I10" s="105"/>
      <c r="J10" s="105"/>
      <c r="K10" s="105"/>
      <c r="L10" s="4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46" s="5" customFormat="1" ht="12" customHeight="1" x14ac:dyDescent="0.2">
      <c r="A11" s="105"/>
      <c r="B11" s="4"/>
      <c r="C11" s="105"/>
      <c r="D11" s="106" t="s">
        <v>15</v>
      </c>
      <c r="E11" s="105"/>
      <c r="F11" s="46" t="s">
        <v>1291</v>
      </c>
      <c r="G11" s="105"/>
      <c r="H11" s="105"/>
      <c r="I11" s="106" t="s">
        <v>16</v>
      </c>
      <c r="J11" s="108" t="s">
        <v>1</v>
      </c>
      <c r="K11" s="105"/>
      <c r="L11" s="4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46" s="5" customFormat="1" ht="12" customHeight="1" x14ac:dyDescent="0.2">
      <c r="A12" s="105"/>
      <c r="B12" s="4"/>
      <c r="C12" s="105"/>
      <c r="D12" s="106" t="s">
        <v>17</v>
      </c>
      <c r="E12" s="105"/>
      <c r="F12" s="46" t="s">
        <v>1292</v>
      </c>
      <c r="G12" s="105"/>
      <c r="H12" s="105"/>
      <c r="I12" s="106" t="s">
        <v>19</v>
      </c>
      <c r="J12" s="47">
        <f>'Rekapitulace stavby'!AN8</f>
        <v>44310</v>
      </c>
      <c r="K12" s="105"/>
      <c r="L12" s="4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46" s="5" customFormat="1" ht="10.9" customHeight="1" x14ac:dyDescent="0.2">
      <c r="A13" s="105"/>
      <c r="B13" s="4"/>
      <c r="C13" s="105"/>
      <c r="D13" s="105"/>
      <c r="E13" s="105"/>
      <c r="F13" s="105"/>
      <c r="G13" s="105"/>
      <c r="H13" s="105"/>
      <c r="I13" s="105"/>
      <c r="J13" s="105"/>
      <c r="K13" s="105"/>
      <c r="L13" s="4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46" s="5" customFormat="1" ht="12" customHeight="1" x14ac:dyDescent="0.2">
      <c r="A14" s="105"/>
      <c r="B14" s="4"/>
      <c r="C14" s="105"/>
      <c r="D14" s="106" t="s">
        <v>20</v>
      </c>
      <c r="E14" s="105"/>
      <c r="F14" s="105"/>
      <c r="G14" s="105"/>
      <c r="H14" s="105"/>
      <c r="I14" s="106" t="s">
        <v>21</v>
      </c>
      <c r="J14" s="108" t="str">
        <f>IF('Rekapitulace stavby'!AN10="","",'Rekapitulace stavby'!AN10)</f>
        <v/>
      </c>
      <c r="K14" s="105"/>
      <c r="L14" s="4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46" s="5" customFormat="1" ht="18" customHeight="1" x14ac:dyDescent="0.2">
      <c r="A15" s="105"/>
      <c r="B15" s="4"/>
      <c r="C15" s="105"/>
      <c r="D15" s="105"/>
      <c r="E15" s="48" t="s">
        <v>1293</v>
      </c>
      <c r="F15" s="105"/>
      <c r="G15" s="105"/>
      <c r="H15" s="105"/>
      <c r="I15" s="106" t="s">
        <v>22</v>
      </c>
      <c r="J15" s="108" t="str">
        <f>IF('Rekapitulace stavby'!AN11="","",'Rekapitulace stavby'!AN11)</f>
        <v/>
      </c>
      <c r="K15" s="105"/>
      <c r="L15" s="4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46" s="5" customFormat="1" ht="6.95" customHeight="1" x14ac:dyDescent="0.2">
      <c r="A16" s="105"/>
      <c r="B16" s="4"/>
      <c r="C16" s="105"/>
      <c r="D16" s="105"/>
      <c r="E16" s="105"/>
      <c r="F16" s="105"/>
      <c r="G16" s="105"/>
      <c r="H16" s="105"/>
      <c r="I16" s="105"/>
      <c r="J16" s="105"/>
      <c r="K16" s="105"/>
      <c r="L16" s="4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31" s="5" customFormat="1" ht="12" customHeight="1" x14ac:dyDescent="0.2">
      <c r="A17" s="105"/>
      <c r="B17" s="4"/>
      <c r="C17" s="105"/>
      <c r="D17" s="106" t="s">
        <v>23</v>
      </c>
      <c r="E17" s="105"/>
      <c r="F17" s="105"/>
      <c r="G17" s="105"/>
      <c r="H17" s="105"/>
      <c r="I17" s="106" t="s">
        <v>21</v>
      </c>
      <c r="J17" s="108" t="str">
        <f>'Rekapitulace stavby'!AN13</f>
        <v/>
      </c>
      <c r="K17" s="105"/>
      <c r="L17" s="4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</row>
    <row r="18" spans="1:31" s="5" customFormat="1" ht="18" customHeight="1" x14ac:dyDescent="0.2">
      <c r="A18" s="105"/>
      <c r="B18" s="4"/>
      <c r="C18" s="105"/>
      <c r="D18" s="105"/>
      <c r="E18" s="299" t="str">
        <f>'Rekapitulace stavby'!E14</f>
        <v xml:space="preserve"> </v>
      </c>
      <c r="F18" s="299"/>
      <c r="G18" s="299"/>
      <c r="H18" s="299"/>
      <c r="I18" s="106" t="s">
        <v>22</v>
      </c>
      <c r="J18" s="108" t="str">
        <f>'Rekapitulace stavby'!AN14</f>
        <v/>
      </c>
      <c r="K18" s="105"/>
      <c r="L18" s="4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5" customFormat="1" ht="6.95" customHeight="1" x14ac:dyDescent="0.2">
      <c r="A19" s="105"/>
      <c r="B19" s="4"/>
      <c r="C19" s="105"/>
      <c r="D19" s="105"/>
      <c r="E19" s="105"/>
      <c r="F19" s="105"/>
      <c r="G19" s="105"/>
      <c r="H19" s="105"/>
      <c r="I19" s="105"/>
      <c r="J19" s="105"/>
      <c r="K19" s="105"/>
      <c r="L19" s="4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</row>
    <row r="20" spans="1:31" s="5" customFormat="1" ht="12" customHeight="1" x14ac:dyDescent="0.2">
      <c r="A20" s="105"/>
      <c r="B20" s="4"/>
      <c r="C20" s="105"/>
      <c r="D20" s="106" t="s">
        <v>24</v>
      </c>
      <c r="E20" s="105"/>
      <c r="F20" s="105"/>
      <c r="G20" s="105"/>
      <c r="H20" s="105"/>
      <c r="I20" s="106" t="s">
        <v>21</v>
      </c>
      <c r="J20" s="108" t="str">
        <f>IF('Rekapitulace stavby'!AN16="","",'Rekapitulace stavby'!AN16)</f>
        <v/>
      </c>
      <c r="K20" s="105"/>
      <c r="L20" s="4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</row>
    <row r="21" spans="1:31" s="5" customFormat="1" ht="18" customHeight="1" x14ac:dyDescent="0.2">
      <c r="A21" s="105"/>
      <c r="B21" s="4"/>
      <c r="C21" s="105"/>
      <c r="D21" s="105"/>
      <c r="E21" s="48" t="s">
        <v>1294</v>
      </c>
      <c r="F21" s="105"/>
      <c r="G21" s="105"/>
      <c r="H21" s="105"/>
      <c r="I21" s="106" t="s">
        <v>22</v>
      </c>
      <c r="J21" s="108" t="str">
        <f>IF('Rekapitulace stavby'!AN17="","",'Rekapitulace stavby'!AN17)</f>
        <v/>
      </c>
      <c r="K21" s="105"/>
      <c r="L21" s="4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</row>
    <row r="22" spans="1:31" s="5" customFormat="1" ht="6.95" customHeight="1" x14ac:dyDescent="0.2">
      <c r="A22" s="105"/>
      <c r="B22" s="4"/>
      <c r="C22" s="105"/>
      <c r="D22" s="105"/>
      <c r="E22" s="105"/>
      <c r="F22" s="105"/>
      <c r="G22" s="105"/>
      <c r="H22" s="105"/>
      <c r="I22" s="105"/>
      <c r="J22" s="105"/>
      <c r="K22" s="105"/>
      <c r="L22" s="4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</row>
    <row r="23" spans="1:31" s="5" customFormat="1" ht="12" customHeight="1" x14ac:dyDescent="0.2">
      <c r="A23" s="105"/>
      <c r="B23" s="4"/>
      <c r="C23" s="105"/>
      <c r="D23" s="106" t="s">
        <v>26</v>
      </c>
      <c r="E23" s="105"/>
      <c r="F23" s="105"/>
      <c r="G23" s="105"/>
      <c r="H23" s="105"/>
      <c r="I23" s="106" t="s">
        <v>21</v>
      </c>
      <c r="J23" s="108" t="str">
        <f>IF('Rekapitulace stavby'!AN19="","",'Rekapitulace stavby'!AN19)</f>
        <v/>
      </c>
      <c r="K23" s="105"/>
      <c r="L23" s="4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</row>
    <row r="24" spans="1:31" s="5" customFormat="1" ht="18" customHeight="1" x14ac:dyDescent="0.2">
      <c r="A24" s="105"/>
      <c r="B24" s="4"/>
      <c r="C24" s="105"/>
      <c r="D24" s="105"/>
      <c r="E24" s="48" t="s">
        <v>1295</v>
      </c>
      <c r="F24" s="105"/>
      <c r="G24" s="105"/>
      <c r="H24" s="105"/>
      <c r="I24" s="106" t="s">
        <v>22</v>
      </c>
      <c r="J24" s="108" t="str">
        <f>IF('Rekapitulace stavby'!AN20="","",'Rekapitulace stavby'!AN20)</f>
        <v/>
      </c>
      <c r="K24" s="105"/>
      <c r="L24" s="4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</row>
    <row r="25" spans="1:31" s="5" customFormat="1" ht="6.95" customHeight="1" x14ac:dyDescent="0.2">
      <c r="A25" s="105"/>
      <c r="B25" s="4"/>
      <c r="C25" s="105"/>
      <c r="D25" s="105"/>
      <c r="E25" s="105"/>
      <c r="F25" s="105"/>
      <c r="G25" s="105"/>
      <c r="H25" s="105"/>
      <c r="I25" s="105"/>
      <c r="J25" s="105"/>
      <c r="K25" s="105"/>
      <c r="L25" s="4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5" customFormat="1" ht="12" customHeight="1" x14ac:dyDescent="0.2">
      <c r="A26" s="105"/>
      <c r="B26" s="4"/>
      <c r="C26" s="105"/>
      <c r="D26" s="106" t="s">
        <v>27</v>
      </c>
      <c r="E26" s="105"/>
      <c r="F26" s="105"/>
      <c r="G26" s="105"/>
      <c r="H26" s="105"/>
      <c r="I26" s="105"/>
      <c r="J26" s="105"/>
      <c r="K26" s="105"/>
      <c r="L26" s="4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</row>
    <row r="27" spans="1:31" s="52" customFormat="1" ht="16.5" customHeight="1" x14ac:dyDescent="0.2">
      <c r="A27" s="49"/>
      <c r="B27" s="50"/>
      <c r="C27" s="49"/>
      <c r="D27" s="49"/>
      <c r="E27" s="302" t="s">
        <v>1</v>
      </c>
      <c r="F27" s="302"/>
      <c r="G27" s="302"/>
      <c r="H27" s="302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105"/>
      <c r="B28" s="4"/>
      <c r="C28" s="105"/>
      <c r="D28" s="105"/>
      <c r="E28" s="105"/>
      <c r="F28" s="105"/>
      <c r="G28" s="105"/>
      <c r="H28" s="105"/>
      <c r="I28" s="105"/>
      <c r="J28" s="105"/>
      <c r="K28" s="105"/>
      <c r="L28" s="4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s="5" customFormat="1" ht="6.95" customHeight="1" x14ac:dyDescent="0.2">
      <c r="A29" s="105"/>
      <c r="B29" s="4"/>
      <c r="C29" s="105"/>
      <c r="D29" s="53"/>
      <c r="E29" s="53"/>
      <c r="F29" s="53"/>
      <c r="G29" s="53"/>
      <c r="H29" s="53"/>
      <c r="I29" s="53"/>
      <c r="J29" s="53"/>
      <c r="K29" s="53"/>
      <c r="L29" s="4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5" customFormat="1" ht="25.35" customHeight="1" x14ac:dyDescent="0.2">
      <c r="A30" s="105"/>
      <c r="B30" s="4"/>
      <c r="C30" s="105"/>
      <c r="D30" s="54" t="s">
        <v>28</v>
      </c>
      <c r="E30" s="105"/>
      <c r="F30" s="105"/>
      <c r="G30" s="105"/>
      <c r="H30" s="105"/>
      <c r="I30" s="105"/>
      <c r="J30" s="55">
        <f>ROUND(J145, 2)</f>
        <v>0</v>
      </c>
      <c r="K30" s="105"/>
      <c r="L30" s="4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</row>
    <row r="31" spans="1:31" s="5" customFormat="1" ht="6.95" customHeight="1" x14ac:dyDescent="0.2">
      <c r="A31" s="105"/>
      <c r="B31" s="4"/>
      <c r="C31" s="105"/>
      <c r="D31" s="53"/>
      <c r="E31" s="53"/>
      <c r="F31" s="53"/>
      <c r="G31" s="53"/>
      <c r="H31" s="53"/>
      <c r="I31" s="53"/>
      <c r="J31" s="53"/>
      <c r="K31" s="53"/>
      <c r="L31" s="4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5" customFormat="1" ht="14.45" customHeight="1" x14ac:dyDescent="0.2">
      <c r="A32" s="105"/>
      <c r="B32" s="4"/>
      <c r="C32" s="105"/>
      <c r="D32" s="105"/>
      <c r="E32" s="105"/>
      <c r="F32" s="56" t="s">
        <v>30</v>
      </c>
      <c r="G32" s="105"/>
      <c r="H32" s="105"/>
      <c r="I32" s="56" t="s">
        <v>29</v>
      </c>
      <c r="J32" s="56" t="s">
        <v>31</v>
      </c>
      <c r="K32" s="105"/>
      <c r="L32" s="4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</row>
    <row r="33" spans="1:31" s="5" customFormat="1" ht="14.45" customHeight="1" x14ac:dyDescent="0.2">
      <c r="A33" s="105"/>
      <c r="B33" s="4"/>
      <c r="C33" s="105"/>
      <c r="D33" s="57" t="s">
        <v>32</v>
      </c>
      <c r="E33" s="106" t="s">
        <v>33</v>
      </c>
      <c r="F33" s="58">
        <f>ROUND((SUM(BE145:BE410)),  2)</f>
        <v>0</v>
      </c>
      <c r="G33" s="105"/>
      <c r="H33" s="105"/>
      <c r="I33" s="59">
        <v>0.21</v>
      </c>
      <c r="J33" s="58">
        <f>ROUND(((SUM(BE145:BE410))*I33),  2)</f>
        <v>0</v>
      </c>
      <c r="K33" s="105"/>
      <c r="L33" s="4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</row>
    <row r="34" spans="1:31" s="5" customFormat="1" ht="14.45" customHeight="1" x14ac:dyDescent="0.2">
      <c r="A34" s="105"/>
      <c r="B34" s="4"/>
      <c r="C34" s="105"/>
      <c r="D34" s="105"/>
      <c r="E34" s="106" t="s">
        <v>34</v>
      </c>
      <c r="F34" s="58">
        <f>ROUND((SUM(BF145:BF410)),  2)</f>
        <v>0</v>
      </c>
      <c r="G34" s="105"/>
      <c r="H34" s="105"/>
      <c r="I34" s="59">
        <v>0.15</v>
      </c>
      <c r="J34" s="58">
        <f>ROUND(((SUM(BF145:BF410))*I34),  2)</f>
        <v>0</v>
      </c>
      <c r="K34" s="105"/>
      <c r="L34" s="4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</row>
    <row r="35" spans="1:31" s="5" customFormat="1" ht="14.45" hidden="1" customHeight="1" x14ac:dyDescent="0.2">
      <c r="A35" s="105"/>
      <c r="B35" s="4"/>
      <c r="C35" s="105"/>
      <c r="D35" s="105"/>
      <c r="E35" s="106" t="s">
        <v>35</v>
      </c>
      <c r="F35" s="58">
        <f>ROUND((SUM(BG145:BG410)),  2)</f>
        <v>0</v>
      </c>
      <c r="G35" s="105"/>
      <c r="H35" s="105"/>
      <c r="I35" s="59">
        <v>0.21</v>
      </c>
      <c r="J35" s="58">
        <f>0</f>
        <v>0</v>
      </c>
      <c r="K35" s="105"/>
      <c r="L35" s="4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</row>
    <row r="36" spans="1:31" s="5" customFormat="1" ht="14.45" hidden="1" customHeight="1" x14ac:dyDescent="0.2">
      <c r="A36" s="105"/>
      <c r="B36" s="4"/>
      <c r="C36" s="105"/>
      <c r="D36" s="105"/>
      <c r="E36" s="106" t="s">
        <v>36</v>
      </c>
      <c r="F36" s="58">
        <f>ROUND((SUM(BH145:BH410)),  2)</f>
        <v>0</v>
      </c>
      <c r="G36" s="105"/>
      <c r="H36" s="105"/>
      <c r="I36" s="59">
        <v>0.15</v>
      </c>
      <c r="J36" s="58">
        <f>0</f>
        <v>0</v>
      </c>
      <c r="K36" s="105"/>
      <c r="L36" s="4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</row>
    <row r="37" spans="1:31" s="5" customFormat="1" ht="14.45" hidden="1" customHeight="1" x14ac:dyDescent="0.2">
      <c r="A37" s="105"/>
      <c r="B37" s="4"/>
      <c r="C37" s="105"/>
      <c r="D37" s="105"/>
      <c r="E37" s="106" t="s">
        <v>37</v>
      </c>
      <c r="F37" s="58">
        <f>ROUND((SUM(BI145:BI410)),  2)</f>
        <v>0</v>
      </c>
      <c r="G37" s="105"/>
      <c r="H37" s="105"/>
      <c r="I37" s="59">
        <v>0</v>
      </c>
      <c r="J37" s="58">
        <f>0</f>
        <v>0</v>
      </c>
      <c r="K37" s="105"/>
      <c r="L37" s="4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</row>
    <row r="38" spans="1:31" s="5" customFormat="1" ht="6.95" customHeight="1" x14ac:dyDescent="0.2">
      <c r="A38" s="105"/>
      <c r="B38" s="4"/>
      <c r="C38" s="105"/>
      <c r="D38" s="105"/>
      <c r="E38" s="105"/>
      <c r="F38" s="105"/>
      <c r="G38" s="105"/>
      <c r="H38" s="105"/>
      <c r="I38" s="105"/>
      <c r="J38" s="105"/>
      <c r="K38" s="105"/>
      <c r="L38" s="4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</row>
    <row r="39" spans="1:31" s="5" customFormat="1" ht="25.35" customHeight="1" x14ac:dyDescent="0.2">
      <c r="A39" s="105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</row>
    <row r="40" spans="1:31" s="5" customFormat="1" ht="14.45" customHeight="1" x14ac:dyDescent="0.2">
      <c r="A40" s="105"/>
      <c r="B40" s="4"/>
      <c r="C40" s="105"/>
      <c r="D40" s="105"/>
      <c r="E40" s="105"/>
      <c r="F40" s="105"/>
      <c r="G40" s="105"/>
      <c r="H40" s="105"/>
      <c r="I40" s="105"/>
      <c r="J40" s="105"/>
      <c r="K40" s="105"/>
      <c r="L40" s="4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105"/>
      <c r="B61" s="4"/>
      <c r="C61" s="105"/>
      <c r="D61" s="69" t="s">
        <v>43</v>
      </c>
      <c r="E61" s="70"/>
      <c r="F61" s="71" t="s">
        <v>44</v>
      </c>
      <c r="G61" s="69" t="s">
        <v>43</v>
      </c>
      <c r="H61" s="70"/>
      <c r="I61" s="70"/>
      <c r="J61" s="72" t="s">
        <v>44</v>
      </c>
      <c r="K61" s="70"/>
      <c r="L61" s="4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105"/>
      <c r="B65" s="4"/>
      <c r="C65" s="105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105"/>
      <c r="B76" s="4"/>
      <c r="C76" s="105"/>
      <c r="D76" s="69" t="s">
        <v>43</v>
      </c>
      <c r="E76" s="70"/>
      <c r="F76" s="71" t="s">
        <v>44</v>
      </c>
      <c r="G76" s="69" t="s">
        <v>43</v>
      </c>
      <c r="H76" s="70"/>
      <c r="I76" s="70"/>
      <c r="J76" s="72" t="s">
        <v>44</v>
      </c>
      <c r="K76" s="70"/>
      <c r="L76" s="4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</row>
    <row r="77" spans="1:31" s="5" customFormat="1" ht="14.45" customHeight="1" x14ac:dyDescent="0.2">
      <c r="A77" s="105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</row>
    <row r="81" spans="1:47" s="5" customFormat="1" ht="6.95" customHeight="1" x14ac:dyDescent="0.2">
      <c r="A81" s="105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</row>
    <row r="82" spans="1:47" s="5" customFormat="1" ht="24.95" customHeight="1" x14ac:dyDescent="0.2">
      <c r="A82" s="105"/>
      <c r="B82" s="4"/>
      <c r="C82" s="43" t="s">
        <v>88</v>
      </c>
      <c r="D82" s="105"/>
      <c r="E82" s="105"/>
      <c r="F82" s="105"/>
      <c r="G82" s="105"/>
      <c r="H82" s="105"/>
      <c r="I82" s="105"/>
      <c r="J82" s="105"/>
      <c r="K82" s="105"/>
      <c r="L82" s="4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</row>
    <row r="83" spans="1:47" s="5" customFormat="1" ht="6.95" customHeight="1" x14ac:dyDescent="0.2">
      <c r="A83" s="105"/>
      <c r="B83" s="4"/>
      <c r="C83" s="105"/>
      <c r="D83" s="105"/>
      <c r="E83" s="105"/>
      <c r="F83" s="105"/>
      <c r="G83" s="105"/>
      <c r="H83" s="105"/>
      <c r="I83" s="105"/>
      <c r="J83" s="105"/>
      <c r="K83" s="105"/>
      <c r="L83" s="4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</row>
    <row r="84" spans="1:47" s="5" customFormat="1" ht="12" customHeight="1" x14ac:dyDescent="0.2">
      <c r="A84" s="105"/>
      <c r="B84" s="4"/>
      <c r="C84" s="106" t="s">
        <v>14</v>
      </c>
      <c r="D84" s="105"/>
      <c r="E84" s="105"/>
      <c r="F84" s="105"/>
      <c r="G84" s="105"/>
      <c r="H84" s="105"/>
      <c r="I84" s="105"/>
      <c r="J84" s="105"/>
      <c r="K84" s="105"/>
      <c r="L84" s="4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</row>
    <row r="85" spans="1:47" s="5" customFormat="1" ht="16.5" customHeight="1" x14ac:dyDescent="0.2">
      <c r="A85" s="105"/>
      <c r="B85" s="4"/>
      <c r="C85" s="105"/>
      <c r="D85" s="105"/>
      <c r="E85" s="312" t="str">
        <f>E7</f>
        <v>REKONSTRUKCE A DOSTAVBA BUDOV FF UK - DVD</v>
      </c>
      <c r="F85" s="313"/>
      <c r="G85" s="313"/>
      <c r="H85" s="313"/>
      <c r="I85" s="105"/>
      <c r="J85" s="105"/>
      <c r="K85" s="105"/>
      <c r="L85" s="4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47" s="5" customFormat="1" ht="12" customHeight="1" x14ac:dyDescent="0.2">
      <c r="A86" s="105"/>
      <c r="B86" s="4"/>
      <c r="C86" s="106" t="s">
        <v>87</v>
      </c>
      <c r="D86" s="105"/>
      <c r="E86" s="105"/>
      <c r="F86" s="105"/>
      <c r="G86" s="105"/>
      <c r="H86" s="105"/>
      <c r="I86" s="105"/>
      <c r="J86" s="105"/>
      <c r="K86" s="105"/>
      <c r="L86" s="4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47" s="5" customFormat="1" ht="16.5" customHeight="1" x14ac:dyDescent="0.2">
      <c r="A87" s="105"/>
      <c r="B87" s="4"/>
      <c r="C87" s="105"/>
      <c r="D87" s="105"/>
      <c r="E87" s="277" t="str">
        <f>E9</f>
        <v>11 - RESTAURÁTORSKÝ ZÁMĚR - Kamenická část, společně pro objekty A, B a C</v>
      </c>
      <c r="F87" s="311"/>
      <c r="G87" s="311"/>
      <c r="H87" s="311"/>
      <c r="I87" s="105"/>
      <c r="J87" s="105"/>
      <c r="K87" s="105"/>
      <c r="L87" s="4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</row>
    <row r="88" spans="1:47" s="5" customFormat="1" ht="6.95" customHeight="1" x14ac:dyDescent="0.2">
      <c r="A88" s="105"/>
      <c r="B88" s="4"/>
      <c r="C88" s="105"/>
      <c r="D88" s="105"/>
      <c r="E88" s="105"/>
      <c r="F88" s="105"/>
      <c r="G88" s="105"/>
      <c r="H88" s="105"/>
      <c r="I88" s="105"/>
      <c r="J88" s="105"/>
      <c r="K88" s="105"/>
      <c r="L88" s="4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</row>
    <row r="89" spans="1:47" s="5" customFormat="1" ht="12" customHeight="1" x14ac:dyDescent="0.2">
      <c r="A89" s="105"/>
      <c r="B89" s="4"/>
      <c r="C89" s="106" t="s">
        <v>17</v>
      </c>
      <c r="D89" s="105"/>
      <c r="E89" s="105"/>
      <c r="F89" s="108" t="str">
        <f>F12</f>
        <v>OPLETALOVA 47,49 - PRAHA 1</v>
      </c>
      <c r="G89" s="105"/>
      <c r="H89" s="105"/>
      <c r="I89" s="106" t="s">
        <v>19</v>
      </c>
      <c r="J89" s="47">
        <f>IF(J12="","",J12)</f>
        <v>44310</v>
      </c>
      <c r="K89" s="105"/>
      <c r="L89" s="4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</row>
    <row r="90" spans="1:47" s="5" customFormat="1" ht="6.95" customHeight="1" x14ac:dyDescent="0.2">
      <c r="A90" s="105"/>
      <c r="B90" s="4"/>
      <c r="C90" s="105"/>
      <c r="D90" s="105"/>
      <c r="E90" s="105"/>
      <c r="F90" s="105"/>
      <c r="G90" s="105"/>
      <c r="H90" s="105"/>
      <c r="I90" s="105"/>
      <c r="J90" s="105"/>
      <c r="K90" s="105"/>
      <c r="L90" s="4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</row>
    <row r="91" spans="1:47" s="5" customFormat="1" ht="38.25" x14ac:dyDescent="0.2">
      <c r="A91" s="105"/>
      <c r="B91" s="4"/>
      <c r="C91" s="106" t="s">
        <v>20</v>
      </c>
      <c r="D91" s="105"/>
      <c r="E91" s="105"/>
      <c r="F91" s="108" t="str">
        <f>E15</f>
        <v>Filozofická fakulta, UK</v>
      </c>
      <c r="G91" s="105"/>
      <c r="H91" s="105"/>
      <c r="I91" s="106" t="s">
        <v>24</v>
      </c>
      <c r="J91" s="109" t="str">
        <f>E21</f>
        <v>Škarda architekti - ing.arch. Václav Škarda</v>
      </c>
      <c r="K91" s="105"/>
      <c r="L91" s="4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</row>
    <row r="92" spans="1:47" s="5" customFormat="1" ht="15.2" customHeight="1" x14ac:dyDescent="0.2">
      <c r="A92" s="105"/>
      <c r="B92" s="4"/>
      <c r="C92" s="106" t="s">
        <v>23</v>
      </c>
      <c r="D92" s="105"/>
      <c r="E92" s="105"/>
      <c r="F92" s="108" t="str">
        <f>IF(E18="","",E18)</f>
        <v xml:space="preserve"> </v>
      </c>
      <c r="G92" s="105"/>
      <c r="H92" s="105"/>
      <c r="I92" s="106" t="s">
        <v>26</v>
      </c>
      <c r="J92" s="109" t="str">
        <f>E24</f>
        <v>Vladimír Mrázek</v>
      </c>
      <c r="K92" s="105"/>
      <c r="L92" s="4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</row>
    <row r="93" spans="1:47" s="5" customFormat="1" ht="10.35" customHeight="1" x14ac:dyDescent="0.2">
      <c r="A93" s="105"/>
      <c r="B93" s="4"/>
      <c r="C93" s="105"/>
      <c r="D93" s="105"/>
      <c r="E93" s="105"/>
      <c r="F93" s="105"/>
      <c r="G93" s="105"/>
      <c r="H93" s="105"/>
      <c r="I93" s="105"/>
      <c r="J93" s="105"/>
      <c r="K93" s="105"/>
      <c r="L93" s="4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</row>
    <row r="94" spans="1:47" s="5" customFormat="1" ht="29.25" customHeight="1" x14ac:dyDescent="0.2">
      <c r="A94" s="105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</row>
    <row r="95" spans="1:47" s="5" customFormat="1" ht="10.35" customHeight="1" x14ac:dyDescent="0.2">
      <c r="A95" s="105"/>
      <c r="B95" s="4"/>
      <c r="C95" s="105"/>
      <c r="D95" s="105"/>
      <c r="E95" s="105"/>
      <c r="F95" s="105"/>
      <c r="G95" s="105"/>
      <c r="H95" s="105"/>
      <c r="I95" s="105"/>
      <c r="J95" s="105"/>
      <c r="K95" s="105"/>
      <c r="L95" s="4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</row>
    <row r="96" spans="1:47" s="5" customFormat="1" ht="22.9" customHeight="1" x14ac:dyDescent="0.2">
      <c r="A96" s="105"/>
      <c r="B96" s="4"/>
      <c r="C96" s="78" t="s">
        <v>91</v>
      </c>
      <c r="D96" s="105"/>
      <c r="E96" s="105"/>
      <c r="F96" s="105"/>
      <c r="G96" s="105"/>
      <c r="H96" s="105"/>
      <c r="I96" s="105"/>
      <c r="J96" s="55">
        <f>J145</f>
        <v>0</v>
      </c>
      <c r="K96" s="105"/>
      <c r="L96" s="4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U96" s="13" t="s">
        <v>92</v>
      </c>
    </row>
    <row r="97" spans="2:12" s="80" customFormat="1" ht="24.95" customHeight="1" x14ac:dyDescent="0.2">
      <c r="B97" s="79"/>
      <c r="D97" s="81" t="s">
        <v>302</v>
      </c>
      <c r="E97" s="82"/>
      <c r="F97" s="82"/>
      <c r="G97" s="82"/>
      <c r="H97" s="82"/>
      <c r="I97" s="82"/>
      <c r="J97" s="83">
        <f>J146</f>
        <v>0</v>
      </c>
      <c r="L97" s="79"/>
    </row>
    <row r="98" spans="2:12" s="80" customFormat="1" ht="24.95" customHeight="1" x14ac:dyDescent="0.2">
      <c r="B98" s="79"/>
      <c r="D98" s="81" t="s">
        <v>303</v>
      </c>
      <c r="E98" s="82"/>
      <c r="F98" s="82"/>
      <c r="G98" s="82"/>
      <c r="H98" s="82"/>
      <c r="I98" s="82"/>
      <c r="J98" s="83">
        <f>J160</f>
        <v>0</v>
      </c>
      <c r="L98" s="79"/>
    </row>
    <row r="99" spans="2:12" s="80" customFormat="1" ht="24.95" customHeight="1" x14ac:dyDescent="0.2">
      <c r="B99" s="79"/>
      <c r="D99" s="81" t="s">
        <v>304</v>
      </c>
      <c r="E99" s="82"/>
      <c r="F99" s="82"/>
      <c r="G99" s="82"/>
      <c r="H99" s="82"/>
      <c r="I99" s="82"/>
      <c r="J99" s="83">
        <f>J168</f>
        <v>0</v>
      </c>
      <c r="L99" s="79"/>
    </row>
    <row r="100" spans="2:12" s="80" customFormat="1" ht="24.95" customHeight="1" x14ac:dyDescent="0.2">
      <c r="B100" s="79"/>
      <c r="D100" s="81" t="s">
        <v>305</v>
      </c>
      <c r="E100" s="82"/>
      <c r="F100" s="82"/>
      <c r="G100" s="82"/>
      <c r="H100" s="82"/>
      <c r="I100" s="82"/>
      <c r="J100" s="83">
        <f>J175</f>
        <v>0</v>
      </c>
      <c r="L100" s="79"/>
    </row>
    <row r="101" spans="2:12" s="80" customFormat="1" ht="24.95" customHeight="1" x14ac:dyDescent="0.2">
      <c r="B101" s="79"/>
      <c r="D101" s="81" t="s">
        <v>306</v>
      </c>
      <c r="E101" s="82"/>
      <c r="F101" s="82"/>
      <c r="G101" s="82"/>
      <c r="H101" s="82"/>
      <c r="I101" s="82"/>
      <c r="J101" s="83">
        <f>J183</f>
        <v>0</v>
      </c>
      <c r="L101" s="79"/>
    </row>
    <row r="102" spans="2:12" s="80" customFormat="1" ht="24.95" customHeight="1" x14ac:dyDescent="0.2">
      <c r="B102" s="79"/>
      <c r="D102" s="81" t="s">
        <v>307</v>
      </c>
      <c r="E102" s="82"/>
      <c r="F102" s="82"/>
      <c r="G102" s="82"/>
      <c r="H102" s="82"/>
      <c r="I102" s="82"/>
      <c r="J102" s="83">
        <f>J193</f>
        <v>0</v>
      </c>
      <c r="L102" s="79"/>
    </row>
    <row r="103" spans="2:12" s="80" customFormat="1" ht="24.95" customHeight="1" x14ac:dyDescent="0.2">
      <c r="B103" s="79"/>
      <c r="D103" s="81" t="s">
        <v>308</v>
      </c>
      <c r="E103" s="82"/>
      <c r="F103" s="82"/>
      <c r="G103" s="82"/>
      <c r="H103" s="82"/>
      <c r="I103" s="82"/>
      <c r="J103" s="83">
        <f>J201</f>
        <v>0</v>
      </c>
      <c r="L103" s="79"/>
    </row>
    <row r="104" spans="2:12" s="80" customFormat="1" ht="24.95" customHeight="1" x14ac:dyDescent="0.2">
      <c r="B104" s="79"/>
      <c r="D104" s="81" t="s">
        <v>309</v>
      </c>
      <c r="E104" s="82"/>
      <c r="F104" s="82"/>
      <c r="G104" s="82"/>
      <c r="H104" s="82"/>
      <c r="I104" s="82"/>
      <c r="J104" s="83">
        <f>J206</f>
        <v>0</v>
      </c>
      <c r="L104" s="79"/>
    </row>
    <row r="105" spans="2:12" s="80" customFormat="1" ht="24.95" customHeight="1" x14ac:dyDescent="0.2">
      <c r="B105" s="79"/>
      <c r="D105" s="81" t="s">
        <v>310</v>
      </c>
      <c r="E105" s="82"/>
      <c r="F105" s="82"/>
      <c r="G105" s="82"/>
      <c r="H105" s="82"/>
      <c r="I105" s="82"/>
      <c r="J105" s="83">
        <f>J218</f>
        <v>0</v>
      </c>
      <c r="L105" s="79"/>
    </row>
    <row r="106" spans="2:12" s="80" customFormat="1" ht="24.95" customHeight="1" x14ac:dyDescent="0.2">
      <c r="B106" s="79"/>
      <c r="D106" s="81" t="s">
        <v>311</v>
      </c>
      <c r="E106" s="82"/>
      <c r="F106" s="82"/>
      <c r="G106" s="82"/>
      <c r="H106" s="82"/>
      <c r="I106" s="82"/>
      <c r="J106" s="83">
        <f>J232</f>
        <v>0</v>
      </c>
      <c r="L106" s="79"/>
    </row>
    <row r="107" spans="2:12" s="80" customFormat="1" ht="24.95" customHeight="1" x14ac:dyDescent="0.2">
      <c r="B107" s="79"/>
      <c r="D107" s="81" t="s">
        <v>312</v>
      </c>
      <c r="E107" s="82"/>
      <c r="F107" s="82"/>
      <c r="G107" s="82"/>
      <c r="H107" s="82"/>
      <c r="I107" s="82"/>
      <c r="J107" s="83">
        <f>J240</f>
        <v>0</v>
      </c>
      <c r="L107" s="79"/>
    </row>
    <row r="108" spans="2:12" s="80" customFormat="1" ht="24.95" customHeight="1" x14ac:dyDescent="0.2">
      <c r="B108" s="79"/>
      <c r="D108" s="81" t="s">
        <v>313</v>
      </c>
      <c r="E108" s="82"/>
      <c r="F108" s="82"/>
      <c r="G108" s="82"/>
      <c r="H108" s="82"/>
      <c r="I108" s="82"/>
      <c r="J108" s="83">
        <f>J254</f>
        <v>0</v>
      </c>
      <c r="L108" s="79"/>
    </row>
    <row r="109" spans="2:12" s="80" customFormat="1" ht="24.95" customHeight="1" x14ac:dyDescent="0.2">
      <c r="B109" s="79"/>
      <c r="D109" s="81" t="s">
        <v>314</v>
      </c>
      <c r="E109" s="82"/>
      <c r="F109" s="82"/>
      <c r="G109" s="82"/>
      <c r="H109" s="82"/>
      <c r="I109" s="82"/>
      <c r="J109" s="83">
        <f>J261</f>
        <v>0</v>
      </c>
      <c r="L109" s="79"/>
    </row>
    <row r="110" spans="2:12" s="80" customFormat="1" ht="24.95" customHeight="1" x14ac:dyDescent="0.2">
      <c r="B110" s="79"/>
      <c r="D110" s="81" t="s">
        <v>315</v>
      </c>
      <c r="E110" s="82"/>
      <c r="F110" s="82"/>
      <c r="G110" s="82"/>
      <c r="H110" s="82"/>
      <c r="I110" s="82"/>
      <c r="J110" s="83">
        <f>J268</f>
        <v>0</v>
      </c>
      <c r="L110" s="79"/>
    </row>
    <row r="111" spans="2:12" s="80" customFormat="1" ht="24.95" customHeight="1" x14ac:dyDescent="0.2">
      <c r="B111" s="79"/>
      <c r="D111" s="81" t="s">
        <v>316</v>
      </c>
      <c r="E111" s="82"/>
      <c r="F111" s="82"/>
      <c r="G111" s="82"/>
      <c r="H111" s="82"/>
      <c r="I111" s="82"/>
      <c r="J111" s="83">
        <f>J282</f>
        <v>0</v>
      </c>
      <c r="L111" s="79"/>
    </row>
    <row r="112" spans="2:12" s="80" customFormat="1" ht="24.95" customHeight="1" x14ac:dyDescent="0.2">
      <c r="B112" s="79"/>
      <c r="D112" s="81" t="s">
        <v>317</v>
      </c>
      <c r="E112" s="82"/>
      <c r="F112" s="82"/>
      <c r="G112" s="82"/>
      <c r="H112" s="82"/>
      <c r="I112" s="82"/>
      <c r="J112" s="83">
        <f>J292</f>
        <v>0</v>
      </c>
      <c r="L112" s="79"/>
    </row>
    <row r="113" spans="1:31" s="80" customFormat="1" ht="24.95" customHeight="1" x14ac:dyDescent="0.2">
      <c r="B113" s="79"/>
      <c r="D113" s="81" t="s">
        <v>318</v>
      </c>
      <c r="E113" s="82"/>
      <c r="F113" s="82"/>
      <c r="G113" s="82"/>
      <c r="H113" s="82"/>
      <c r="I113" s="82"/>
      <c r="J113" s="83">
        <f>J300</f>
        <v>0</v>
      </c>
      <c r="L113" s="79"/>
    </row>
    <row r="114" spans="1:31" s="80" customFormat="1" ht="24.95" customHeight="1" x14ac:dyDescent="0.2">
      <c r="B114" s="79"/>
      <c r="D114" s="81" t="s">
        <v>319</v>
      </c>
      <c r="E114" s="82"/>
      <c r="F114" s="82"/>
      <c r="G114" s="82"/>
      <c r="H114" s="82"/>
      <c r="I114" s="82"/>
      <c r="J114" s="83">
        <f>J307</f>
        <v>0</v>
      </c>
      <c r="L114" s="79"/>
    </row>
    <row r="115" spans="1:31" s="80" customFormat="1" ht="24.95" customHeight="1" x14ac:dyDescent="0.2">
      <c r="B115" s="79"/>
      <c r="D115" s="81" t="s">
        <v>320</v>
      </c>
      <c r="E115" s="82"/>
      <c r="F115" s="82"/>
      <c r="G115" s="82"/>
      <c r="H115" s="82"/>
      <c r="I115" s="82"/>
      <c r="J115" s="83">
        <f>J314</f>
        <v>0</v>
      </c>
      <c r="L115" s="79"/>
    </row>
    <row r="116" spans="1:31" s="80" customFormat="1" ht="24.95" customHeight="1" x14ac:dyDescent="0.2">
      <c r="B116" s="79"/>
      <c r="D116" s="81" t="s">
        <v>321</v>
      </c>
      <c r="E116" s="82"/>
      <c r="F116" s="82"/>
      <c r="G116" s="82"/>
      <c r="H116" s="82"/>
      <c r="I116" s="82"/>
      <c r="J116" s="83">
        <f>J321</f>
        <v>0</v>
      </c>
      <c r="L116" s="79"/>
    </row>
    <row r="117" spans="1:31" s="80" customFormat="1" ht="24.95" customHeight="1" x14ac:dyDescent="0.2">
      <c r="B117" s="79"/>
      <c r="D117" s="81" t="s">
        <v>322</v>
      </c>
      <c r="E117" s="82"/>
      <c r="F117" s="82"/>
      <c r="G117" s="82"/>
      <c r="H117" s="82"/>
      <c r="I117" s="82"/>
      <c r="J117" s="83">
        <f>J328</f>
        <v>0</v>
      </c>
      <c r="L117" s="79"/>
    </row>
    <row r="118" spans="1:31" s="80" customFormat="1" ht="24.95" customHeight="1" x14ac:dyDescent="0.2">
      <c r="B118" s="79"/>
      <c r="D118" s="81" t="s">
        <v>323</v>
      </c>
      <c r="E118" s="82"/>
      <c r="F118" s="82"/>
      <c r="G118" s="82"/>
      <c r="H118" s="82"/>
      <c r="I118" s="82"/>
      <c r="J118" s="83">
        <f>J342</f>
        <v>0</v>
      </c>
      <c r="L118" s="79"/>
    </row>
    <row r="119" spans="1:31" s="80" customFormat="1" ht="24.95" customHeight="1" x14ac:dyDescent="0.2">
      <c r="B119" s="79"/>
      <c r="D119" s="81" t="s">
        <v>324</v>
      </c>
      <c r="E119" s="82"/>
      <c r="F119" s="82"/>
      <c r="G119" s="82"/>
      <c r="H119" s="82"/>
      <c r="I119" s="82"/>
      <c r="J119" s="83">
        <f>J352</f>
        <v>0</v>
      </c>
      <c r="L119" s="79"/>
    </row>
    <row r="120" spans="1:31" s="80" customFormat="1" ht="24.95" customHeight="1" x14ac:dyDescent="0.2">
      <c r="B120" s="79"/>
      <c r="D120" s="81" t="s">
        <v>325</v>
      </c>
      <c r="E120" s="82"/>
      <c r="F120" s="82"/>
      <c r="G120" s="82"/>
      <c r="H120" s="82"/>
      <c r="I120" s="82"/>
      <c r="J120" s="83">
        <f>J360</f>
        <v>0</v>
      </c>
      <c r="L120" s="79"/>
    </row>
    <row r="121" spans="1:31" s="80" customFormat="1" ht="24.95" customHeight="1" x14ac:dyDescent="0.2">
      <c r="B121" s="79"/>
      <c r="D121" s="81" t="s">
        <v>326</v>
      </c>
      <c r="E121" s="82"/>
      <c r="F121" s="82"/>
      <c r="G121" s="82"/>
      <c r="H121" s="82"/>
      <c r="I121" s="82"/>
      <c r="J121" s="83">
        <f>J368</f>
        <v>0</v>
      </c>
      <c r="L121" s="79"/>
    </row>
    <row r="122" spans="1:31" s="80" customFormat="1" ht="24.95" customHeight="1" x14ac:dyDescent="0.2">
      <c r="B122" s="79"/>
      <c r="D122" s="81" t="s">
        <v>327</v>
      </c>
      <c r="E122" s="82"/>
      <c r="F122" s="82"/>
      <c r="G122" s="82"/>
      <c r="H122" s="82"/>
      <c r="I122" s="82"/>
      <c r="J122" s="83">
        <f>J376</f>
        <v>0</v>
      </c>
      <c r="L122" s="79"/>
    </row>
    <row r="123" spans="1:31" s="80" customFormat="1" ht="24.95" customHeight="1" x14ac:dyDescent="0.2">
      <c r="B123" s="79"/>
      <c r="D123" s="81" t="s">
        <v>328</v>
      </c>
      <c r="E123" s="82"/>
      <c r="F123" s="82"/>
      <c r="G123" s="82"/>
      <c r="H123" s="82"/>
      <c r="I123" s="82"/>
      <c r="J123" s="83">
        <f>J386</f>
        <v>0</v>
      </c>
      <c r="L123" s="79"/>
    </row>
    <row r="124" spans="1:31" s="80" customFormat="1" ht="24.95" customHeight="1" x14ac:dyDescent="0.2">
      <c r="B124" s="79"/>
      <c r="D124" s="81" t="s">
        <v>329</v>
      </c>
      <c r="E124" s="82"/>
      <c r="F124" s="82"/>
      <c r="G124" s="82"/>
      <c r="H124" s="82"/>
      <c r="I124" s="82"/>
      <c r="J124" s="83">
        <f>J397</f>
        <v>0</v>
      </c>
      <c r="L124" s="79"/>
    </row>
    <row r="125" spans="1:31" s="5" customFormat="1" ht="21.75" customHeight="1" x14ac:dyDescent="0.2">
      <c r="A125" s="105"/>
      <c r="B125" s="4"/>
      <c r="C125" s="105"/>
      <c r="D125" s="105"/>
      <c r="E125" s="105"/>
      <c r="F125" s="105"/>
      <c r="G125" s="105"/>
      <c r="H125" s="105"/>
      <c r="I125" s="105"/>
      <c r="J125" s="105"/>
      <c r="K125" s="105"/>
      <c r="L125" s="45"/>
      <c r="S125" s="105"/>
      <c r="T125" s="105"/>
      <c r="U125" s="105"/>
      <c r="V125" s="105"/>
      <c r="W125" s="105"/>
      <c r="X125" s="105"/>
      <c r="Y125" s="105"/>
      <c r="Z125" s="105"/>
      <c r="AA125" s="105"/>
      <c r="AB125" s="105"/>
      <c r="AC125" s="105"/>
      <c r="AD125" s="105"/>
      <c r="AE125" s="105"/>
    </row>
    <row r="126" spans="1:31" s="5" customFormat="1" ht="6.95" customHeight="1" x14ac:dyDescent="0.2">
      <c r="A126" s="105"/>
      <c r="B126" s="2"/>
      <c r="C126" s="3"/>
      <c r="D126" s="3"/>
      <c r="E126" s="3"/>
      <c r="F126" s="3"/>
      <c r="G126" s="3"/>
      <c r="H126" s="3"/>
      <c r="I126" s="3"/>
      <c r="J126" s="3"/>
      <c r="K126" s="3"/>
      <c r="L126" s="45"/>
      <c r="S126" s="105"/>
      <c r="T126" s="105"/>
      <c r="U126" s="105"/>
      <c r="V126" s="105"/>
      <c r="W126" s="105"/>
      <c r="X126" s="105"/>
      <c r="Y126" s="105"/>
      <c r="Z126" s="105"/>
      <c r="AA126" s="105"/>
      <c r="AB126" s="105"/>
      <c r="AC126" s="105"/>
      <c r="AD126" s="105"/>
      <c r="AE126" s="105"/>
    </row>
    <row r="130" spans="1:31" s="5" customFormat="1" ht="6.95" customHeight="1" x14ac:dyDescent="0.2">
      <c r="A130" s="105"/>
      <c r="B130" s="74"/>
      <c r="C130" s="75"/>
      <c r="D130" s="75"/>
      <c r="E130" s="75"/>
      <c r="F130" s="75"/>
      <c r="G130" s="75"/>
      <c r="H130" s="75"/>
      <c r="I130" s="75"/>
      <c r="J130" s="75"/>
      <c r="K130" s="75"/>
      <c r="L130" s="45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105"/>
      <c r="AD130" s="105"/>
      <c r="AE130" s="105"/>
    </row>
    <row r="131" spans="1:31" s="5" customFormat="1" ht="24.95" customHeight="1" x14ac:dyDescent="0.2">
      <c r="A131" s="105"/>
      <c r="B131" s="4"/>
      <c r="C131" s="43" t="s">
        <v>115</v>
      </c>
      <c r="D131" s="105"/>
      <c r="E131" s="105"/>
      <c r="F131" s="105"/>
      <c r="G131" s="105"/>
      <c r="H131" s="105"/>
      <c r="I131" s="105"/>
      <c r="J131" s="105"/>
      <c r="K131" s="105"/>
      <c r="L131" s="45"/>
      <c r="S131" s="105"/>
      <c r="T131" s="105"/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</row>
    <row r="132" spans="1:31" s="5" customFormat="1" ht="6.95" customHeight="1" x14ac:dyDescent="0.2">
      <c r="A132" s="105"/>
      <c r="B132" s="4"/>
      <c r="C132" s="105"/>
      <c r="D132" s="105"/>
      <c r="E132" s="105"/>
      <c r="F132" s="105"/>
      <c r="G132" s="105"/>
      <c r="H132" s="105"/>
      <c r="I132" s="105"/>
      <c r="J132" s="105"/>
      <c r="K132" s="105"/>
      <c r="L132" s="45"/>
      <c r="S132" s="105"/>
      <c r="T132" s="105"/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</row>
    <row r="133" spans="1:31" s="5" customFormat="1" ht="12" customHeight="1" x14ac:dyDescent="0.2">
      <c r="A133" s="105"/>
      <c r="B133" s="4"/>
      <c r="C133" s="106" t="s">
        <v>14</v>
      </c>
      <c r="D133" s="105"/>
      <c r="E133" s="105"/>
      <c r="F133" s="105"/>
      <c r="G133" s="105"/>
      <c r="H133" s="105"/>
      <c r="I133" s="105"/>
      <c r="J133" s="105"/>
      <c r="K133" s="105"/>
      <c r="L133" s="45"/>
      <c r="S133" s="105"/>
      <c r="T133" s="105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</row>
    <row r="134" spans="1:31" s="5" customFormat="1" ht="16.5" customHeight="1" x14ac:dyDescent="0.2">
      <c r="A134" s="105"/>
      <c r="B134" s="4"/>
      <c r="C134" s="105"/>
      <c r="D134" s="105"/>
      <c r="E134" s="312" t="str">
        <f>E7</f>
        <v>REKONSTRUKCE A DOSTAVBA BUDOV FF UK - DVD</v>
      </c>
      <c r="F134" s="313"/>
      <c r="G134" s="313"/>
      <c r="H134" s="313"/>
      <c r="I134" s="105"/>
      <c r="J134" s="105"/>
      <c r="K134" s="105"/>
      <c r="L134" s="45"/>
      <c r="S134" s="105"/>
      <c r="T134" s="105"/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</row>
    <row r="135" spans="1:31" s="5" customFormat="1" ht="12" customHeight="1" x14ac:dyDescent="0.2">
      <c r="A135" s="105"/>
      <c r="B135" s="4"/>
      <c r="C135" s="106" t="s">
        <v>87</v>
      </c>
      <c r="D135" s="105"/>
      <c r="E135" s="105"/>
      <c r="F135" s="105"/>
      <c r="G135" s="105"/>
      <c r="H135" s="105"/>
      <c r="I135" s="105"/>
      <c r="J135" s="105"/>
      <c r="K135" s="105"/>
      <c r="L135" s="45"/>
      <c r="S135" s="105"/>
      <c r="T135" s="105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</row>
    <row r="136" spans="1:31" s="5" customFormat="1" ht="16.5" customHeight="1" x14ac:dyDescent="0.2">
      <c r="A136" s="105"/>
      <c r="B136" s="4"/>
      <c r="C136" s="105"/>
      <c r="D136" s="105"/>
      <c r="E136" s="277" t="str">
        <f>E9</f>
        <v>11 - RESTAURÁTORSKÝ ZÁMĚR - Kamenická část, společně pro objekty A, B a C</v>
      </c>
      <c r="F136" s="311"/>
      <c r="G136" s="311"/>
      <c r="H136" s="311"/>
      <c r="I136" s="105"/>
      <c r="J136" s="105"/>
      <c r="K136" s="105"/>
      <c r="L136" s="45"/>
      <c r="S136" s="105"/>
      <c r="T136" s="105"/>
      <c r="U136" s="105"/>
      <c r="V136" s="105"/>
      <c r="W136" s="105"/>
      <c r="X136" s="105"/>
      <c r="Y136" s="105"/>
      <c r="Z136" s="105"/>
      <c r="AA136" s="105"/>
      <c r="AB136" s="105"/>
      <c r="AC136" s="105"/>
      <c r="AD136" s="105"/>
      <c r="AE136" s="105"/>
    </row>
    <row r="137" spans="1:31" s="5" customFormat="1" ht="6.95" customHeight="1" x14ac:dyDescent="0.2">
      <c r="A137" s="105"/>
      <c r="B137" s="4"/>
      <c r="C137" s="105"/>
      <c r="D137" s="105"/>
      <c r="E137" s="105"/>
      <c r="F137" s="105"/>
      <c r="G137" s="105"/>
      <c r="H137" s="105"/>
      <c r="I137" s="105"/>
      <c r="J137" s="105"/>
      <c r="K137" s="105"/>
      <c r="L137" s="45"/>
      <c r="S137" s="105"/>
      <c r="T137" s="105"/>
      <c r="U137" s="105"/>
      <c r="V137" s="105"/>
      <c r="W137" s="105"/>
      <c r="X137" s="105"/>
      <c r="Y137" s="105"/>
      <c r="Z137" s="105"/>
      <c r="AA137" s="105"/>
      <c r="AB137" s="105"/>
      <c r="AC137" s="105"/>
      <c r="AD137" s="105"/>
      <c r="AE137" s="105"/>
    </row>
    <row r="138" spans="1:31" s="5" customFormat="1" ht="12" customHeight="1" x14ac:dyDescent="0.2">
      <c r="A138" s="105"/>
      <c r="B138" s="4"/>
      <c r="C138" s="106" t="s">
        <v>17</v>
      </c>
      <c r="D138" s="105"/>
      <c r="E138" s="105"/>
      <c r="F138" s="108" t="str">
        <f>F12</f>
        <v>OPLETALOVA 47,49 - PRAHA 1</v>
      </c>
      <c r="G138" s="105"/>
      <c r="H138" s="105"/>
      <c r="I138" s="106" t="s">
        <v>19</v>
      </c>
      <c r="J138" s="47">
        <f>IF(J12="","",J12)</f>
        <v>44310</v>
      </c>
      <c r="K138" s="105"/>
      <c r="L138" s="45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  <c r="AE138" s="105"/>
    </row>
    <row r="139" spans="1:31" s="5" customFormat="1" ht="6.95" customHeight="1" x14ac:dyDescent="0.2">
      <c r="A139" s="105"/>
      <c r="B139" s="4"/>
      <c r="C139" s="105"/>
      <c r="D139" s="105"/>
      <c r="E139" s="105"/>
      <c r="F139" s="105"/>
      <c r="G139" s="105"/>
      <c r="H139" s="105"/>
      <c r="I139" s="105"/>
      <c r="J139" s="105"/>
      <c r="K139" s="105"/>
      <c r="L139" s="45"/>
      <c r="S139" s="105"/>
      <c r="T139" s="105"/>
      <c r="U139" s="105"/>
      <c r="V139" s="105"/>
      <c r="W139" s="105"/>
      <c r="X139" s="105"/>
      <c r="Y139" s="105"/>
      <c r="Z139" s="105"/>
      <c r="AA139" s="105"/>
      <c r="AB139" s="105"/>
      <c r="AC139" s="105"/>
      <c r="AD139" s="105"/>
      <c r="AE139" s="105"/>
    </row>
    <row r="140" spans="1:31" s="5" customFormat="1" ht="38.25" x14ac:dyDescent="0.2">
      <c r="A140" s="105"/>
      <c r="B140" s="4"/>
      <c r="C140" s="106" t="s">
        <v>20</v>
      </c>
      <c r="D140" s="105"/>
      <c r="E140" s="105"/>
      <c r="F140" s="108" t="str">
        <f>E15</f>
        <v>Filozofická fakulta, UK</v>
      </c>
      <c r="G140" s="105"/>
      <c r="H140" s="105"/>
      <c r="I140" s="106" t="s">
        <v>24</v>
      </c>
      <c r="J140" s="109" t="str">
        <f>E21</f>
        <v>Škarda architekti - ing.arch. Václav Škarda</v>
      </c>
      <c r="K140" s="105"/>
      <c r="L140" s="4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</row>
    <row r="141" spans="1:31" s="5" customFormat="1" ht="15.2" customHeight="1" x14ac:dyDescent="0.2">
      <c r="A141" s="105"/>
      <c r="B141" s="4"/>
      <c r="C141" s="106" t="s">
        <v>23</v>
      </c>
      <c r="D141" s="105"/>
      <c r="E141" s="105"/>
      <c r="F141" s="108" t="str">
        <f>IF(E18="","",E18)</f>
        <v xml:space="preserve"> </v>
      </c>
      <c r="G141" s="105"/>
      <c r="H141" s="105"/>
      <c r="I141" s="106" t="s">
        <v>26</v>
      </c>
      <c r="J141" s="109" t="str">
        <f>E24</f>
        <v>Vladimír Mrázek</v>
      </c>
      <c r="K141" s="105"/>
      <c r="L141" s="45"/>
      <c r="S141" s="105"/>
      <c r="T141" s="105"/>
      <c r="U141" s="105"/>
      <c r="V141" s="105"/>
      <c r="W141" s="105"/>
      <c r="X141" s="105"/>
      <c r="Y141" s="105"/>
      <c r="Z141" s="105"/>
      <c r="AA141" s="105"/>
      <c r="AB141" s="105"/>
      <c r="AC141" s="105"/>
      <c r="AD141" s="105"/>
      <c r="AE141" s="105"/>
    </row>
    <row r="142" spans="1:31" s="5" customFormat="1" ht="10.35" customHeight="1" x14ac:dyDescent="0.2">
      <c r="A142" s="105"/>
      <c r="B142" s="4"/>
      <c r="C142" s="105"/>
      <c r="D142" s="105"/>
      <c r="E142" s="105"/>
      <c r="F142" s="105"/>
      <c r="G142" s="105"/>
      <c r="H142" s="105"/>
      <c r="I142" s="105"/>
      <c r="J142" s="105"/>
      <c r="K142" s="105"/>
      <c r="L142" s="45"/>
      <c r="S142" s="105"/>
      <c r="T142" s="105"/>
      <c r="U142" s="105"/>
      <c r="V142" s="105"/>
      <c r="W142" s="105"/>
      <c r="X142" s="105"/>
      <c r="Y142" s="105"/>
      <c r="Z142" s="105"/>
      <c r="AA142" s="105"/>
      <c r="AB142" s="105"/>
      <c r="AC142" s="105"/>
      <c r="AD142" s="105"/>
      <c r="AE142" s="105"/>
    </row>
    <row r="143" spans="1:31" s="93" customFormat="1" ht="29.25" customHeight="1" x14ac:dyDescent="0.2">
      <c r="A143" s="84"/>
      <c r="B143" s="85"/>
      <c r="C143" s="86" t="s">
        <v>116</v>
      </c>
      <c r="D143" s="87" t="s">
        <v>53</v>
      </c>
      <c r="E143" s="87" t="s">
        <v>49</v>
      </c>
      <c r="F143" s="87" t="s">
        <v>50</v>
      </c>
      <c r="G143" s="87" t="s">
        <v>117</v>
      </c>
      <c r="H143" s="87" t="s">
        <v>118</v>
      </c>
      <c r="I143" s="87" t="s">
        <v>119</v>
      </c>
      <c r="J143" s="87" t="s">
        <v>90</v>
      </c>
      <c r="K143" s="88" t="s">
        <v>120</v>
      </c>
      <c r="L143" s="89"/>
      <c r="M143" s="90" t="s">
        <v>1</v>
      </c>
      <c r="N143" s="91" t="s">
        <v>32</v>
      </c>
      <c r="O143" s="91" t="s">
        <v>121</v>
      </c>
      <c r="P143" s="91" t="s">
        <v>122</v>
      </c>
      <c r="Q143" s="91" t="s">
        <v>123</v>
      </c>
      <c r="R143" s="91" t="s">
        <v>124</v>
      </c>
      <c r="S143" s="91" t="s">
        <v>125</v>
      </c>
      <c r="T143" s="92" t="s">
        <v>126</v>
      </c>
      <c r="U143" s="84"/>
      <c r="V143" s="84"/>
      <c r="W143" s="84"/>
      <c r="X143" s="84"/>
      <c r="Y143" s="84"/>
      <c r="Z143" s="84"/>
      <c r="AA143" s="84"/>
      <c r="AB143" s="84"/>
      <c r="AC143" s="84"/>
      <c r="AD143" s="84"/>
      <c r="AE143" s="84"/>
    </row>
    <row r="144" spans="1:31" s="93" customFormat="1" ht="66" customHeight="1" x14ac:dyDescent="0.2">
      <c r="B144" s="89"/>
      <c r="C144" s="314" t="s">
        <v>1149</v>
      </c>
      <c r="D144" s="314"/>
      <c r="E144" s="314"/>
      <c r="F144" s="314"/>
      <c r="G144" s="314"/>
      <c r="H144" s="314"/>
      <c r="I144" s="314"/>
      <c r="J144" s="314"/>
      <c r="K144" s="315"/>
      <c r="L144" s="94"/>
      <c r="M144" s="219"/>
    </row>
    <row r="145" spans="1:65" s="5" customFormat="1" ht="22.9" customHeight="1" x14ac:dyDescent="0.25">
      <c r="A145" s="105"/>
      <c r="B145" s="4"/>
      <c r="C145" s="98" t="s">
        <v>127</v>
      </c>
      <c r="D145" s="105"/>
      <c r="E145" s="105"/>
      <c r="F145" s="105"/>
      <c r="G145" s="105"/>
      <c r="H145" s="105"/>
      <c r="I145" s="105"/>
      <c r="J145" s="99">
        <f>BK145</f>
        <v>0</v>
      </c>
      <c r="K145" s="105"/>
      <c r="L145" s="4"/>
      <c r="M145" s="100"/>
      <c r="N145" s="101"/>
      <c r="O145" s="53"/>
      <c r="P145" s="102">
        <f>P146+P160+P168+P175+P183+P193+P201+P206+P218+P232+P240+P254+P261+P268+P282+P292+P300+P307+P314+P321+P328+P342+P352+P360+P368+P376+P386+P397</f>
        <v>0</v>
      </c>
      <c r="Q145" s="53"/>
      <c r="R145" s="102">
        <f>R146+R160+R168+R175+R183+R193+R201+R206+R218+R232+R240+R254+R261+R268+R282+R292+R300+R307+R314+R321+R328+R342+R352+R360+R368+R376+R386+R397</f>
        <v>0</v>
      </c>
      <c r="S145" s="53"/>
      <c r="T145" s="103">
        <f>T146+T160+T168+T175+T183+T193+T201+T206+T218+T232+T240+T254+T261+T268+T282+T292+T300+T307+T314+T321+T328+T342+T352+T360+T368+T376+T386+T397</f>
        <v>0</v>
      </c>
      <c r="U145" s="105"/>
      <c r="V145" s="105"/>
      <c r="W145" s="105"/>
      <c r="X145" s="105"/>
      <c r="Y145" s="105"/>
      <c r="Z145" s="105"/>
      <c r="AA145" s="105"/>
      <c r="AB145" s="105"/>
      <c r="AC145" s="105"/>
      <c r="AD145" s="105"/>
      <c r="AE145" s="105"/>
      <c r="AT145" s="13" t="s">
        <v>67</v>
      </c>
      <c r="AU145" s="13" t="s">
        <v>92</v>
      </c>
      <c r="BK145" s="104">
        <f>BK146+BK160+BK168+BK175+BK183+BK193+BK201+BK206+BK218+BK232+BK240+BK254+BK261+BK268+BK282+BK292+BK300+BK307+BK314+BK321+BK328+BK342+BK352+BK360+BK368+BK376+BK386+BK397</f>
        <v>0</v>
      </c>
    </row>
    <row r="146" spans="1:65" s="20" customFormat="1" ht="25.9" customHeight="1" x14ac:dyDescent="0.2">
      <c r="B146" s="21"/>
      <c r="D146" s="26" t="s">
        <v>67</v>
      </c>
      <c r="E146" s="39" t="s">
        <v>128</v>
      </c>
      <c r="F146" s="39" t="s">
        <v>330</v>
      </c>
      <c r="J146" s="19">
        <f>BK146</f>
        <v>0</v>
      </c>
      <c r="L146" s="21"/>
      <c r="M146" s="22"/>
      <c r="N146" s="23"/>
      <c r="O146" s="23"/>
      <c r="P146" s="24">
        <f>SUM(P149:P159)</f>
        <v>0</v>
      </c>
      <c r="Q146" s="23"/>
      <c r="R146" s="24">
        <f>SUM(R149:R159)</f>
        <v>0</v>
      </c>
      <c r="S146" s="23"/>
      <c r="T146" s="25">
        <f>SUM(T149:T159)</f>
        <v>0</v>
      </c>
      <c r="AR146" s="26" t="s">
        <v>74</v>
      </c>
      <c r="AT146" s="27" t="s">
        <v>67</v>
      </c>
      <c r="AU146" s="27" t="s">
        <v>68</v>
      </c>
      <c r="AY146" s="26" t="s">
        <v>130</v>
      </c>
      <c r="BK146" s="28">
        <f>SUM(BK149:BK159)</f>
        <v>0</v>
      </c>
    </row>
    <row r="147" spans="1:65" s="5" customFormat="1" ht="10.15" customHeight="1" x14ac:dyDescent="0.2">
      <c r="B147" s="45"/>
      <c r="D147" s="216" t="s">
        <v>340</v>
      </c>
      <c r="F147" s="116" t="s">
        <v>1151</v>
      </c>
      <c r="G147" s="117"/>
      <c r="K147" s="181"/>
      <c r="L147" s="94"/>
      <c r="M147" s="52"/>
      <c r="P147" s="126" t="s">
        <v>148</v>
      </c>
      <c r="Q147" s="126" t="s">
        <v>74</v>
      </c>
    </row>
    <row r="148" spans="1:65" s="5" customFormat="1" ht="18" customHeight="1" x14ac:dyDescent="0.2">
      <c r="B148" s="45"/>
      <c r="D148" s="216" t="s">
        <v>340</v>
      </c>
      <c r="F148" s="116" t="s">
        <v>1152</v>
      </c>
      <c r="H148" s="117">
        <f>13.73+(34*1.59*0.155)</f>
        <v>22.109300000000001</v>
      </c>
      <c r="K148" s="181"/>
      <c r="L148" s="94"/>
      <c r="M148" s="52"/>
      <c r="P148" s="126" t="s">
        <v>148</v>
      </c>
      <c r="Q148" s="126" t="s">
        <v>74</v>
      </c>
    </row>
    <row r="149" spans="1:65" s="5" customFormat="1" ht="16.5" customHeight="1" x14ac:dyDescent="0.2">
      <c r="A149" s="105"/>
      <c r="B149" s="4"/>
      <c r="C149" s="33" t="s">
        <v>74</v>
      </c>
      <c r="D149" s="33" t="s">
        <v>131</v>
      </c>
      <c r="E149" s="34" t="s">
        <v>331</v>
      </c>
      <c r="F149" s="7" t="s">
        <v>332</v>
      </c>
      <c r="G149" s="35" t="s">
        <v>333</v>
      </c>
      <c r="H149" s="36">
        <v>59.91</v>
      </c>
      <c r="I149" s="1"/>
      <c r="J149" s="6">
        <f>ROUND(I149*H149,2)</f>
        <v>0</v>
      </c>
      <c r="K149" s="7" t="s">
        <v>1</v>
      </c>
      <c r="L149" s="4"/>
      <c r="M149" s="8" t="s">
        <v>1</v>
      </c>
      <c r="N149" s="9" t="s">
        <v>33</v>
      </c>
      <c r="O149" s="10">
        <v>0</v>
      </c>
      <c r="P149" s="10">
        <f>O149*H149</f>
        <v>0</v>
      </c>
      <c r="Q149" s="10">
        <v>0</v>
      </c>
      <c r="R149" s="10">
        <f>Q149*H149</f>
        <v>0</v>
      </c>
      <c r="S149" s="10">
        <v>0</v>
      </c>
      <c r="T149" s="11">
        <f>S149*H149</f>
        <v>0</v>
      </c>
      <c r="U149" s="105"/>
      <c r="V149" s="105"/>
      <c r="W149" s="105"/>
      <c r="X149" s="105"/>
      <c r="Y149" s="105"/>
      <c r="Z149" s="105"/>
      <c r="AA149" s="105"/>
      <c r="AB149" s="105"/>
      <c r="AC149" s="105"/>
      <c r="AD149" s="105"/>
      <c r="AE149" s="105"/>
      <c r="AR149" s="12" t="s">
        <v>135</v>
      </c>
      <c r="AT149" s="12" t="s">
        <v>131</v>
      </c>
      <c r="AU149" s="12" t="s">
        <v>74</v>
      </c>
      <c r="AY149" s="13" t="s">
        <v>130</v>
      </c>
      <c r="BE149" s="14">
        <f>IF(N149="základní",J149,0)</f>
        <v>0</v>
      </c>
      <c r="BF149" s="14">
        <f>IF(N149="snížená",J149,0)</f>
        <v>0</v>
      </c>
      <c r="BG149" s="14">
        <f>IF(N149="zákl. přenesená",J149,0)</f>
        <v>0</v>
      </c>
      <c r="BH149" s="14">
        <f>IF(N149="sníž. přenesená",J149,0)</f>
        <v>0</v>
      </c>
      <c r="BI149" s="14">
        <f>IF(N149="nulová",J149,0)</f>
        <v>0</v>
      </c>
      <c r="BJ149" s="13" t="s">
        <v>74</v>
      </c>
      <c r="BK149" s="14">
        <f>ROUND(I149*H149,2)</f>
        <v>0</v>
      </c>
      <c r="BL149" s="13" t="s">
        <v>135</v>
      </c>
      <c r="BM149" s="12" t="s">
        <v>76</v>
      </c>
    </row>
    <row r="150" spans="1:65" s="5" customFormat="1" ht="16.5" customHeight="1" x14ac:dyDescent="0.2">
      <c r="A150" s="105"/>
      <c r="B150" s="4"/>
      <c r="C150" s="33" t="s">
        <v>76</v>
      </c>
      <c r="D150" s="33" t="s">
        <v>131</v>
      </c>
      <c r="E150" s="34" t="s">
        <v>334</v>
      </c>
      <c r="F150" s="7" t="s">
        <v>335</v>
      </c>
      <c r="G150" s="35" t="s">
        <v>157</v>
      </c>
      <c r="H150" s="36">
        <v>64</v>
      </c>
      <c r="I150" s="1"/>
      <c r="J150" s="6">
        <f>ROUND(I150*H150,2)</f>
        <v>0</v>
      </c>
      <c r="K150" s="7" t="s">
        <v>1</v>
      </c>
      <c r="L150" s="4"/>
      <c r="M150" s="8" t="s">
        <v>1</v>
      </c>
      <c r="N150" s="9" t="s">
        <v>33</v>
      </c>
      <c r="O150" s="10">
        <v>0</v>
      </c>
      <c r="P150" s="10">
        <f>O150*H150</f>
        <v>0</v>
      </c>
      <c r="Q150" s="10">
        <v>0</v>
      </c>
      <c r="R150" s="10">
        <f>Q150*H150</f>
        <v>0</v>
      </c>
      <c r="S150" s="10">
        <v>0</v>
      </c>
      <c r="T150" s="11">
        <f>S150*H150</f>
        <v>0</v>
      </c>
      <c r="U150" s="105"/>
      <c r="V150" s="105"/>
      <c r="W150" s="105"/>
      <c r="X150" s="105"/>
      <c r="Y150" s="105"/>
      <c r="Z150" s="105"/>
      <c r="AA150" s="105"/>
      <c r="AB150" s="105"/>
      <c r="AC150" s="105"/>
      <c r="AD150" s="105"/>
      <c r="AE150" s="105"/>
      <c r="AR150" s="12" t="s">
        <v>135</v>
      </c>
      <c r="AT150" s="12" t="s">
        <v>131</v>
      </c>
      <c r="AU150" s="12" t="s">
        <v>74</v>
      </c>
      <c r="AY150" s="13" t="s">
        <v>130</v>
      </c>
      <c r="BE150" s="14">
        <f>IF(N150="základní",J150,0)</f>
        <v>0</v>
      </c>
      <c r="BF150" s="14">
        <f>IF(N150="snížená",J150,0)</f>
        <v>0</v>
      </c>
      <c r="BG150" s="14">
        <f>IF(N150="zákl. přenesená",J150,0)</f>
        <v>0</v>
      </c>
      <c r="BH150" s="14">
        <f>IF(N150="sníž. přenesená",J150,0)</f>
        <v>0</v>
      </c>
      <c r="BI150" s="14">
        <f>IF(N150="nulová",J150,0)</f>
        <v>0</v>
      </c>
      <c r="BJ150" s="13" t="s">
        <v>74</v>
      </c>
      <c r="BK150" s="14">
        <f>ROUND(I150*H150,2)</f>
        <v>0</v>
      </c>
      <c r="BL150" s="13" t="s">
        <v>135</v>
      </c>
      <c r="BM150" s="12" t="s">
        <v>135</v>
      </c>
    </row>
    <row r="151" spans="1:65" s="5" customFormat="1" ht="16.5" customHeight="1" x14ac:dyDescent="0.2">
      <c r="A151" s="105"/>
      <c r="B151" s="4"/>
      <c r="C151" s="33" t="s">
        <v>141</v>
      </c>
      <c r="D151" s="33" t="s">
        <v>131</v>
      </c>
      <c r="E151" s="34" t="s">
        <v>336</v>
      </c>
      <c r="F151" s="7" t="s">
        <v>337</v>
      </c>
      <c r="G151" s="35" t="s">
        <v>333</v>
      </c>
      <c r="H151" s="36">
        <v>59.91</v>
      </c>
      <c r="I151" s="1"/>
      <c r="J151" s="6">
        <f>ROUND(I151*H151,2)</f>
        <v>0</v>
      </c>
      <c r="K151" s="7" t="s">
        <v>1</v>
      </c>
      <c r="L151" s="4"/>
      <c r="M151" s="8" t="s">
        <v>1</v>
      </c>
      <c r="N151" s="9" t="s">
        <v>33</v>
      </c>
      <c r="O151" s="10">
        <v>0</v>
      </c>
      <c r="P151" s="10">
        <f>O151*H151</f>
        <v>0</v>
      </c>
      <c r="Q151" s="10">
        <v>0</v>
      </c>
      <c r="R151" s="10">
        <f>Q151*H151</f>
        <v>0</v>
      </c>
      <c r="S151" s="10">
        <v>0</v>
      </c>
      <c r="T151" s="11">
        <f>S151*H151</f>
        <v>0</v>
      </c>
      <c r="U151" s="105"/>
      <c r="V151" s="105"/>
      <c r="W151" s="105"/>
      <c r="X151" s="105"/>
      <c r="Y151" s="105"/>
      <c r="Z151" s="105"/>
      <c r="AA151" s="105"/>
      <c r="AB151" s="105"/>
      <c r="AC151" s="105"/>
      <c r="AD151" s="105"/>
      <c r="AE151" s="105"/>
      <c r="AR151" s="12" t="s">
        <v>135</v>
      </c>
      <c r="AT151" s="12" t="s">
        <v>131</v>
      </c>
      <c r="AU151" s="12" t="s">
        <v>74</v>
      </c>
      <c r="AY151" s="13" t="s">
        <v>130</v>
      </c>
      <c r="BE151" s="14">
        <f>IF(N151="základní",J151,0)</f>
        <v>0</v>
      </c>
      <c r="BF151" s="14">
        <f>IF(N151="snížená",J151,0)</f>
        <v>0</v>
      </c>
      <c r="BG151" s="14">
        <f>IF(N151="zákl. přenesená",J151,0)</f>
        <v>0</v>
      </c>
      <c r="BH151" s="14">
        <f>IF(N151="sníž. přenesená",J151,0)</f>
        <v>0</v>
      </c>
      <c r="BI151" s="14">
        <f>IF(N151="nulová",J151,0)</f>
        <v>0</v>
      </c>
      <c r="BJ151" s="13" t="s">
        <v>74</v>
      </c>
      <c r="BK151" s="14">
        <f>ROUND(I151*H151,2)</f>
        <v>0</v>
      </c>
      <c r="BL151" s="13" t="s">
        <v>135</v>
      </c>
      <c r="BM151" s="12" t="s">
        <v>144</v>
      </c>
    </row>
    <row r="152" spans="1:65" s="5" customFormat="1" ht="16.5" customHeight="1" x14ac:dyDescent="0.2">
      <c r="A152" s="105"/>
      <c r="B152" s="4"/>
      <c r="C152" s="33" t="s">
        <v>135</v>
      </c>
      <c r="D152" s="33" t="s">
        <v>131</v>
      </c>
      <c r="E152" s="34" t="s">
        <v>338</v>
      </c>
      <c r="F152" s="7" t="s">
        <v>339</v>
      </c>
      <c r="G152" s="35" t="s">
        <v>134</v>
      </c>
      <c r="H152" s="36">
        <v>8.6820000000000004</v>
      </c>
      <c r="I152" s="1"/>
      <c r="J152" s="6">
        <f>ROUND(I152*H152,2)</f>
        <v>0</v>
      </c>
      <c r="K152" s="7" t="s">
        <v>1</v>
      </c>
      <c r="L152" s="4"/>
      <c r="M152" s="8" t="s">
        <v>1</v>
      </c>
      <c r="N152" s="9" t="s">
        <v>33</v>
      </c>
      <c r="O152" s="10">
        <v>0</v>
      </c>
      <c r="P152" s="10">
        <f>O152*H152</f>
        <v>0</v>
      </c>
      <c r="Q152" s="10">
        <v>0</v>
      </c>
      <c r="R152" s="10">
        <f>Q152*H152</f>
        <v>0</v>
      </c>
      <c r="S152" s="10">
        <v>0</v>
      </c>
      <c r="T152" s="11">
        <f>S152*H152</f>
        <v>0</v>
      </c>
      <c r="U152" s="105"/>
      <c r="V152" s="105"/>
      <c r="W152" s="105"/>
      <c r="X152" s="105"/>
      <c r="Y152" s="105"/>
      <c r="Z152" s="105"/>
      <c r="AA152" s="105"/>
      <c r="AB152" s="105"/>
      <c r="AC152" s="105"/>
      <c r="AD152" s="105"/>
      <c r="AE152" s="105"/>
      <c r="AR152" s="12" t="s">
        <v>135</v>
      </c>
      <c r="AT152" s="12" t="s">
        <v>131</v>
      </c>
      <c r="AU152" s="12" t="s">
        <v>74</v>
      </c>
      <c r="AY152" s="13" t="s">
        <v>130</v>
      </c>
      <c r="BE152" s="14">
        <f>IF(N152="základní",J152,0)</f>
        <v>0</v>
      </c>
      <c r="BF152" s="14">
        <f>IF(N152="snížená",J152,0)</f>
        <v>0</v>
      </c>
      <c r="BG152" s="14">
        <f>IF(N152="zákl. přenesená",J152,0)</f>
        <v>0</v>
      </c>
      <c r="BH152" s="14">
        <f>IF(N152="sníž. přenesená",J152,0)</f>
        <v>0</v>
      </c>
      <c r="BI152" s="14">
        <f>IF(N152="nulová",J152,0)</f>
        <v>0</v>
      </c>
      <c r="BJ152" s="13" t="s">
        <v>74</v>
      </c>
      <c r="BK152" s="14">
        <f>ROUND(I152*H152,2)</f>
        <v>0</v>
      </c>
      <c r="BL152" s="13" t="s">
        <v>135</v>
      </c>
      <c r="BM152" s="12" t="s">
        <v>147</v>
      </c>
    </row>
    <row r="153" spans="1:65" s="152" customFormat="1" x14ac:dyDescent="0.2">
      <c r="B153" s="210"/>
      <c r="D153" s="37" t="s">
        <v>340</v>
      </c>
      <c r="E153" s="161" t="s">
        <v>1</v>
      </c>
      <c r="F153" s="211" t="s">
        <v>341</v>
      </c>
      <c r="H153" s="212"/>
      <c r="L153" s="210"/>
      <c r="M153" s="159"/>
      <c r="N153" s="154"/>
      <c r="O153" s="154"/>
      <c r="P153" s="154"/>
      <c r="Q153" s="154"/>
      <c r="R153" s="154"/>
      <c r="S153" s="154"/>
      <c r="T153" s="160"/>
      <c r="AT153" s="161" t="s">
        <v>340</v>
      </c>
      <c r="AU153" s="161" t="s">
        <v>74</v>
      </c>
      <c r="AV153" s="152" t="s">
        <v>76</v>
      </c>
      <c r="AW153" s="152" t="s">
        <v>25</v>
      </c>
      <c r="AX153" s="152" t="s">
        <v>68</v>
      </c>
      <c r="AY153" s="161" t="s">
        <v>130</v>
      </c>
    </row>
    <row r="154" spans="1:65" s="162" customFormat="1" x14ac:dyDescent="0.2">
      <c r="B154" s="213"/>
      <c r="D154" s="37" t="s">
        <v>340</v>
      </c>
      <c r="E154" s="171" t="s">
        <v>1</v>
      </c>
      <c r="F154" s="214" t="s">
        <v>342</v>
      </c>
      <c r="H154" s="215">
        <v>8.6820000000000004</v>
      </c>
      <c r="L154" s="213"/>
      <c r="M154" s="169"/>
      <c r="N154" s="164"/>
      <c r="O154" s="164"/>
      <c r="P154" s="164"/>
      <c r="Q154" s="164"/>
      <c r="R154" s="164"/>
      <c r="S154" s="164"/>
      <c r="T154" s="170"/>
      <c r="AT154" s="171" t="s">
        <v>340</v>
      </c>
      <c r="AU154" s="171" t="s">
        <v>74</v>
      </c>
      <c r="AV154" s="162" t="s">
        <v>135</v>
      </c>
      <c r="AW154" s="162" t="s">
        <v>25</v>
      </c>
      <c r="AX154" s="162" t="s">
        <v>74</v>
      </c>
      <c r="AY154" s="171" t="s">
        <v>130</v>
      </c>
    </row>
    <row r="155" spans="1:65" s="5" customFormat="1" ht="16.5" customHeight="1" x14ac:dyDescent="0.2">
      <c r="A155" s="105"/>
      <c r="B155" s="4"/>
      <c r="C155" s="33" t="s">
        <v>150</v>
      </c>
      <c r="D155" s="33" t="s">
        <v>131</v>
      </c>
      <c r="E155" s="34" t="s">
        <v>343</v>
      </c>
      <c r="F155" s="7" t="s">
        <v>344</v>
      </c>
      <c r="G155" s="35" t="s">
        <v>134</v>
      </c>
      <c r="H155" s="36">
        <v>8.6820000000000004</v>
      </c>
      <c r="I155" s="1"/>
      <c r="J155" s="6">
        <f>ROUND(I155*H155,2)</f>
        <v>0</v>
      </c>
      <c r="K155" s="7" t="s">
        <v>1</v>
      </c>
      <c r="L155" s="4"/>
      <c r="M155" s="8" t="s">
        <v>1</v>
      </c>
      <c r="N155" s="9" t="s">
        <v>33</v>
      </c>
      <c r="O155" s="10">
        <v>0</v>
      </c>
      <c r="P155" s="10">
        <f>O155*H155</f>
        <v>0</v>
      </c>
      <c r="Q155" s="10">
        <v>0</v>
      </c>
      <c r="R155" s="10">
        <f>Q155*H155</f>
        <v>0</v>
      </c>
      <c r="S155" s="10">
        <v>0</v>
      </c>
      <c r="T155" s="11">
        <f>S155*H155</f>
        <v>0</v>
      </c>
      <c r="U155" s="105"/>
      <c r="V155" s="105"/>
      <c r="W155" s="105"/>
      <c r="X155" s="105"/>
      <c r="Y155" s="105"/>
      <c r="Z155" s="105"/>
      <c r="AA155" s="105"/>
      <c r="AB155" s="105"/>
      <c r="AC155" s="105"/>
      <c r="AD155" s="105"/>
      <c r="AE155" s="105"/>
      <c r="AR155" s="12" t="s">
        <v>135</v>
      </c>
      <c r="AT155" s="12" t="s">
        <v>131</v>
      </c>
      <c r="AU155" s="12" t="s">
        <v>74</v>
      </c>
      <c r="AY155" s="13" t="s">
        <v>130</v>
      </c>
      <c r="BE155" s="14">
        <f>IF(N155="základní",J155,0)</f>
        <v>0</v>
      </c>
      <c r="BF155" s="14">
        <f>IF(N155="snížená",J155,0)</f>
        <v>0</v>
      </c>
      <c r="BG155" s="14">
        <f>IF(N155="zákl. přenesená",J155,0)</f>
        <v>0</v>
      </c>
      <c r="BH155" s="14">
        <f>IF(N155="sníž. přenesená",J155,0)</f>
        <v>0</v>
      </c>
      <c r="BI155" s="14">
        <f>IF(N155="nulová",J155,0)</f>
        <v>0</v>
      </c>
      <c r="BJ155" s="13" t="s">
        <v>74</v>
      </c>
      <c r="BK155" s="14">
        <f>ROUND(I155*H155,2)</f>
        <v>0</v>
      </c>
      <c r="BL155" s="13" t="s">
        <v>135</v>
      </c>
      <c r="BM155" s="12" t="s">
        <v>72</v>
      </c>
    </row>
    <row r="156" spans="1:65" s="5" customFormat="1" ht="16.5" customHeight="1" x14ac:dyDescent="0.2">
      <c r="A156" s="105"/>
      <c r="B156" s="4"/>
      <c r="C156" s="33" t="s">
        <v>144</v>
      </c>
      <c r="D156" s="33" t="s">
        <v>131</v>
      </c>
      <c r="E156" s="34" t="s">
        <v>345</v>
      </c>
      <c r="F156" s="7" t="s">
        <v>346</v>
      </c>
      <c r="G156" s="35" t="s">
        <v>134</v>
      </c>
      <c r="H156" s="36">
        <v>30.791</v>
      </c>
      <c r="I156" s="1"/>
      <c r="J156" s="6">
        <f>ROUND(I156*H156,2)</f>
        <v>0</v>
      </c>
      <c r="K156" s="7" t="s">
        <v>1</v>
      </c>
      <c r="L156" s="4"/>
      <c r="M156" s="8" t="s">
        <v>1</v>
      </c>
      <c r="N156" s="9" t="s">
        <v>33</v>
      </c>
      <c r="O156" s="10">
        <v>0</v>
      </c>
      <c r="P156" s="10">
        <f>O156*H156</f>
        <v>0</v>
      </c>
      <c r="Q156" s="10">
        <v>0</v>
      </c>
      <c r="R156" s="10">
        <f>Q156*H156</f>
        <v>0</v>
      </c>
      <c r="S156" s="10">
        <v>0</v>
      </c>
      <c r="T156" s="11">
        <f>S156*H156</f>
        <v>0</v>
      </c>
      <c r="U156" s="105"/>
      <c r="V156" s="105"/>
      <c r="W156" s="105"/>
      <c r="X156" s="105"/>
      <c r="Y156" s="105"/>
      <c r="Z156" s="105"/>
      <c r="AA156" s="105"/>
      <c r="AB156" s="105"/>
      <c r="AC156" s="105"/>
      <c r="AD156" s="105"/>
      <c r="AE156" s="105"/>
      <c r="AR156" s="12" t="s">
        <v>135</v>
      </c>
      <c r="AT156" s="12" t="s">
        <v>131</v>
      </c>
      <c r="AU156" s="12" t="s">
        <v>74</v>
      </c>
      <c r="AY156" s="13" t="s">
        <v>130</v>
      </c>
      <c r="BE156" s="14">
        <f>IF(N156="základní",J156,0)</f>
        <v>0</v>
      </c>
      <c r="BF156" s="14">
        <f>IF(N156="snížená",J156,0)</f>
        <v>0</v>
      </c>
      <c r="BG156" s="14">
        <f>IF(N156="zákl. přenesená",J156,0)</f>
        <v>0</v>
      </c>
      <c r="BH156" s="14">
        <f>IF(N156="sníž. přenesená",J156,0)</f>
        <v>0</v>
      </c>
      <c r="BI156" s="14">
        <f>IF(N156="nulová",J156,0)</f>
        <v>0</v>
      </c>
      <c r="BJ156" s="13" t="s">
        <v>74</v>
      </c>
      <c r="BK156" s="14">
        <f>ROUND(I156*H156,2)</f>
        <v>0</v>
      </c>
      <c r="BL156" s="13" t="s">
        <v>135</v>
      </c>
      <c r="BM156" s="12" t="s">
        <v>79</v>
      </c>
    </row>
    <row r="157" spans="1:65" s="152" customFormat="1" x14ac:dyDescent="0.2">
      <c r="B157" s="210"/>
      <c r="D157" s="37" t="s">
        <v>340</v>
      </c>
      <c r="E157" s="161" t="s">
        <v>1</v>
      </c>
      <c r="F157" s="211" t="s">
        <v>347</v>
      </c>
      <c r="H157" s="212"/>
      <c r="L157" s="210"/>
      <c r="M157" s="159"/>
      <c r="N157" s="154"/>
      <c r="O157" s="154"/>
      <c r="P157" s="154"/>
      <c r="Q157" s="154"/>
      <c r="R157" s="154"/>
      <c r="S157" s="154"/>
      <c r="T157" s="160"/>
      <c r="AT157" s="161" t="s">
        <v>340</v>
      </c>
      <c r="AU157" s="161" t="s">
        <v>74</v>
      </c>
      <c r="AV157" s="152" t="s">
        <v>76</v>
      </c>
      <c r="AW157" s="152" t="s">
        <v>25</v>
      </c>
      <c r="AX157" s="152" t="s">
        <v>68</v>
      </c>
      <c r="AY157" s="161" t="s">
        <v>130</v>
      </c>
    </row>
    <row r="158" spans="1:65" s="162" customFormat="1" x14ac:dyDescent="0.2">
      <c r="B158" s="213"/>
      <c r="D158" s="37" t="s">
        <v>340</v>
      </c>
      <c r="E158" s="171" t="s">
        <v>1</v>
      </c>
      <c r="F158" s="214" t="s">
        <v>342</v>
      </c>
      <c r="H158" s="215">
        <v>30.791</v>
      </c>
      <c r="L158" s="213"/>
      <c r="M158" s="169"/>
      <c r="N158" s="164"/>
      <c r="O158" s="164"/>
      <c r="P158" s="164"/>
      <c r="Q158" s="164"/>
      <c r="R158" s="164"/>
      <c r="S158" s="164"/>
      <c r="T158" s="170"/>
      <c r="AT158" s="171" t="s">
        <v>340</v>
      </c>
      <c r="AU158" s="171" t="s">
        <v>74</v>
      </c>
      <c r="AV158" s="162" t="s">
        <v>135</v>
      </c>
      <c r="AW158" s="162" t="s">
        <v>25</v>
      </c>
      <c r="AX158" s="162" t="s">
        <v>74</v>
      </c>
      <c r="AY158" s="171" t="s">
        <v>130</v>
      </c>
    </row>
    <row r="159" spans="1:65" s="5" customFormat="1" ht="16.5" customHeight="1" x14ac:dyDescent="0.2">
      <c r="A159" s="105"/>
      <c r="B159" s="4"/>
      <c r="C159" s="33" t="s">
        <v>158</v>
      </c>
      <c r="D159" s="33" t="s">
        <v>131</v>
      </c>
      <c r="E159" s="34" t="s">
        <v>348</v>
      </c>
      <c r="F159" s="7" t="s">
        <v>349</v>
      </c>
      <c r="G159" s="35" t="s">
        <v>134</v>
      </c>
      <c r="H159" s="36">
        <v>30.791</v>
      </c>
      <c r="I159" s="1"/>
      <c r="J159" s="6">
        <f>ROUND(I159*H159,2)</f>
        <v>0</v>
      </c>
      <c r="K159" s="7" t="s">
        <v>1</v>
      </c>
      <c r="L159" s="4"/>
      <c r="M159" s="8" t="s">
        <v>1</v>
      </c>
      <c r="N159" s="9" t="s">
        <v>33</v>
      </c>
      <c r="O159" s="10">
        <v>0</v>
      </c>
      <c r="P159" s="10">
        <f>O159*H159</f>
        <v>0</v>
      </c>
      <c r="Q159" s="10">
        <v>0</v>
      </c>
      <c r="R159" s="10">
        <f>Q159*H159</f>
        <v>0</v>
      </c>
      <c r="S159" s="10">
        <v>0</v>
      </c>
      <c r="T159" s="11">
        <f>S159*H159</f>
        <v>0</v>
      </c>
      <c r="U159" s="105"/>
      <c r="V159" s="105"/>
      <c r="W159" s="105"/>
      <c r="X159" s="105"/>
      <c r="Y159" s="105"/>
      <c r="Z159" s="105"/>
      <c r="AA159" s="105"/>
      <c r="AB159" s="105"/>
      <c r="AC159" s="105"/>
      <c r="AD159" s="105"/>
      <c r="AE159" s="105"/>
      <c r="AR159" s="12" t="s">
        <v>135</v>
      </c>
      <c r="AT159" s="12" t="s">
        <v>131</v>
      </c>
      <c r="AU159" s="12" t="s">
        <v>74</v>
      </c>
      <c r="AY159" s="13" t="s">
        <v>130</v>
      </c>
      <c r="BE159" s="14">
        <f>IF(N159="základní",J159,0)</f>
        <v>0</v>
      </c>
      <c r="BF159" s="14">
        <f>IF(N159="snížená",J159,0)</f>
        <v>0</v>
      </c>
      <c r="BG159" s="14">
        <f>IF(N159="zákl. přenesená",J159,0)</f>
        <v>0</v>
      </c>
      <c r="BH159" s="14">
        <f>IF(N159="sníž. přenesená",J159,0)</f>
        <v>0</v>
      </c>
      <c r="BI159" s="14">
        <f>IF(N159="nulová",J159,0)</f>
        <v>0</v>
      </c>
      <c r="BJ159" s="13" t="s">
        <v>74</v>
      </c>
      <c r="BK159" s="14">
        <f>ROUND(I159*H159,2)</f>
        <v>0</v>
      </c>
      <c r="BL159" s="13" t="s">
        <v>135</v>
      </c>
      <c r="BM159" s="12" t="s">
        <v>83</v>
      </c>
    </row>
    <row r="160" spans="1:65" s="20" customFormat="1" ht="25.9" customHeight="1" x14ac:dyDescent="0.2">
      <c r="B160" s="21"/>
      <c r="D160" s="26" t="s">
        <v>67</v>
      </c>
      <c r="E160" s="39" t="s">
        <v>139</v>
      </c>
      <c r="F160" s="39" t="s">
        <v>350</v>
      </c>
      <c r="J160" s="19">
        <f>BK160</f>
        <v>0</v>
      </c>
      <c r="L160" s="21"/>
      <c r="M160" s="22"/>
      <c r="N160" s="23"/>
      <c r="O160" s="23"/>
      <c r="P160" s="24">
        <f>SUM(P162:P167)</f>
        <v>0</v>
      </c>
      <c r="Q160" s="23"/>
      <c r="R160" s="24">
        <f>SUM(R162:R167)</f>
        <v>0</v>
      </c>
      <c r="S160" s="23"/>
      <c r="T160" s="25">
        <f>SUM(T162:T167)</f>
        <v>0</v>
      </c>
      <c r="AR160" s="26" t="s">
        <v>74</v>
      </c>
      <c r="AT160" s="27" t="s">
        <v>67</v>
      </c>
      <c r="AU160" s="27" t="s">
        <v>68</v>
      </c>
      <c r="AY160" s="26" t="s">
        <v>130</v>
      </c>
      <c r="BK160" s="28">
        <f>SUM(BK162:BK167)</f>
        <v>0</v>
      </c>
    </row>
    <row r="161" spans="1:65" s="5" customFormat="1" ht="10.15" customHeight="1" x14ac:dyDescent="0.2">
      <c r="B161" s="45"/>
      <c r="D161" s="216" t="s">
        <v>340</v>
      </c>
      <c r="F161" s="116" t="s">
        <v>1153</v>
      </c>
      <c r="G161" s="117"/>
      <c r="K161" s="181"/>
      <c r="L161" s="94"/>
      <c r="M161" s="52"/>
      <c r="P161" s="126" t="s">
        <v>148</v>
      </c>
      <c r="Q161" s="126" t="s">
        <v>74</v>
      </c>
    </row>
    <row r="162" spans="1:65" s="5" customFormat="1" ht="16.5" customHeight="1" x14ac:dyDescent="0.2">
      <c r="A162" s="105"/>
      <c r="B162" s="4"/>
      <c r="C162" s="33" t="s">
        <v>147</v>
      </c>
      <c r="D162" s="33" t="s">
        <v>131</v>
      </c>
      <c r="E162" s="34" t="s">
        <v>351</v>
      </c>
      <c r="F162" s="7" t="s">
        <v>352</v>
      </c>
      <c r="G162" s="35" t="s">
        <v>157</v>
      </c>
      <c r="H162" s="36">
        <v>1</v>
      </c>
      <c r="I162" s="1"/>
      <c r="J162" s="6">
        <f t="shared" ref="J162:J167" si="0">ROUND(I162*H162,2)</f>
        <v>0</v>
      </c>
      <c r="K162" s="7" t="s">
        <v>1</v>
      </c>
      <c r="L162" s="4"/>
      <c r="M162" s="8" t="s">
        <v>1</v>
      </c>
      <c r="N162" s="9" t="s">
        <v>33</v>
      </c>
      <c r="O162" s="10">
        <v>0</v>
      </c>
      <c r="P162" s="10">
        <f t="shared" ref="P162:P167" si="1">O162*H162</f>
        <v>0</v>
      </c>
      <c r="Q162" s="10">
        <v>0</v>
      </c>
      <c r="R162" s="10">
        <f t="shared" ref="R162:R167" si="2">Q162*H162</f>
        <v>0</v>
      </c>
      <c r="S162" s="10">
        <v>0</v>
      </c>
      <c r="T162" s="11">
        <f t="shared" ref="T162:T167" si="3">S162*H162</f>
        <v>0</v>
      </c>
      <c r="U162" s="105"/>
      <c r="V162" s="105"/>
      <c r="W162" s="105"/>
      <c r="X162" s="105"/>
      <c r="Y162" s="105"/>
      <c r="Z162" s="105"/>
      <c r="AA162" s="105"/>
      <c r="AB162" s="105"/>
      <c r="AC162" s="105"/>
      <c r="AD162" s="105"/>
      <c r="AE162" s="105"/>
      <c r="AR162" s="12" t="s">
        <v>135</v>
      </c>
      <c r="AT162" s="12" t="s">
        <v>131</v>
      </c>
      <c r="AU162" s="12" t="s">
        <v>74</v>
      </c>
      <c r="AY162" s="13" t="s">
        <v>130</v>
      </c>
      <c r="BE162" s="14">
        <f t="shared" ref="BE162:BE167" si="4">IF(N162="základní",J162,0)</f>
        <v>0</v>
      </c>
      <c r="BF162" s="14">
        <f t="shared" ref="BF162:BF167" si="5">IF(N162="snížená",J162,0)</f>
        <v>0</v>
      </c>
      <c r="BG162" s="14">
        <f t="shared" ref="BG162:BG167" si="6">IF(N162="zákl. přenesená",J162,0)</f>
        <v>0</v>
      </c>
      <c r="BH162" s="14">
        <f t="shared" ref="BH162:BH167" si="7">IF(N162="sníž. přenesená",J162,0)</f>
        <v>0</v>
      </c>
      <c r="BI162" s="14">
        <f t="shared" ref="BI162:BI167" si="8">IF(N162="nulová",J162,0)</f>
        <v>0</v>
      </c>
      <c r="BJ162" s="13" t="s">
        <v>74</v>
      </c>
      <c r="BK162" s="14">
        <f t="shared" ref="BK162:BK167" si="9">ROUND(I162*H162,2)</f>
        <v>0</v>
      </c>
      <c r="BL162" s="13" t="s">
        <v>135</v>
      </c>
      <c r="BM162" s="12" t="s">
        <v>163</v>
      </c>
    </row>
    <row r="163" spans="1:65" s="5" customFormat="1" ht="16.5" customHeight="1" x14ac:dyDescent="0.2">
      <c r="A163" s="105"/>
      <c r="B163" s="4"/>
      <c r="C163" s="33" t="s">
        <v>164</v>
      </c>
      <c r="D163" s="33" t="s">
        <v>131</v>
      </c>
      <c r="E163" s="34" t="s">
        <v>145</v>
      </c>
      <c r="F163" s="7" t="s">
        <v>353</v>
      </c>
      <c r="G163" s="35" t="s">
        <v>157</v>
      </c>
      <c r="H163" s="36">
        <v>1</v>
      </c>
      <c r="I163" s="1"/>
      <c r="J163" s="6">
        <f t="shared" si="0"/>
        <v>0</v>
      </c>
      <c r="K163" s="7" t="s">
        <v>1</v>
      </c>
      <c r="L163" s="4"/>
      <c r="M163" s="8" t="s">
        <v>1</v>
      </c>
      <c r="N163" s="9" t="s">
        <v>33</v>
      </c>
      <c r="O163" s="10">
        <v>0</v>
      </c>
      <c r="P163" s="10">
        <f t="shared" si="1"/>
        <v>0</v>
      </c>
      <c r="Q163" s="10">
        <v>0</v>
      </c>
      <c r="R163" s="10">
        <f t="shared" si="2"/>
        <v>0</v>
      </c>
      <c r="S163" s="10">
        <v>0</v>
      </c>
      <c r="T163" s="11">
        <f t="shared" si="3"/>
        <v>0</v>
      </c>
      <c r="U163" s="105"/>
      <c r="V163" s="105"/>
      <c r="W163" s="105"/>
      <c r="X163" s="105"/>
      <c r="Y163" s="105"/>
      <c r="Z163" s="105"/>
      <c r="AA163" s="105"/>
      <c r="AB163" s="105"/>
      <c r="AC163" s="105"/>
      <c r="AD163" s="105"/>
      <c r="AE163" s="105"/>
      <c r="AR163" s="12" t="s">
        <v>135</v>
      </c>
      <c r="AT163" s="12" t="s">
        <v>131</v>
      </c>
      <c r="AU163" s="12" t="s">
        <v>74</v>
      </c>
      <c r="AY163" s="13" t="s">
        <v>130</v>
      </c>
      <c r="BE163" s="14">
        <f t="shared" si="4"/>
        <v>0</v>
      </c>
      <c r="BF163" s="14">
        <f t="shared" si="5"/>
        <v>0</v>
      </c>
      <c r="BG163" s="14">
        <f t="shared" si="6"/>
        <v>0</v>
      </c>
      <c r="BH163" s="14">
        <f t="shared" si="7"/>
        <v>0</v>
      </c>
      <c r="BI163" s="14">
        <f t="shared" si="8"/>
        <v>0</v>
      </c>
      <c r="BJ163" s="13" t="s">
        <v>74</v>
      </c>
      <c r="BK163" s="14">
        <f t="shared" si="9"/>
        <v>0</v>
      </c>
      <c r="BL163" s="13" t="s">
        <v>135</v>
      </c>
      <c r="BM163" s="12" t="s">
        <v>165</v>
      </c>
    </row>
    <row r="164" spans="1:65" s="5" customFormat="1" ht="16.5" customHeight="1" x14ac:dyDescent="0.2">
      <c r="A164" s="105"/>
      <c r="B164" s="4"/>
      <c r="C164" s="33" t="s">
        <v>72</v>
      </c>
      <c r="D164" s="33" t="s">
        <v>131</v>
      </c>
      <c r="E164" s="34" t="s">
        <v>354</v>
      </c>
      <c r="F164" s="7" t="s">
        <v>355</v>
      </c>
      <c r="G164" s="35" t="s">
        <v>157</v>
      </c>
      <c r="H164" s="36">
        <v>1</v>
      </c>
      <c r="I164" s="1"/>
      <c r="J164" s="6">
        <f t="shared" si="0"/>
        <v>0</v>
      </c>
      <c r="K164" s="7" t="s">
        <v>1</v>
      </c>
      <c r="L164" s="4"/>
      <c r="M164" s="8" t="s">
        <v>1</v>
      </c>
      <c r="N164" s="9" t="s">
        <v>33</v>
      </c>
      <c r="O164" s="10">
        <v>0</v>
      </c>
      <c r="P164" s="10">
        <f t="shared" si="1"/>
        <v>0</v>
      </c>
      <c r="Q164" s="10">
        <v>0</v>
      </c>
      <c r="R164" s="10">
        <f t="shared" si="2"/>
        <v>0</v>
      </c>
      <c r="S164" s="10">
        <v>0</v>
      </c>
      <c r="T164" s="11">
        <f t="shared" si="3"/>
        <v>0</v>
      </c>
      <c r="U164" s="105"/>
      <c r="V164" s="105"/>
      <c r="W164" s="105"/>
      <c r="X164" s="105"/>
      <c r="Y164" s="105"/>
      <c r="Z164" s="105"/>
      <c r="AA164" s="105"/>
      <c r="AB164" s="105"/>
      <c r="AC164" s="105"/>
      <c r="AD164" s="105"/>
      <c r="AE164" s="105"/>
      <c r="AR164" s="12" t="s">
        <v>135</v>
      </c>
      <c r="AT164" s="12" t="s">
        <v>131</v>
      </c>
      <c r="AU164" s="12" t="s">
        <v>74</v>
      </c>
      <c r="AY164" s="13" t="s">
        <v>130</v>
      </c>
      <c r="BE164" s="14">
        <f t="shared" si="4"/>
        <v>0</v>
      </c>
      <c r="BF164" s="14">
        <f t="shared" si="5"/>
        <v>0</v>
      </c>
      <c r="BG164" s="14">
        <f t="shared" si="6"/>
        <v>0</v>
      </c>
      <c r="BH164" s="14">
        <f t="shared" si="7"/>
        <v>0</v>
      </c>
      <c r="BI164" s="14">
        <f t="shared" si="8"/>
        <v>0</v>
      </c>
      <c r="BJ164" s="13" t="s">
        <v>74</v>
      </c>
      <c r="BK164" s="14">
        <f t="shared" si="9"/>
        <v>0</v>
      </c>
      <c r="BL164" s="13" t="s">
        <v>135</v>
      </c>
      <c r="BM164" s="12" t="s">
        <v>171</v>
      </c>
    </row>
    <row r="165" spans="1:65" s="5" customFormat="1" ht="16.5" customHeight="1" x14ac:dyDescent="0.2">
      <c r="A165" s="105"/>
      <c r="B165" s="4"/>
      <c r="C165" s="33" t="s">
        <v>77</v>
      </c>
      <c r="D165" s="33" t="s">
        <v>131</v>
      </c>
      <c r="E165" s="34" t="s">
        <v>356</v>
      </c>
      <c r="F165" s="7" t="s">
        <v>337</v>
      </c>
      <c r="G165" s="35" t="s">
        <v>157</v>
      </c>
      <c r="H165" s="36">
        <v>1</v>
      </c>
      <c r="I165" s="1"/>
      <c r="J165" s="6">
        <f t="shared" si="0"/>
        <v>0</v>
      </c>
      <c r="K165" s="7" t="s">
        <v>1</v>
      </c>
      <c r="L165" s="4"/>
      <c r="M165" s="8" t="s">
        <v>1</v>
      </c>
      <c r="N165" s="9" t="s">
        <v>33</v>
      </c>
      <c r="O165" s="10">
        <v>0</v>
      </c>
      <c r="P165" s="10">
        <f t="shared" si="1"/>
        <v>0</v>
      </c>
      <c r="Q165" s="10">
        <v>0</v>
      </c>
      <c r="R165" s="10">
        <f t="shared" si="2"/>
        <v>0</v>
      </c>
      <c r="S165" s="10">
        <v>0</v>
      </c>
      <c r="T165" s="11">
        <f t="shared" si="3"/>
        <v>0</v>
      </c>
      <c r="U165" s="105"/>
      <c r="V165" s="105"/>
      <c r="W165" s="105"/>
      <c r="X165" s="105"/>
      <c r="Y165" s="105"/>
      <c r="Z165" s="105"/>
      <c r="AA165" s="105"/>
      <c r="AB165" s="105"/>
      <c r="AC165" s="105"/>
      <c r="AD165" s="105"/>
      <c r="AE165" s="105"/>
      <c r="AR165" s="12" t="s">
        <v>135</v>
      </c>
      <c r="AT165" s="12" t="s">
        <v>131</v>
      </c>
      <c r="AU165" s="12" t="s">
        <v>74</v>
      </c>
      <c r="AY165" s="13" t="s">
        <v>130</v>
      </c>
      <c r="BE165" s="14">
        <f t="shared" si="4"/>
        <v>0</v>
      </c>
      <c r="BF165" s="14">
        <f t="shared" si="5"/>
        <v>0</v>
      </c>
      <c r="BG165" s="14">
        <f t="shared" si="6"/>
        <v>0</v>
      </c>
      <c r="BH165" s="14">
        <f t="shared" si="7"/>
        <v>0</v>
      </c>
      <c r="BI165" s="14">
        <f t="shared" si="8"/>
        <v>0</v>
      </c>
      <c r="BJ165" s="13" t="s">
        <v>74</v>
      </c>
      <c r="BK165" s="14">
        <f t="shared" si="9"/>
        <v>0</v>
      </c>
      <c r="BL165" s="13" t="s">
        <v>135</v>
      </c>
      <c r="BM165" s="12" t="s">
        <v>174</v>
      </c>
    </row>
    <row r="166" spans="1:65" s="5" customFormat="1" ht="16.5" customHeight="1" x14ac:dyDescent="0.2">
      <c r="A166" s="105"/>
      <c r="B166" s="4"/>
      <c r="C166" s="33" t="s">
        <v>79</v>
      </c>
      <c r="D166" s="33" t="s">
        <v>131</v>
      </c>
      <c r="E166" s="34" t="s">
        <v>357</v>
      </c>
      <c r="F166" s="7" t="s">
        <v>143</v>
      </c>
      <c r="G166" s="35" t="s">
        <v>134</v>
      </c>
      <c r="H166" s="36">
        <v>0.93</v>
      </c>
      <c r="I166" s="1"/>
      <c r="J166" s="6">
        <f t="shared" si="0"/>
        <v>0</v>
      </c>
      <c r="K166" s="7" t="s">
        <v>1</v>
      </c>
      <c r="L166" s="4"/>
      <c r="M166" s="8" t="s">
        <v>1</v>
      </c>
      <c r="N166" s="9" t="s">
        <v>33</v>
      </c>
      <c r="O166" s="10">
        <v>0</v>
      </c>
      <c r="P166" s="10">
        <f t="shared" si="1"/>
        <v>0</v>
      </c>
      <c r="Q166" s="10">
        <v>0</v>
      </c>
      <c r="R166" s="10">
        <f t="shared" si="2"/>
        <v>0</v>
      </c>
      <c r="S166" s="10">
        <v>0</v>
      </c>
      <c r="T166" s="11">
        <f t="shared" si="3"/>
        <v>0</v>
      </c>
      <c r="U166" s="105"/>
      <c r="V166" s="105"/>
      <c r="W166" s="105"/>
      <c r="X166" s="105"/>
      <c r="Y166" s="105"/>
      <c r="Z166" s="105"/>
      <c r="AA166" s="105"/>
      <c r="AB166" s="105"/>
      <c r="AC166" s="105"/>
      <c r="AD166" s="105"/>
      <c r="AE166" s="105"/>
      <c r="AR166" s="12" t="s">
        <v>135</v>
      </c>
      <c r="AT166" s="12" t="s">
        <v>131</v>
      </c>
      <c r="AU166" s="12" t="s">
        <v>74</v>
      </c>
      <c r="AY166" s="13" t="s">
        <v>130</v>
      </c>
      <c r="BE166" s="14">
        <f t="shared" si="4"/>
        <v>0</v>
      </c>
      <c r="BF166" s="14">
        <f t="shared" si="5"/>
        <v>0</v>
      </c>
      <c r="BG166" s="14">
        <f t="shared" si="6"/>
        <v>0</v>
      </c>
      <c r="BH166" s="14">
        <f t="shared" si="7"/>
        <v>0</v>
      </c>
      <c r="BI166" s="14">
        <f t="shared" si="8"/>
        <v>0</v>
      </c>
      <c r="BJ166" s="13" t="s">
        <v>74</v>
      </c>
      <c r="BK166" s="14">
        <f t="shared" si="9"/>
        <v>0</v>
      </c>
      <c r="BL166" s="13" t="s">
        <v>135</v>
      </c>
      <c r="BM166" s="12" t="s">
        <v>177</v>
      </c>
    </row>
    <row r="167" spans="1:65" s="5" customFormat="1" ht="16.5" customHeight="1" x14ac:dyDescent="0.2">
      <c r="A167" s="105"/>
      <c r="B167" s="4"/>
      <c r="C167" s="33" t="s">
        <v>81</v>
      </c>
      <c r="D167" s="33" t="s">
        <v>131</v>
      </c>
      <c r="E167" s="34" t="s">
        <v>358</v>
      </c>
      <c r="F167" s="7" t="s">
        <v>359</v>
      </c>
      <c r="G167" s="35" t="s">
        <v>134</v>
      </c>
      <c r="H167" s="36">
        <v>0.93</v>
      </c>
      <c r="I167" s="1"/>
      <c r="J167" s="6">
        <f t="shared" si="0"/>
        <v>0</v>
      </c>
      <c r="K167" s="7" t="s">
        <v>1</v>
      </c>
      <c r="L167" s="4"/>
      <c r="M167" s="8" t="s">
        <v>1</v>
      </c>
      <c r="N167" s="9" t="s">
        <v>33</v>
      </c>
      <c r="O167" s="10">
        <v>0</v>
      </c>
      <c r="P167" s="10">
        <f t="shared" si="1"/>
        <v>0</v>
      </c>
      <c r="Q167" s="10">
        <v>0</v>
      </c>
      <c r="R167" s="10">
        <f t="shared" si="2"/>
        <v>0</v>
      </c>
      <c r="S167" s="10">
        <v>0</v>
      </c>
      <c r="T167" s="11">
        <f t="shared" si="3"/>
        <v>0</v>
      </c>
      <c r="U167" s="105"/>
      <c r="V167" s="105"/>
      <c r="W167" s="105"/>
      <c r="X167" s="105"/>
      <c r="Y167" s="105"/>
      <c r="Z167" s="105"/>
      <c r="AA167" s="105"/>
      <c r="AB167" s="105"/>
      <c r="AC167" s="105"/>
      <c r="AD167" s="105"/>
      <c r="AE167" s="105"/>
      <c r="AR167" s="12" t="s">
        <v>135</v>
      </c>
      <c r="AT167" s="12" t="s">
        <v>131</v>
      </c>
      <c r="AU167" s="12" t="s">
        <v>74</v>
      </c>
      <c r="AY167" s="13" t="s">
        <v>130</v>
      </c>
      <c r="BE167" s="14">
        <f t="shared" si="4"/>
        <v>0</v>
      </c>
      <c r="BF167" s="14">
        <f t="shared" si="5"/>
        <v>0</v>
      </c>
      <c r="BG167" s="14">
        <f t="shared" si="6"/>
        <v>0</v>
      </c>
      <c r="BH167" s="14">
        <f t="shared" si="7"/>
        <v>0</v>
      </c>
      <c r="BI167" s="14">
        <f t="shared" si="8"/>
        <v>0</v>
      </c>
      <c r="BJ167" s="13" t="s">
        <v>74</v>
      </c>
      <c r="BK167" s="14">
        <f t="shared" si="9"/>
        <v>0</v>
      </c>
      <c r="BL167" s="13" t="s">
        <v>135</v>
      </c>
      <c r="BM167" s="12" t="s">
        <v>180</v>
      </c>
    </row>
    <row r="168" spans="1:65" s="20" customFormat="1" ht="25.9" customHeight="1" x14ac:dyDescent="0.2">
      <c r="B168" s="21"/>
      <c r="D168" s="26" t="s">
        <v>67</v>
      </c>
      <c r="E168" s="39" t="s">
        <v>153</v>
      </c>
      <c r="F168" s="39" t="s">
        <v>360</v>
      </c>
      <c r="J168" s="19">
        <f>BK168</f>
        <v>0</v>
      </c>
      <c r="L168" s="21"/>
      <c r="M168" s="22"/>
      <c r="N168" s="23"/>
      <c r="O168" s="23"/>
      <c r="P168" s="24">
        <f>SUM(P171:P174)</f>
        <v>0</v>
      </c>
      <c r="Q168" s="23"/>
      <c r="R168" s="24">
        <f>SUM(R171:R174)</f>
        <v>0</v>
      </c>
      <c r="S168" s="23"/>
      <c r="T168" s="25">
        <f>SUM(T171:T174)</f>
        <v>0</v>
      </c>
      <c r="AR168" s="26" t="s">
        <v>74</v>
      </c>
      <c r="AT168" s="27" t="s">
        <v>67</v>
      </c>
      <c r="AU168" s="27" t="s">
        <v>68</v>
      </c>
      <c r="AY168" s="26" t="s">
        <v>130</v>
      </c>
      <c r="BK168" s="28">
        <f>SUM(BK171:BK174)</f>
        <v>0</v>
      </c>
    </row>
    <row r="169" spans="1:65" s="5" customFormat="1" ht="10.15" customHeight="1" x14ac:dyDescent="0.2">
      <c r="B169" s="45"/>
      <c r="D169" s="216" t="s">
        <v>340</v>
      </c>
      <c r="F169" s="116" t="s">
        <v>1154</v>
      </c>
      <c r="G169" s="117"/>
      <c r="K169" s="181"/>
      <c r="L169" s="94"/>
      <c r="M169" s="52"/>
      <c r="P169" s="126" t="s">
        <v>148</v>
      </c>
      <c r="Q169" s="126" t="s">
        <v>74</v>
      </c>
    </row>
    <row r="170" spans="1:65" s="5" customFormat="1" ht="10.15" customHeight="1" x14ac:dyDescent="0.2">
      <c r="B170" s="45"/>
      <c r="D170" s="216" t="s">
        <v>340</v>
      </c>
      <c r="F170" s="116" t="s">
        <v>1155</v>
      </c>
      <c r="H170" s="117">
        <f>(1.32*0.325)+(1.32*0.025)</f>
        <v>0.46200000000000008</v>
      </c>
      <c r="K170" s="181"/>
      <c r="L170" s="94"/>
      <c r="M170" s="52"/>
      <c r="P170" s="126" t="s">
        <v>148</v>
      </c>
      <c r="Q170" s="126" t="s">
        <v>74</v>
      </c>
    </row>
    <row r="171" spans="1:65" s="5" customFormat="1" ht="16.5" customHeight="1" x14ac:dyDescent="0.2">
      <c r="A171" s="105"/>
      <c r="B171" s="4"/>
      <c r="C171" s="33" t="s">
        <v>83</v>
      </c>
      <c r="D171" s="33" t="s">
        <v>131</v>
      </c>
      <c r="E171" s="34" t="s">
        <v>361</v>
      </c>
      <c r="F171" s="7" t="s">
        <v>355</v>
      </c>
      <c r="G171" s="35" t="s">
        <v>157</v>
      </c>
      <c r="H171" s="36">
        <v>1</v>
      </c>
      <c r="I171" s="1"/>
      <c r="J171" s="6">
        <f>ROUND(I171*H171,2)</f>
        <v>0</v>
      </c>
      <c r="K171" s="7" t="s">
        <v>1</v>
      </c>
      <c r="L171" s="4"/>
      <c r="M171" s="8" t="s">
        <v>1</v>
      </c>
      <c r="N171" s="9" t="s">
        <v>33</v>
      </c>
      <c r="O171" s="10">
        <v>0</v>
      </c>
      <c r="P171" s="10">
        <f>O171*H171</f>
        <v>0</v>
      </c>
      <c r="Q171" s="10">
        <v>0</v>
      </c>
      <c r="R171" s="10">
        <f>Q171*H171</f>
        <v>0</v>
      </c>
      <c r="S171" s="10">
        <v>0</v>
      </c>
      <c r="T171" s="11">
        <f>S171*H171</f>
        <v>0</v>
      </c>
      <c r="U171" s="105"/>
      <c r="V171" s="105"/>
      <c r="W171" s="105"/>
      <c r="X171" s="105"/>
      <c r="Y171" s="105"/>
      <c r="Z171" s="105"/>
      <c r="AA171" s="105"/>
      <c r="AB171" s="105"/>
      <c r="AC171" s="105"/>
      <c r="AD171" s="105"/>
      <c r="AE171" s="105"/>
      <c r="AR171" s="12" t="s">
        <v>135</v>
      </c>
      <c r="AT171" s="12" t="s">
        <v>131</v>
      </c>
      <c r="AU171" s="12" t="s">
        <v>74</v>
      </c>
      <c r="AY171" s="13" t="s">
        <v>130</v>
      </c>
      <c r="BE171" s="14">
        <f>IF(N171="základní",J171,0)</f>
        <v>0</v>
      </c>
      <c r="BF171" s="14">
        <f>IF(N171="snížená",J171,0)</f>
        <v>0</v>
      </c>
      <c r="BG171" s="14">
        <f>IF(N171="zákl. přenesená",J171,0)</f>
        <v>0</v>
      </c>
      <c r="BH171" s="14">
        <f>IF(N171="sníž. přenesená",J171,0)</f>
        <v>0</v>
      </c>
      <c r="BI171" s="14">
        <f>IF(N171="nulová",J171,0)</f>
        <v>0</v>
      </c>
      <c r="BJ171" s="13" t="s">
        <v>74</v>
      </c>
      <c r="BK171" s="14">
        <f>ROUND(I171*H171,2)</f>
        <v>0</v>
      </c>
      <c r="BL171" s="13" t="s">
        <v>135</v>
      </c>
      <c r="BM171" s="12" t="s">
        <v>183</v>
      </c>
    </row>
    <row r="172" spans="1:65" s="5" customFormat="1" ht="16.5" customHeight="1" x14ac:dyDescent="0.2">
      <c r="A172" s="105"/>
      <c r="B172" s="4"/>
      <c r="C172" s="33" t="s">
        <v>8</v>
      </c>
      <c r="D172" s="33" t="s">
        <v>131</v>
      </c>
      <c r="E172" s="34" t="s">
        <v>362</v>
      </c>
      <c r="F172" s="7" t="s">
        <v>337</v>
      </c>
      <c r="G172" s="35" t="s">
        <v>157</v>
      </c>
      <c r="H172" s="36">
        <v>1</v>
      </c>
      <c r="I172" s="1"/>
      <c r="J172" s="6">
        <f>ROUND(I172*H172,2)</f>
        <v>0</v>
      </c>
      <c r="K172" s="7" t="s">
        <v>1</v>
      </c>
      <c r="L172" s="4"/>
      <c r="M172" s="8" t="s">
        <v>1</v>
      </c>
      <c r="N172" s="9" t="s">
        <v>33</v>
      </c>
      <c r="O172" s="10">
        <v>0</v>
      </c>
      <c r="P172" s="10">
        <f>O172*H172</f>
        <v>0</v>
      </c>
      <c r="Q172" s="10">
        <v>0</v>
      </c>
      <c r="R172" s="10">
        <f>Q172*H172</f>
        <v>0</v>
      </c>
      <c r="S172" s="10">
        <v>0</v>
      </c>
      <c r="T172" s="11">
        <f>S172*H172</f>
        <v>0</v>
      </c>
      <c r="U172" s="105"/>
      <c r="V172" s="105"/>
      <c r="W172" s="105"/>
      <c r="X172" s="105"/>
      <c r="Y172" s="105"/>
      <c r="Z172" s="105"/>
      <c r="AA172" s="105"/>
      <c r="AB172" s="105"/>
      <c r="AC172" s="105"/>
      <c r="AD172" s="105"/>
      <c r="AE172" s="105"/>
      <c r="AR172" s="12" t="s">
        <v>135</v>
      </c>
      <c r="AT172" s="12" t="s">
        <v>131</v>
      </c>
      <c r="AU172" s="12" t="s">
        <v>74</v>
      </c>
      <c r="AY172" s="13" t="s">
        <v>130</v>
      </c>
      <c r="BE172" s="14">
        <f>IF(N172="základní",J172,0)</f>
        <v>0</v>
      </c>
      <c r="BF172" s="14">
        <f>IF(N172="snížená",J172,0)</f>
        <v>0</v>
      </c>
      <c r="BG172" s="14">
        <f>IF(N172="zákl. přenesená",J172,0)</f>
        <v>0</v>
      </c>
      <c r="BH172" s="14">
        <f>IF(N172="sníž. přenesená",J172,0)</f>
        <v>0</v>
      </c>
      <c r="BI172" s="14">
        <f>IF(N172="nulová",J172,0)</f>
        <v>0</v>
      </c>
      <c r="BJ172" s="13" t="s">
        <v>74</v>
      </c>
      <c r="BK172" s="14">
        <f>ROUND(I172*H172,2)</f>
        <v>0</v>
      </c>
      <c r="BL172" s="13" t="s">
        <v>135</v>
      </c>
      <c r="BM172" s="12" t="s">
        <v>186</v>
      </c>
    </row>
    <row r="173" spans="1:65" s="5" customFormat="1" ht="16.5" customHeight="1" x14ac:dyDescent="0.2">
      <c r="A173" s="105"/>
      <c r="B173" s="4"/>
      <c r="C173" s="33" t="s">
        <v>163</v>
      </c>
      <c r="D173" s="33" t="s">
        <v>131</v>
      </c>
      <c r="E173" s="34" t="s">
        <v>357</v>
      </c>
      <c r="F173" s="7" t="s">
        <v>143</v>
      </c>
      <c r="G173" s="35" t="s">
        <v>134</v>
      </c>
      <c r="H173" s="36">
        <v>0.46200000000000002</v>
      </c>
      <c r="I173" s="1"/>
      <c r="J173" s="6">
        <f>ROUND(I173*H173,2)</f>
        <v>0</v>
      </c>
      <c r="K173" s="7" t="s">
        <v>1</v>
      </c>
      <c r="L173" s="4"/>
      <c r="M173" s="8" t="s">
        <v>1</v>
      </c>
      <c r="N173" s="9" t="s">
        <v>33</v>
      </c>
      <c r="O173" s="10">
        <v>0</v>
      </c>
      <c r="P173" s="10">
        <f>O173*H173</f>
        <v>0</v>
      </c>
      <c r="Q173" s="10">
        <v>0</v>
      </c>
      <c r="R173" s="10">
        <f>Q173*H173</f>
        <v>0</v>
      </c>
      <c r="S173" s="10">
        <v>0</v>
      </c>
      <c r="T173" s="11">
        <f>S173*H173</f>
        <v>0</v>
      </c>
      <c r="U173" s="105"/>
      <c r="V173" s="105"/>
      <c r="W173" s="105"/>
      <c r="X173" s="105"/>
      <c r="Y173" s="105"/>
      <c r="Z173" s="105"/>
      <c r="AA173" s="105"/>
      <c r="AB173" s="105"/>
      <c r="AC173" s="105"/>
      <c r="AD173" s="105"/>
      <c r="AE173" s="105"/>
      <c r="AR173" s="12" t="s">
        <v>135</v>
      </c>
      <c r="AT173" s="12" t="s">
        <v>131</v>
      </c>
      <c r="AU173" s="12" t="s">
        <v>74</v>
      </c>
      <c r="AY173" s="13" t="s">
        <v>130</v>
      </c>
      <c r="BE173" s="14">
        <f>IF(N173="základní",J173,0)</f>
        <v>0</v>
      </c>
      <c r="BF173" s="14">
        <f>IF(N173="snížená",J173,0)</f>
        <v>0</v>
      </c>
      <c r="BG173" s="14">
        <f>IF(N173="zákl. přenesená",J173,0)</f>
        <v>0</v>
      </c>
      <c r="BH173" s="14">
        <f>IF(N173="sníž. přenesená",J173,0)</f>
        <v>0</v>
      </c>
      <c r="BI173" s="14">
        <f>IF(N173="nulová",J173,0)</f>
        <v>0</v>
      </c>
      <c r="BJ173" s="13" t="s">
        <v>74</v>
      </c>
      <c r="BK173" s="14">
        <f>ROUND(I173*H173,2)</f>
        <v>0</v>
      </c>
      <c r="BL173" s="13" t="s">
        <v>135</v>
      </c>
      <c r="BM173" s="12" t="s">
        <v>189</v>
      </c>
    </row>
    <row r="174" spans="1:65" s="5" customFormat="1" ht="16.5" customHeight="1" x14ac:dyDescent="0.2">
      <c r="A174" s="105"/>
      <c r="B174" s="4"/>
      <c r="C174" s="33" t="s">
        <v>193</v>
      </c>
      <c r="D174" s="33" t="s">
        <v>131</v>
      </c>
      <c r="E174" s="34" t="s">
        <v>358</v>
      </c>
      <c r="F174" s="7" t="s">
        <v>359</v>
      </c>
      <c r="G174" s="35" t="s">
        <v>134</v>
      </c>
      <c r="H174" s="36">
        <v>0.46200000000000002</v>
      </c>
      <c r="I174" s="1"/>
      <c r="J174" s="6">
        <f>ROUND(I174*H174,2)</f>
        <v>0</v>
      </c>
      <c r="K174" s="7" t="s">
        <v>1</v>
      </c>
      <c r="L174" s="4"/>
      <c r="M174" s="8" t="s">
        <v>1</v>
      </c>
      <c r="N174" s="9" t="s">
        <v>33</v>
      </c>
      <c r="O174" s="10">
        <v>0</v>
      </c>
      <c r="P174" s="10">
        <f>O174*H174</f>
        <v>0</v>
      </c>
      <c r="Q174" s="10">
        <v>0</v>
      </c>
      <c r="R174" s="10">
        <f>Q174*H174</f>
        <v>0</v>
      </c>
      <c r="S174" s="10">
        <v>0</v>
      </c>
      <c r="T174" s="11">
        <f>S174*H174</f>
        <v>0</v>
      </c>
      <c r="U174" s="105"/>
      <c r="V174" s="105"/>
      <c r="W174" s="105"/>
      <c r="X174" s="105"/>
      <c r="Y174" s="105"/>
      <c r="Z174" s="105"/>
      <c r="AA174" s="105"/>
      <c r="AB174" s="105"/>
      <c r="AC174" s="105"/>
      <c r="AD174" s="105"/>
      <c r="AE174" s="105"/>
      <c r="AR174" s="12" t="s">
        <v>135</v>
      </c>
      <c r="AT174" s="12" t="s">
        <v>131</v>
      </c>
      <c r="AU174" s="12" t="s">
        <v>74</v>
      </c>
      <c r="AY174" s="13" t="s">
        <v>130</v>
      </c>
      <c r="BE174" s="14">
        <f>IF(N174="základní",J174,0)</f>
        <v>0</v>
      </c>
      <c r="BF174" s="14">
        <f>IF(N174="snížená",J174,0)</f>
        <v>0</v>
      </c>
      <c r="BG174" s="14">
        <f>IF(N174="zákl. přenesená",J174,0)</f>
        <v>0</v>
      </c>
      <c r="BH174" s="14">
        <f>IF(N174="sníž. přenesená",J174,0)</f>
        <v>0</v>
      </c>
      <c r="BI174" s="14">
        <f>IF(N174="nulová",J174,0)</f>
        <v>0</v>
      </c>
      <c r="BJ174" s="13" t="s">
        <v>74</v>
      </c>
      <c r="BK174" s="14">
        <f>ROUND(I174*H174,2)</f>
        <v>0</v>
      </c>
      <c r="BL174" s="13" t="s">
        <v>135</v>
      </c>
      <c r="BM174" s="12" t="s">
        <v>196</v>
      </c>
    </row>
    <row r="175" spans="1:65" s="20" customFormat="1" ht="25.9" customHeight="1" x14ac:dyDescent="0.2">
      <c r="B175" s="21"/>
      <c r="D175" s="26" t="s">
        <v>67</v>
      </c>
      <c r="E175" s="39" t="s">
        <v>161</v>
      </c>
      <c r="F175" s="39" t="s">
        <v>363</v>
      </c>
      <c r="J175" s="19">
        <f>BK175</f>
        <v>0</v>
      </c>
      <c r="L175" s="21"/>
      <c r="M175" s="22"/>
      <c r="N175" s="23"/>
      <c r="O175" s="23"/>
      <c r="P175" s="24">
        <f>SUM(P176:P182)</f>
        <v>0</v>
      </c>
      <c r="Q175" s="23"/>
      <c r="R175" s="24">
        <f>SUM(R176:R182)</f>
        <v>0</v>
      </c>
      <c r="S175" s="23"/>
      <c r="T175" s="25">
        <f>SUM(T176:T182)</f>
        <v>0</v>
      </c>
      <c r="AR175" s="26" t="s">
        <v>74</v>
      </c>
      <c r="AT175" s="27" t="s">
        <v>67</v>
      </c>
      <c r="AU175" s="27" t="s">
        <v>68</v>
      </c>
      <c r="AY175" s="26" t="s">
        <v>130</v>
      </c>
      <c r="BK175" s="28">
        <f>SUM(BK176:BK182)</f>
        <v>0</v>
      </c>
    </row>
    <row r="176" spans="1:65" s="5" customFormat="1" ht="16.5" customHeight="1" x14ac:dyDescent="0.2">
      <c r="A176" s="105"/>
      <c r="B176" s="4"/>
      <c r="C176" s="33" t="s">
        <v>165</v>
      </c>
      <c r="D176" s="33" t="s">
        <v>131</v>
      </c>
      <c r="E176" s="34" t="s">
        <v>364</v>
      </c>
      <c r="F176" s="7" t="s">
        <v>365</v>
      </c>
      <c r="G176" s="35" t="s">
        <v>333</v>
      </c>
      <c r="H176" s="36">
        <v>6.8</v>
      </c>
      <c r="I176" s="1"/>
      <c r="J176" s="6">
        <f>ROUND(I176*H176,2)</f>
        <v>0</v>
      </c>
      <c r="K176" s="7" t="s">
        <v>1</v>
      </c>
      <c r="L176" s="4"/>
      <c r="M176" s="8" t="s">
        <v>1</v>
      </c>
      <c r="N176" s="9" t="s">
        <v>33</v>
      </c>
      <c r="O176" s="10">
        <v>0</v>
      </c>
      <c r="P176" s="10">
        <f>O176*H176</f>
        <v>0</v>
      </c>
      <c r="Q176" s="10">
        <v>0</v>
      </c>
      <c r="R176" s="10">
        <f>Q176*H176</f>
        <v>0</v>
      </c>
      <c r="S176" s="10">
        <v>0</v>
      </c>
      <c r="T176" s="11">
        <f>S176*H176</f>
        <v>0</v>
      </c>
      <c r="U176" s="105"/>
      <c r="V176" s="105"/>
      <c r="W176" s="105"/>
      <c r="X176" s="105"/>
      <c r="Y176" s="105"/>
      <c r="Z176" s="105"/>
      <c r="AA176" s="105"/>
      <c r="AB176" s="105"/>
      <c r="AC176" s="105"/>
      <c r="AD176" s="105"/>
      <c r="AE176" s="105"/>
      <c r="AR176" s="12" t="s">
        <v>135</v>
      </c>
      <c r="AT176" s="12" t="s">
        <v>131</v>
      </c>
      <c r="AU176" s="12" t="s">
        <v>74</v>
      </c>
      <c r="AY176" s="13" t="s">
        <v>130</v>
      </c>
      <c r="BE176" s="14">
        <f>IF(N176="základní",J176,0)</f>
        <v>0</v>
      </c>
      <c r="BF176" s="14">
        <f>IF(N176="snížená",J176,0)</f>
        <v>0</v>
      </c>
      <c r="BG176" s="14">
        <f>IF(N176="zákl. přenesená",J176,0)</f>
        <v>0</v>
      </c>
      <c r="BH176" s="14">
        <f>IF(N176="sníž. přenesená",J176,0)</f>
        <v>0</v>
      </c>
      <c r="BI176" s="14">
        <f>IF(N176="nulová",J176,0)</f>
        <v>0</v>
      </c>
      <c r="BJ176" s="13" t="s">
        <v>74</v>
      </c>
      <c r="BK176" s="14">
        <f>ROUND(I176*H176,2)</f>
        <v>0</v>
      </c>
      <c r="BL176" s="13" t="s">
        <v>135</v>
      </c>
      <c r="BM176" s="12" t="s">
        <v>199</v>
      </c>
    </row>
    <row r="177" spans="1:65" s="5" customFormat="1" ht="16.5" customHeight="1" x14ac:dyDescent="0.2">
      <c r="A177" s="105"/>
      <c r="B177" s="4"/>
      <c r="C177" s="33" t="s">
        <v>200</v>
      </c>
      <c r="D177" s="33" t="s">
        <v>131</v>
      </c>
      <c r="E177" s="34" t="s">
        <v>336</v>
      </c>
      <c r="F177" s="7" t="s">
        <v>337</v>
      </c>
      <c r="G177" s="35" t="s">
        <v>333</v>
      </c>
      <c r="H177" s="36">
        <v>6.8</v>
      </c>
      <c r="I177" s="1"/>
      <c r="J177" s="6">
        <f>ROUND(I177*H177,2)</f>
        <v>0</v>
      </c>
      <c r="K177" s="7" t="s">
        <v>1</v>
      </c>
      <c r="L177" s="4"/>
      <c r="M177" s="8" t="s">
        <v>1</v>
      </c>
      <c r="N177" s="9" t="s">
        <v>33</v>
      </c>
      <c r="O177" s="10">
        <v>0</v>
      </c>
      <c r="P177" s="10">
        <f>O177*H177</f>
        <v>0</v>
      </c>
      <c r="Q177" s="10">
        <v>0</v>
      </c>
      <c r="R177" s="10">
        <f>Q177*H177</f>
        <v>0</v>
      </c>
      <c r="S177" s="10">
        <v>0</v>
      </c>
      <c r="T177" s="11">
        <f>S177*H177</f>
        <v>0</v>
      </c>
      <c r="U177" s="105"/>
      <c r="V177" s="105"/>
      <c r="W177" s="105"/>
      <c r="X177" s="105"/>
      <c r="Y177" s="105"/>
      <c r="Z177" s="105"/>
      <c r="AA177" s="105"/>
      <c r="AB177" s="105"/>
      <c r="AC177" s="105"/>
      <c r="AD177" s="105"/>
      <c r="AE177" s="105"/>
      <c r="AR177" s="12" t="s">
        <v>135</v>
      </c>
      <c r="AT177" s="12" t="s">
        <v>131</v>
      </c>
      <c r="AU177" s="12" t="s">
        <v>74</v>
      </c>
      <c r="AY177" s="13" t="s">
        <v>130</v>
      </c>
      <c r="BE177" s="14">
        <f>IF(N177="základní",J177,0)</f>
        <v>0</v>
      </c>
      <c r="BF177" s="14">
        <f>IF(N177="snížená",J177,0)</f>
        <v>0</v>
      </c>
      <c r="BG177" s="14">
        <f>IF(N177="zákl. přenesená",J177,0)</f>
        <v>0</v>
      </c>
      <c r="BH177" s="14">
        <f>IF(N177="sníž. přenesená",J177,0)</f>
        <v>0</v>
      </c>
      <c r="BI177" s="14">
        <f>IF(N177="nulová",J177,0)</f>
        <v>0</v>
      </c>
      <c r="BJ177" s="13" t="s">
        <v>74</v>
      </c>
      <c r="BK177" s="14">
        <f>ROUND(I177*H177,2)</f>
        <v>0</v>
      </c>
      <c r="BL177" s="13" t="s">
        <v>135</v>
      </c>
      <c r="BM177" s="12" t="s">
        <v>201</v>
      </c>
    </row>
    <row r="178" spans="1:65" s="5" customFormat="1" ht="16.5" customHeight="1" x14ac:dyDescent="0.2">
      <c r="A178" s="105"/>
      <c r="B178" s="4"/>
      <c r="C178" s="33" t="s">
        <v>171</v>
      </c>
      <c r="D178" s="33" t="s">
        <v>131</v>
      </c>
      <c r="E178" s="34" t="s">
        <v>357</v>
      </c>
      <c r="F178" s="7" t="s">
        <v>143</v>
      </c>
      <c r="G178" s="35" t="s">
        <v>134</v>
      </c>
      <c r="H178" s="36">
        <v>2.665</v>
      </c>
      <c r="I178" s="1"/>
      <c r="J178" s="6">
        <f>ROUND(I178*H178,2)</f>
        <v>0</v>
      </c>
      <c r="K178" s="7" t="s">
        <v>1</v>
      </c>
      <c r="L178" s="4"/>
      <c r="M178" s="8" t="s">
        <v>1</v>
      </c>
      <c r="N178" s="9" t="s">
        <v>33</v>
      </c>
      <c r="O178" s="10">
        <v>0</v>
      </c>
      <c r="P178" s="10">
        <f>O178*H178</f>
        <v>0</v>
      </c>
      <c r="Q178" s="10">
        <v>0</v>
      </c>
      <c r="R178" s="10">
        <f>Q178*H178</f>
        <v>0</v>
      </c>
      <c r="S178" s="10">
        <v>0</v>
      </c>
      <c r="T178" s="11">
        <f>S178*H178</f>
        <v>0</v>
      </c>
      <c r="U178" s="105"/>
      <c r="V178" s="105"/>
      <c r="W178" s="105"/>
      <c r="X178" s="105"/>
      <c r="Y178" s="105"/>
      <c r="Z178" s="105"/>
      <c r="AA178" s="105"/>
      <c r="AB178" s="105"/>
      <c r="AC178" s="105"/>
      <c r="AD178" s="105"/>
      <c r="AE178" s="105"/>
      <c r="AR178" s="12" t="s">
        <v>135</v>
      </c>
      <c r="AT178" s="12" t="s">
        <v>131</v>
      </c>
      <c r="AU178" s="12" t="s">
        <v>74</v>
      </c>
      <c r="AY178" s="13" t="s">
        <v>130</v>
      </c>
      <c r="BE178" s="14">
        <f>IF(N178="základní",J178,0)</f>
        <v>0</v>
      </c>
      <c r="BF178" s="14">
        <f>IF(N178="snížená",J178,0)</f>
        <v>0</v>
      </c>
      <c r="BG178" s="14">
        <f>IF(N178="zákl. přenesená",J178,0)</f>
        <v>0</v>
      </c>
      <c r="BH178" s="14">
        <f>IF(N178="sníž. přenesená",J178,0)</f>
        <v>0</v>
      </c>
      <c r="BI178" s="14">
        <f>IF(N178="nulová",J178,0)</f>
        <v>0</v>
      </c>
      <c r="BJ178" s="13" t="s">
        <v>74</v>
      </c>
      <c r="BK178" s="14">
        <f>ROUND(I178*H178,2)</f>
        <v>0</v>
      </c>
      <c r="BL178" s="13" t="s">
        <v>135</v>
      </c>
      <c r="BM178" s="12" t="s">
        <v>202</v>
      </c>
    </row>
    <row r="179" spans="1:65" s="5" customFormat="1" ht="10.15" customHeight="1" x14ac:dyDescent="0.2">
      <c r="B179" s="45"/>
      <c r="D179" s="216" t="s">
        <v>340</v>
      </c>
      <c r="F179" s="116" t="s">
        <v>1156</v>
      </c>
      <c r="G179" s="117"/>
      <c r="K179" s="181"/>
      <c r="L179" s="94"/>
      <c r="M179" s="218"/>
      <c r="P179" s="126"/>
      <c r="Q179" s="126"/>
    </row>
    <row r="180" spans="1:65" s="152" customFormat="1" x14ac:dyDescent="0.2">
      <c r="B180" s="210"/>
      <c r="D180" s="37" t="s">
        <v>340</v>
      </c>
      <c r="E180" s="161" t="s">
        <v>1</v>
      </c>
      <c r="F180" s="211" t="s">
        <v>366</v>
      </c>
      <c r="H180" s="212"/>
      <c r="L180" s="210"/>
      <c r="M180" s="159"/>
      <c r="N180" s="154"/>
      <c r="O180" s="154"/>
      <c r="P180" s="154"/>
      <c r="Q180" s="154"/>
      <c r="R180" s="154"/>
      <c r="S180" s="154"/>
      <c r="T180" s="160"/>
      <c r="AT180" s="161" t="s">
        <v>340</v>
      </c>
      <c r="AU180" s="161" t="s">
        <v>74</v>
      </c>
      <c r="AV180" s="152" t="s">
        <v>76</v>
      </c>
      <c r="AW180" s="152" t="s">
        <v>25</v>
      </c>
      <c r="AX180" s="152" t="s">
        <v>68</v>
      </c>
      <c r="AY180" s="161" t="s">
        <v>130</v>
      </c>
    </row>
    <row r="181" spans="1:65" s="162" customFormat="1" x14ac:dyDescent="0.2">
      <c r="B181" s="213"/>
      <c r="D181" s="37" t="s">
        <v>340</v>
      </c>
      <c r="E181" s="171" t="s">
        <v>1</v>
      </c>
      <c r="F181" s="214" t="s">
        <v>342</v>
      </c>
      <c r="H181" s="215">
        <v>2.665</v>
      </c>
      <c r="L181" s="213"/>
      <c r="M181" s="169"/>
      <c r="N181" s="164"/>
      <c r="O181" s="164"/>
      <c r="P181" s="164"/>
      <c r="Q181" s="164"/>
      <c r="R181" s="164"/>
      <c r="S181" s="164"/>
      <c r="T181" s="170"/>
      <c r="AT181" s="171" t="s">
        <v>340</v>
      </c>
      <c r="AU181" s="171" t="s">
        <v>74</v>
      </c>
      <c r="AV181" s="162" t="s">
        <v>135</v>
      </c>
      <c r="AW181" s="162" t="s">
        <v>25</v>
      </c>
      <c r="AX181" s="162" t="s">
        <v>74</v>
      </c>
      <c r="AY181" s="171" t="s">
        <v>130</v>
      </c>
    </row>
    <row r="182" spans="1:65" s="5" customFormat="1" ht="16.5" customHeight="1" x14ac:dyDescent="0.2">
      <c r="A182" s="105"/>
      <c r="B182" s="4"/>
      <c r="C182" s="33" t="s">
        <v>7</v>
      </c>
      <c r="D182" s="33" t="s">
        <v>131</v>
      </c>
      <c r="E182" s="34" t="s">
        <v>367</v>
      </c>
      <c r="F182" s="7" t="s">
        <v>146</v>
      </c>
      <c r="G182" s="35" t="s">
        <v>134</v>
      </c>
      <c r="H182" s="36">
        <v>2.665</v>
      </c>
      <c r="I182" s="1"/>
      <c r="J182" s="6">
        <f>ROUND(I182*H182,2)</f>
        <v>0</v>
      </c>
      <c r="K182" s="7" t="s">
        <v>1</v>
      </c>
      <c r="L182" s="4"/>
      <c r="M182" s="8" t="s">
        <v>1</v>
      </c>
      <c r="N182" s="9" t="s">
        <v>33</v>
      </c>
      <c r="O182" s="10">
        <v>0</v>
      </c>
      <c r="P182" s="10">
        <f>O182*H182</f>
        <v>0</v>
      </c>
      <c r="Q182" s="10">
        <v>0</v>
      </c>
      <c r="R182" s="10">
        <f>Q182*H182</f>
        <v>0</v>
      </c>
      <c r="S182" s="10">
        <v>0</v>
      </c>
      <c r="T182" s="11">
        <f>S182*H182</f>
        <v>0</v>
      </c>
      <c r="U182" s="105"/>
      <c r="V182" s="105"/>
      <c r="W182" s="105"/>
      <c r="X182" s="105"/>
      <c r="Y182" s="105"/>
      <c r="Z182" s="105"/>
      <c r="AA182" s="105"/>
      <c r="AB182" s="105"/>
      <c r="AC182" s="105"/>
      <c r="AD182" s="105"/>
      <c r="AE182" s="105"/>
      <c r="AR182" s="12" t="s">
        <v>135</v>
      </c>
      <c r="AT182" s="12" t="s">
        <v>131</v>
      </c>
      <c r="AU182" s="12" t="s">
        <v>74</v>
      </c>
      <c r="AY182" s="13" t="s">
        <v>130</v>
      </c>
      <c r="BE182" s="14">
        <f>IF(N182="základní",J182,0)</f>
        <v>0</v>
      </c>
      <c r="BF182" s="14">
        <f>IF(N182="snížená",J182,0)</f>
        <v>0</v>
      </c>
      <c r="BG182" s="14">
        <f>IF(N182="zákl. přenesená",J182,0)</f>
        <v>0</v>
      </c>
      <c r="BH182" s="14">
        <f>IF(N182="sníž. přenesená",J182,0)</f>
        <v>0</v>
      </c>
      <c r="BI182" s="14">
        <f>IF(N182="nulová",J182,0)</f>
        <v>0</v>
      </c>
      <c r="BJ182" s="13" t="s">
        <v>74</v>
      </c>
      <c r="BK182" s="14">
        <f>ROUND(I182*H182,2)</f>
        <v>0</v>
      </c>
      <c r="BL182" s="13" t="s">
        <v>135</v>
      </c>
      <c r="BM182" s="12" t="s">
        <v>205</v>
      </c>
    </row>
    <row r="183" spans="1:65" s="20" customFormat="1" ht="25.9" customHeight="1" x14ac:dyDescent="0.2">
      <c r="B183" s="21"/>
      <c r="D183" s="26" t="s">
        <v>67</v>
      </c>
      <c r="E183" s="39" t="s">
        <v>166</v>
      </c>
      <c r="F183" s="39" t="s">
        <v>368</v>
      </c>
      <c r="J183" s="19">
        <f>BK183</f>
        <v>0</v>
      </c>
      <c r="L183" s="21"/>
      <c r="M183" s="22"/>
      <c r="N183" s="23"/>
      <c r="O183" s="23"/>
      <c r="P183" s="24">
        <f>SUM(P184:P192)</f>
        <v>0</v>
      </c>
      <c r="Q183" s="23"/>
      <c r="R183" s="24">
        <f>SUM(R184:R192)</f>
        <v>0</v>
      </c>
      <c r="S183" s="23"/>
      <c r="T183" s="25">
        <f>SUM(T184:T192)</f>
        <v>0</v>
      </c>
      <c r="AR183" s="26" t="s">
        <v>74</v>
      </c>
      <c r="AT183" s="27" t="s">
        <v>67</v>
      </c>
      <c r="AU183" s="27" t="s">
        <v>68</v>
      </c>
      <c r="AY183" s="26" t="s">
        <v>130</v>
      </c>
      <c r="BK183" s="28">
        <f>SUM(BK184:BK192)</f>
        <v>0</v>
      </c>
    </row>
    <row r="184" spans="1:65" s="5" customFormat="1" ht="16.5" customHeight="1" x14ac:dyDescent="0.2">
      <c r="A184" s="105"/>
      <c r="B184" s="4"/>
      <c r="C184" s="33" t="s">
        <v>174</v>
      </c>
      <c r="D184" s="33" t="s">
        <v>131</v>
      </c>
      <c r="E184" s="34" t="s">
        <v>369</v>
      </c>
      <c r="F184" s="7" t="s">
        <v>370</v>
      </c>
      <c r="G184" s="35" t="s">
        <v>333</v>
      </c>
      <c r="H184" s="36">
        <v>6.8</v>
      </c>
      <c r="I184" s="1"/>
      <c r="J184" s="6">
        <f>ROUND(I184*H184,2)</f>
        <v>0</v>
      </c>
      <c r="K184" s="7" t="s">
        <v>1</v>
      </c>
      <c r="L184" s="4"/>
      <c r="M184" s="8" t="s">
        <v>1</v>
      </c>
      <c r="N184" s="9" t="s">
        <v>33</v>
      </c>
      <c r="O184" s="10">
        <v>0</v>
      </c>
      <c r="P184" s="10">
        <f>O184*H184</f>
        <v>0</v>
      </c>
      <c r="Q184" s="10">
        <v>0</v>
      </c>
      <c r="R184" s="10">
        <f>Q184*H184</f>
        <v>0</v>
      </c>
      <c r="S184" s="10">
        <v>0</v>
      </c>
      <c r="T184" s="11">
        <f>S184*H184</f>
        <v>0</v>
      </c>
      <c r="U184" s="105"/>
      <c r="V184" s="105"/>
      <c r="W184" s="105"/>
      <c r="X184" s="105"/>
      <c r="Y184" s="105"/>
      <c r="Z184" s="105"/>
      <c r="AA184" s="105"/>
      <c r="AB184" s="105"/>
      <c r="AC184" s="105"/>
      <c r="AD184" s="105"/>
      <c r="AE184" s="105"/>
      <c r="AR184" s="12" t="s">
        <v>135</v>
      </c>
      <c r="AT184" s="12" t="s">
        <v>131</v>
      </c>
      <c r="AU184" s="12" t="s">
        <v>74</v>
      </c>
      <c r="AY184" s="13" t="s">
        <v>130</v>
      </c>
      <c r="BE184" s="14">
        <f>IF(N184="základní",J184,0)</f>
        <v>0</v>
      </c>
      <c r="BF184" s="14">
        <f>IF(N184="snížená",J184,0)</f>
        <v>0</v>
      </c>
      <c r="BG184" s="14">
        <f>IF(N184="zákl. přenesená",J184,0)</f>
        <v>0</v>
      </c>
      <c r="BH184" s="14">
        <f>IF(N184="sníž. přenesená",J184,0)</f>
        <v>0</v>
      </c>
      <c r="BI184" s="14">
        <f>IF(N184="nulová",J184,0)</f>
        <v>0</v>
      </c>
      <c r="BJ184" s="13" t="s">
        <v>74</v>
      </c>
      <c r="BK184" s="14">
        <f>ROUND(I184*H184,2)</f>
        <v>0</v>
      </c>
      <c r="BL184" s="13" t="s">
        <v>135</v>
      </c>
      <c r="BM184" s="12" t="s">
        <v>206</v>
      </c>
    </row>
    <row r="185" spans="1:65" s="5" customFormat="1" ht="16.5" customHeight="1" x14ac:dyDescent="0.2">
      <c r="A185" s="105"/>
      <c r="B185" s="4"/>
      <c r="C185" s="33" t="s">
        <v>209</v>
      </c>
      <c r="D185" s="33" t="s">
        <v>131</v>
      </c>
      <c r="E185" s="34" t="s">
        <v>371</v>
      </c>
      <c r="F185" s="7" t="s">
        <v>372</v>
      </c>
      <c r="G185" s="35" t="s">
        <v>157</v>
      </c>
      <c r="H185" s="36">
        <v>1</v>
      </c>
      <c r="I185" s="1"/>
      <c r="J185" s="6">
        <f>ROUND(I185*H185,2)</f>
        <v>0</v>
      </c>
      <c r="K185" s="7" t="s">
        <v>1</v>
      </c>
      <c r="L185" s="4"/>
      <c r="M185" s="8" t="s">
        <v>1</v>
      </c>
      <c r="N185" s="9" t="s">
        <v>33</v>
      </c>
      <c r="O185" s="10">
        <v>0</v>
      </c>
      <c r="P185" s="10">
        <f>O185*H185</f>
        <v>0</v>
      </c>
      <c r="Q185" s="10">
        <v>0</v>
      </c>
      <c r="R185" s="10">
        <f>Q185*H185</f>
        <v>0</v>
      </c>
      <c r="S185" s="10">
        <v>0</v>
      </c>
      <c r="T185" s="11">
        <f>S185*H185</f>
        <v>0</v>
      </c>
      <c r="U185" s="105"/>
      <c r="V185" s="105"/>
      <c r="W185" s="105"/>
      <c r="X185" s="105"/>
      <c r="Y185" s="105"/>
      <c r="Z185" s="105"/>
      <c r="AA185" s="105"/>
      <c r="AB185" s="105"/>
      <c r="AC185" s="105"/>
      <c r="AD185" s="105"/>
      <c r="AE185" s="105"/>
      <c r="AR185" s="12" t="s">
        <v>135</v>
      </c>
      <c r="AT185" s="12" t="s">
        <v>131</v>
      </c>
      <c r="AU185" s="12" t="s">
        <v>74</v>
      </c>
      <c r="AY185" s="13" t="s">
        <v>130</v>
      </c>
      <c r="BE185" s="14">
        <f>IF(N185="základní",J185,0)</f>
        <v>0</v>
      </c>
      <c r="BF185" s="14">
        <f>IF(N185="snížená",J185,0)</f>
        <v>0</v>
      </c>
      <c r="BG185" s="14">
        <f>IF(N185="zákl. přenesená",J185,0)</f>
        <v>0</v>
      </c>
      <c r="BH185" s="14">
        <f>IF(N185="sníž. přenesená",J185,0)</f>
        <v>0</v>
      </c>
      <c r="BI185" s="14">
        <f>IF(N185="nulová",J185,0)</f>
        <v>0</v>
      </c>
      <c r="BJ185" s="13" t="s">
        <v>74</v>
      </c>
      <c r="BK185" s="14">
        <f>ROUND(I185*H185,2)</f>
        <v>0</v>
      </c>
      <c r="BL185" s="13" t="s">
        <v>135</v>
      </c>
      <c r="BM185" s="12" t="s">
        <v>210</v>
      </c>
    </row>
    <row r="186" spans="1:65" s="5" customFormat="1" ht="16.5" customHeight="1" x14ac:dyDescent="0.2">
      <c r="A186" s="105"/>
      <c r="B186" s="4"/>
      <c r="C186" s="33" t="s">
        <v>177</v>
      </c>
      <c r="D186" s="33" t="s">
        <v>131</v>
      </c>
      <c r="E186" s="34" t="s">
        <v>373</v>
      </c>
      <c r="F186" s="7" t="s">
        <v>374</v>
      </c>
      <c r="G186" s="35" t="s">
        <v>157</v>
      </c>
      <c r="H186" s="36">
        <v>1</v>
      </c>
      <c r="I186" s="1"/>
      <c r="J186" s="6">
        <f>ROUND(I186*H186,2)</f>
        <v>0</v>
      </c>
      <c r="K186" s="7" t="s">
        <v>1</v>
      </c>
      <c r="L186" s="4"/>
      <c r="M186" s="8" t="s">
        <v>1</v>
      </c>
      <c r="N186" s="9" t="s">
        <v>33</v>
      </c>
      <c r="O186" s="10">
        <v>0</v>
      </c>
      <c r="P186" s="10">
        <f>O186*H186</f>
        <v>0</v>
      </c>
      <c r="Q186" s="10">
        <v>0</v>
      </c>
      <c r="R186" s="10">
        <f>Q186*H186</f>
        <v>0</v>
      </c>
      <c r="S186" s="10">
        <v>0</v>
      </c>
      <c r="T186" s="11">
        <f>S186*H186</f>
        <v>0</v>
      </c>
      <c r="U186" s="105"/>
      <c r="V186" s="105"/>
      <c r="W186" s="105"/>
      <c r="X186" s="105"/>
      <c r="Y186" s="105"/>
      <c r="Z186" s="105"/>
      <c r="AA186" s="105"/>
      <c r="AB186" s="105"/>
      <c r="AC186" s="105"/>
      <c r="AD186" s="105"/>
      <c r="AE186" s="105"/>
      <c r="AR186" s="12" t="s">
        <v>135</v>
      </c>
      <c r="AT186" s="12" t="s">
        <v>131</v>
      </c>
      <c r="AU186" s="12" t="s">
        <v>74</v>
      </c>
      <c r="AY186" s="13" t="s">
        <v>130</v>
      </c>
      <c r="BE186" s="14">
        <f>IF(N186="základní",J186,0)</f>
        <v>0</v>
      </c>
      <c r="BF186" s="14">
        <f>IF(N186="snížená",J186,0)</f>
        <v>0</v>
      </c>
      <c r="BG186" s="14">
        <f>IF(N186="zákl. přenesená",J186,0)</f>
        <v>0</v>
      </c>
      <c r="BH186" s="14">
        <f>IF(N186="sníž. přenesená",J186,0)</f>
        <v>0</v>
      </c>
      <c r="BI186" s="14">
        <f>IF(N186="nulová",J186,0)</f>
        <v>0</v>
      </c>
      <c r="BJ186" s="13" t="s">
        <v>74</v>
      </c>
      <c r="BK186" s="14">
        <f>ROUND(I186*H186,2)</f>
        <v>0</v>
      </c>
      <c r="BL186" s="13" t="s">
        <v>135</v>
      </c>
      <c r="BM186" s="12" t="s">
        <v>211</v>
      </c>
    </row>
    <row r="187" spans="1:65" s="5" customFormat="1" ht="16.5" customHeight="1" x14ac:dyDescent="0.2">
      <c r="A187" s="105"/>
      <c r="B187" s="4"/>
      <c r="C187" s="33" t="s">
        <v>214</v>
      </c>
      <c r="D187" s="33" t="s">
        <v>131</v>
      </c>
      <c r="E187" s="34" t="s">
        <v>336</v>
      </c>
      <c r="F187" s="7" t="s">
        <v>337</v>
      </c>
      <c r="G187" s="35" t="s">
        <v>333</v>
      </c>
      <c r="H187" s="36">
        <v>6.8</v>
      </c>
      <c r="I187" s="1"/>
      <c r="J187" s="6">
        <f>ROUND(I187*H187,2)</f>
        <v>0</v>
      </c>
      <c r="K187" s="7" t="s">
        <v>1</v>
      </c>
      <c r="L187" s="4"/>
      <c r="M187" s="8" t="s">
        <v>1</v>
      </c>
      <c r="N187" s="9" t="s">
        <v>33</v>
      </c>
      <c r="O187" s="10">
        <v>0</v>
      </c>
      <c r="P187" s="10">
        <f>O187*H187</f>
        <v>0</v>
      </c>
      <c r="Q187" s="10">
        <v>0</v>
      </c>
      <c r="R187" s="10">
        <f>Q187*H187</f>
        <v>0</v>
      </c>
      <c r="S187" s="10">
        <v>0</v>
      </c>
      <c r="T187" s="11">
        <f>S187*H187</f>
        <v>0</v>
      </c>
      <c r="U187" s="105"/>
      <c r="V187" s="105"/>
      <c r="W187" s="105"/>
      <c r="X187" s="105"/>
      <c r="Y187" s="105"/>
      <c r="Z187" s="105"/>
      <c r="AA187" s="105"/>
      <c r="AB187" s="105"/>
      <c r="AC187" s="105"/>
      <c r="AD187" s="105"/>
      <c r="AE187" s="105"/>
      <c r="AR187" s="12" t="s">
        <v>135</v>
      </c>
      <c r="AT187" s="12" t="s">
        <v>131</v>
      </c>
      <c r="AU187" s="12" t="s">
        <v>74</v>
      </c>
      <c r="AY187" s="13" t="s">
        <v>130</v>
      </c>
      <c r="BE187" s="14">
        <f>IF(N187="základní",J187,0)</f>
        <v>0</v>
      </c>
      <c r="BF187" s="14">
        <f>IF(N187="snížená",J187,0)</f>
        <v>0</v>
      </c>
      <c r="BG187" s="14">
        <f>IF(N187="zákl. přenesená",J187,0)</f>
        <v>0</v>
      </c>
      <c r="BH187" s="14">
        <f>IF(N187="sníž. přenesená",J187,0)</f>
        <v>0</v>
      </c>
      <c r="BI187" s="14">
        <f>IF(N187="nulová",J187,0)</f>
        <v>0</v>
      </c>
      <c r="BJ187" s="13" t="s">
        <v>74</v>
      </c>
      <c r="BK187" s="14">
        <f>ROUND(I187*H187,2)</f>
        <v>0</v>
      </c>
      <c r="BL187" s="13" t="s">
        <v>135</v>
      </c>
      <c r="BM187" s="12" t="s">
        <v>215</v>
      </c>
    </row>
    <row r="188" spans="1:65" s="5" customFormat="1" ht="16.5" customHeight="1" x14ac:dyDescent="0.2">
      <c r="A188" s="105"/>
      <c r="B188" s="4"/>
      <c r="C188" s="33" t="s">
        <v>180</v>
      </c>
      <c r="D188" s="33" t="s">
        <v>131</v>
      </c>
      <c r="E188" s="34" t="s">
        <v>357</v>
      </c>
      <c r="F188" s="7" t="s">
        <v>143</v>
      </c>
      <c r="G188" s="35" t="s">
        <v>134</v>
      </c>
      <c r="H188" s="36">
        <v>2.6749999999999998</v>
      </c>
      <c r="I188" s="1"/>
      <c r="J188" s="6">
        <f>ROUND(I188*H188,2)</f>
        <v>0</v>
      </c>
      <c r="K188" s="7" t="s">
        <v>1</v>
      </c>
      <c r="L188" s="4"/>
      <c r="M188" s="8" t="s">
        <v>1</v>
      </c>
      <c r="N188" s="9" t="s">
        <v>33</v>
      </c>
      <c r="O188" s="10">
        <v>0</v>
      </c>
      <c r="P188" s="10">
        <f>O188*H188</f>
        <v>0</v>
      </c>
      <c r="Q188" s="10">
        <v>0</v>
      </c>
      <c r="R188" s="10">
        <f>Q188*H188</f>
        <v>0</v>
      </c>
      <c r="S188" s="10">
        <v>0</v>
      </c>
      <c r="T188" s="11">
        <f>S188*H188</f>
        <v>0</v>
      </c>
      <c r="U188" s="105"/>
      <c r="V188" s="105"/>
      <c r="W188" s="105"/>
      <c r="X188" s="105"/>
      <c r="Y188" s="105"/>
      <c r="Z188" s="105"/>
      <c r="AA188" s="105"/>
      <c r="AB188" s="105"/>
      <c r="AC188" s="105"/>
      <c r="AD188" s="105"/>
      <c r="AE188" s="105"/>
      <c r="AR188" s="12" t="s">
        <v>135</v>
      </c>
      <c r="AT188" s="12" t="s">
        <v>131</v>
      </c>
      <c r="AU188" s="12" t="s">
        <v>74</v>
      </c>
      <c r="AY188" s="13" t="s">
        <v>130</v>
      </c>
      <c r="BE188" s="14">
        <f>IF(N188="základní",J188,0)</f>
        <v>0</v>
      </c>
      <c r="BF188" s="14">
        <f>IF(N188="snížená",J188,0)</f>
        <v>0</v>
      </c>
      <c r="BG188" s="14">
        <f>IF(N188="zákl. přenesená",J188,0)</f>
        <v>0</v>
      </c>
      <c r="BH188" s="14">
        <f>IF(N188="sníž. přenesená",J188,0)</f>
        <v>0</v>
      </c>
      <c r="BI188" s="14">
        <f>IF(N188="nulová",J188,0)</f>
        <v>0</v>
      </c>
      <c r="BJ188" s="13" t="s">
        <v>74</v>
      </c>
      <c r="BK188" s="14">
        <f>ROUND(I188*H188,2)</f>
        <v>0</v>
      </c>
      <c r="BL188" s="13" t="s">
        <v>135</v>
      </c>
      <c r="BM188" s="12" t="s">
        <v>216</v>
      </c>
    </row>
    <row r="189" spans="1:65" s="5" customFormat="1" ht="10.15" customHeight="1" x14ac:dyDescent="0.2">
      <c r="B189" s="45"/>
      <c r="D189" s="216" t="s">
        <v>340</v>
      </c>
      <c r="F189" s="116" t="s">
        <v>1157</v>
      </c>
      <c r="G189" s="117"/>
      <c r="K189" s="181"/>
      <c r="L189" s="94"/>
      <c r="M189" s="52"/>
      <c r="P189" s="126" t="s">
        <v>148</v>
      </c>
      <c r="Q189" s="126" t="s">
        <v>74</v>
      </c>
    </row>
    <row r="190" spans="1:65" s="152" customFormat="1" x14ac:dyDescent="0.2">
      <c r="B190" s="210"/>
      <c r="D190" s="37" t="s">
        <v>340</v>
      </c>
      <c r="E190" s="161" t="s">
        <v>1</v>
      </c>
      <c r="F190" s="211" t="s">
        <v>375</v>
      </c>
      <c r="H190" s="212"/>
      <c r="L190" s="210"/>
      <c r="M190" s="159"/>
      <c r="N190" s="154"/>
      <c r="O190" s="154"/>
      <c r="P190" s="154"/>
      <c r="Q190" s="154"/>
      <c r="R190" s="154"/>
      <c r="S190" s="154"/>
      <c r="T190" s="160"/>
      <c r="AT190" s="161" t="s">
        <v>340</v>
      </c>
      <c r="AU190" s="161" t="s">
        <v>74</v>
      </c>
      <c r="AV190" s="152" t="s">
        <v>76</v>
      </c>
      <c r="AW190" s="152" t="s">
        <v>25</v>
      </c>
      <c r="AX190" s="152" t="s">
        <v>68</v>
      </c>
      <c r="AY190" s="161" t="s">
        <v>130</v>
      </c>
    </row>
    <row r="191" spans="1:65" s="162" customFormat="1" x14ac:dyDescent="0.2">
      <c r="B191" s="213"/>
      <c r="D191" s="37" t="s">
        <v>340</v>
      </c>
      <c r="E191" s="171" t="s">
        <v>1</v>
      </c>
      <c r="F191" s="214" t="s">
        <v>342</v>
      </c>
      <c r="H191" s="215">
        <v>2.6749999999999998</v>
      </c>
      <c r="L191" s="213"/>
      <c r="M191" s="169"/>
      <c r="N191" s="164"/>
      <c r="O191" s="164"/>
      <c r="P191" s="164"/>
      <c r="Q191" s="164"/>
      <c r="R191" s="164"/>
      <c r="S191" s="164"/>
      <c r="T191" s="170"/>
      <c r="AT191" s="171" t="s">
        <v>340</v>
      </c>
      <c r="AU191" s="171" t="s">
        <v>74</v>
      </c>
      <c r="AV191" s="162" t="s">
        <v>135</v>
      </c>
      <c r="AW191" s="162" t="s">
        <v>25</v>
      </c>
      <c r="AX191" s="162" t="s">
        <v>74</v>
      </c>
      <c r="AY191" s="171" t="s">
        <v>130</v>
      </c>
    </row>
    <row r="192" spans="1:65" s="5" customFormat="1" ht="16.5" customHeight="1" x14ac:dyDescent="0.2">
      <c r="A192" s="105"/>
      <c r="B192" s="4"/>
      <c r="C192" s="33" t="s">
        <v>217</v>
      </c>
      <c r="D192" s="33" t="s">
        <v>131</v>
      </c>
      <c r="E192" s="34" t="s">
        <v>367</v>
      </c>
      <c r="F192" s="7" t="s">
        <v>146</v>
      </c>
      <c r="G192" s="35" t="s">
        <v>134</v>
      </c>
      <c r="H192" s="36">
        <v>2.6749999999999998</v>
      </c>
      <c r="I192" s="1"/>
      <c r="J192" s="6">
        <f>ROUND(I192*H192,2)</f>
        <v>0</v>
      </c>
      <c r="K192" s="7" t="s">
        <v>1</v>
      </c>
      <c r="L192" s="4"/>
      <c r="M192" s="8" t="s">
        <v>1</v>
      </c>
      <c r="N192" s="9" t="s">
        <v>33</v>
      </c>
      <c r="O192" s="10">
        <v>0</v>
      </c>
      <c r="P192" s="10">
        <f>O192*H192</f>
        <v>0</v>
      </c>
      <c r="Q192" s="10">
        <v>0</v>
      </c>
      <c r="R192" s="10">
        <f>Q192*H192</f>
        <v>0</v>
      </c>
      <c r="S192" s="10">
        <v>0</v>
      </c>
      <c r="T192" s="11">
        <f>S192*H192</f>
        <v>0</v>
      </c>
      <c r="U192" s="105"/>
      <c r="V192" s="105"/>
      <c r="W192" s="105"/>
      <c r="X192" s="105"/>
      <c r="Y192" s="105"/>
      <c r="Z192" s="105"/>
      <c r="AA192" s="105"/>
      <c r="AB192" s="105"/>
      <c r="AC192" s="105"/>
      <c r="AD192" s="105"/>
      <c r="AE192" s="105"/>
      <c r="AR192" s="12" t="s">
        <v>135</v>
      </c>
      <c r="AT192" s="12" t="s">
        <v>131</v>
      </c>
      <c r="AU192" s="12" t="s">
        <v>74</v>
      </c>
      <c r="AY192" s="13" t="s">
        <v>130</v>
      </c>
      <c r="BE192" s="14">
        <f>IF(N192="základní",J192,0)</f>
        <v>0</v>
      </c>
      <c r="BF192" s="14">
        <f>IF(N192="snížená",J192,0)</f>
        <v>0</v>
      </c>
      <c r="BG192" s="14">
        <f>IF(N192="zákl. přenesená",J192,0)</f>
        <v>0</v>
      </c>
      <c r="BH192" s="14">
        <f>IF(N192="sníž. přenesená",J192,0)</f>
        <v>0</v>
      </c>
      <c r="BI192" s="14">
        <f>IF(N192="nulová",J192,0)</f>
        <v>0</v>
      </c>
      <c r="BJ192" s="13" t="s">
        <v>74</v>
      </c>
      <c r="BK192" s="14">
        <f>ROUND(I192*H192,2)</f>
        <v>0</v>
      </c>
      <c r="BL192" s="13" t="s">
        <v>135</v>
      </c>
      <c r="BM192" s="12" t="s">
        <v>219</v>
      </c>
    </row>
    <row r="193" spans="1:65" s="20" customFormat="1" ht="25.9" customHeight="1" x14ac:dyDescent="0.2">
      <c r="B193" s="21"/>
      <c r="D193" s="26" t="s">
        <v>67</v>
      </c>
      <c r="E193" s="39" t="s">
        <v>178</v>
      </c>
      <c r="F193" s="39" t="s">
        <v>376</v>
      </c>
      <c r="J193" s="19">
        <f>BK193</f>
        <v>0</v>
      </c>
      <c r="L193" s="21"/>
      <c r="M193" s="22"/>
      <c r="N193" s="23"/>
      <c r="O193" s="23"/>
      <c r="P193" s="24">
        <f>SUM(P195:P200)</f>
        <v>0</v>
      </c>
      <c r="Q193" s="23"/>
      <c r="R193" s="24">
        <f>SUM(R195:R200)</f>
        <v>0</v>
      </c>
      <c r="S193" s="23"/>
      <c r="T193" s="25">
        <f>SUM(T195:T200)</f>
        <v>0</v>
      </c>
      <c r="AR193" s="26" t="s">
        <v>74</v>
      </c>
      <c r="AT193" s="27" t="s">
        <v>67</v>
      </c>
      <c r="AU193" s="27" t="s">
        <v>68</v>
      </c>
      <c r="AY193" s="26" t="s">
        <v>130</v>
      </c>
      <c r="BK193" s="28">
        <f>SUM(BK195:BK200)</f>
        <v>0</v>
      </c>
    </row>
    <row r="194" spans="1:65" s="5" customFormat="1" ht="10.5" customHeight="1" x14ac:dyDescent="0.2">
      <c r="B194" s="45"/>
      <c r="D194" s="216" t="s">
        <v>340</v>
      </c>
      <c r="F194" s="116" t="s">
        <v>1158</v>
      </c>
      <c r="G194" s="117"/>
      <c r="K194" s="181"/>
      <c r="L194" s="94"/>
      <c r="M194" s="52"/>
      <c r="P194" s="126" t="s">
        <v>148</v>
      </c>
      <c r="Q194" s="126" t="s">
        <v>74</v>
      </c>
    </row>
    <row r="195" spans="1:65" s="5" customFormat="1" ht="16.5" customHeight="1" x14ac:dyDescent="0.2">
      <c r="A195" s="105"/>
      <c r="B195" s="4"/>
      <c r="C195" s="33" t="s">
        <v>183</v>
      </c>
      <c r="D195" s="33" t="s">
        <v>131</v>
      </c>
      <c r="E195" s="34" t="s">
        <v>377</v>
      </c>
      <c r="F195" s="7" t="s">
        <v>378</v>
      </c>
      <c r="G195" s="35" t="s">
        <v>333</v>
      </c>
      <c r="H195" s="36">
        <v>6.8</v>
      </c>
      <c r="I195" s="1"/>
      <c r="J195" s="6">
        <f t="shared" ref="J195:J200" si="10">ROUND(I195*H195,2)</f>
        <v>0</v>
      </c>
      <c r="K195" s="7" t="s">
        <v>1</v>
      </c>
      <c r="L195" s="4"/>
      <c r="M195" s="8" t="s">
        <v>1</v>
      </c>
      <c r="N195" s="9" t="s">
        <v>33</v>
      </c>
      <c r="O195" s="10">
        <v>0</v>
      </c>
      <c r="P195" s="10">
        <f t="shared" ref="P195:P200" si="11">O195*H195</f>
        <v>0</v>
      </c>
      <c r="Q195" s="10">
        <v>0</v>
      </c>
      <c r="R195" s="10">
        <f t="shared" ref="R195:R200" si="12">Q195*H195</f>
        <v>0</v>
      </c>
      <c r="S195" s="10">
        <v>0</v>
      </c>
      <c r="T195" s="11">
        <f t="shared" ref="T195:T200" si="13">S195*H195</f>
        <v>0</v>
      </c>
      <c r="U195" s="105"/>
      <c r="V195" s="105"/>
      <c r="W195" s="105"/>
      <c r="X195" s="105"/>
      <c r="Y195" s="105"/>
      <c r="Z195" s="105"/>
      <c r="AA195" s="105"/>
      <c r="AB195" s="105"/>
      <c r="AC195" s="105"/>
      <c r="AD195" s="105"/>
      <c r="AE195" s="105"/>
      <c r="AR195" s="12" t="s">
        <v>135</v>
      </c>
      <c r="AT195" s="12" t="s">
        <v>131</v>
      </c>
      <c r="AU195" s="12" t="s">
        <v>74</v>
      </c>
      <c r="AY195" s="13" t="s">
        <v>130</v>
      </c>
      <c r="BE195" s="14">
        <f t="shared" ref="BE195:BE200" si="14">IF(N195="základní",J195,0)</f>
        <v>0</v>
      </c>
      <c r="BF195" s="14">
        <f t="shared" ref="BF195:BF200" si="15">IF(N195="snížená",J195,0)</f>
        <v>0</v>
      </c>
      <c r="BG195" s="14">
        <f t="shared" ref="BG195:BG200" si="16">IF(N195="zákl. přenesená",J195,0)</f>
        <v>0</v>
      </c>
      <c r="BH195" s="14">
        <f t="shared" ref="BH195:BH200" si="17">IF(N195="sníž. přenesená",J195,0)</f>
        <v>0</v>
      </c>
      <c r="BI195" s="14">
        <f t="shared" ref="BI195:BI200" si="18">IF(N195="nulová",J195,0)</f>
        <v>0</v>
      </c>
      <c r="BJ195" s="13" t="s">
        <v>74</v>
      </c>
      <c r="BK195" s="14">
        <f t="shared" ref="BK195:BK200" si="19">ROUND(I195*H195,2)</f>
        <v>0</v>
      </c>
      <c r="BL195" s="13" t="s">
        <v>135</v>
      </c>
      <c r="BM195" s="12" t="s">
        <v>222</v>
      </c>
    </row>
    <row r="196" spans="1:65" s="5" customFormat="1" ht="16.5" customHeight="1" x14ac:dyDescent="0.2">
      <c r="A196" s="105"/>
      <c r="B196" s="4"/>
      <c r="C196" s="33" t="s">
        <v>223</v>
      </c>
      <c r="D196" s="33" t="s">
        <v>131</v>
      </c>
      <c r="E196" s="34" t="s">
        <v>379</v>
      </c>
      <c r="F196" s="7" t="s">
        <v>380</v>
      </c>
      <c r="G196" s="35" t="s">
        <v>333</v>
      </c>
      <c r="H196" s="36">
        <v>6.8</v>
      </c>
      <c r="I196" s="1"/>
      <c r="J196" s="6">
        <f t="shared" si="10"/>
        <v>0</v>
      </c>
      <c r="K196" s="7" t="s">
        <v>1</v>
      </c>
      <c r="L196" s="4"/>
      <c r="M196" s="8" t="s">
        <v>1</v>
      </c>
      <c r="N196" s="9" t="s">
        <v>33</v>
      </c>
      <c r="O196" s="10">
        <v>0</v>
      </c>
      <c r="P196" s="10">
        <f t="shared" si="11"/>
        <v>0</v>
      </c>
      <c r="Q196" s="10">
        <v>0</v>
      </c>
      <c r="R196" s="10">
        <f t="shared" si="12"/>
        <v>0</v>
      </c>
      <c r="S196" s="10">
        <v>0</v>
      </c>
      <c r="T196" s="11">
        <f t="shared" si="13"/>
        <v>0</v>
      </c>
      <c r="U196" s="105"/>
      <c r="V196" s="105"/>
      <c r="W196" s="105"/>
      <c r="X196" s="105"/>
      <c r="Y196" s="105"/>
      <c r="Z196" s="105"/>
      <c r="AA196" s="105"/>
      <c r="AB196" s="105"/>
      <c r="AC196" s="105"/>
      <c r="AD196" s="105"/>
      <c r="AE196" s="105"/>
      <c r="AR196" s="12" t="s">
        <v>135</v>
      </c>
      <c r="AT196" s="12" t="s">
        <v>131</v>
      </c>
      <c r="AU196" s="12" t="s">
        <v>74</v>
      </c>
      <c r="AY196" s="13" t="s">
        <v>130</v>
      </c>
      <c r="BE196" s="14">
        <f t="shared" si="14"/>
        <v>0</v>
      </c>
      <c r="BF196" s="14">
        <f t="shared" si="15"/>
        <v>0</v>
      </c>
      <c r="BG196" s="14">
        <f t="shared" si="16"/>
        <v>0</v>
      </c>
      <c r="BH196" s="14">
        <f t="shared" si="17"/>
        <v>0</v>
      </c>
      <c r="BI196" s="14">
        <f t="shared" si="18"/>
        <v>0</v>
      </c>
      <c r="BJ196" s="13" t="s">
        <v>74</v>
      </c>
      <c r="BK196" s="14">
        <f t="shared" si="19"/>
        <v>0</v>
      </c>
      <c r="BL196" s="13" t="s">
        <v>135</v>
      </c>
      <c r="BM196" s="12" t="s">
        <v>224</v>
      </c>
    </row>
    <row r="197" spans="1:65" s="5" customFormat="1" ht="16.5" customHeight="1" x14ac:dyDescent="0.2">
      <c r="A197" s="105"/>
      <c r="B197" s="4"/>
      <c r="C197" s="33" t="s">
        <v>186</v>
      </c>
      <c r="D197" s="33" t="s">
        <v>131</v>
      </c>
      <c r="E197" s="34" t="s">
        <v>381</v>
      </c>
      <c r="F197" s="7" t="s">
        <v>382</v>
      </c>
      <c r="G197" s="35" t="s">
        <v>157</v>
      </c>
      <c r="H197" s="36">
        <v>2</v>
      </c>
      <c r="I197" s="1"/>
      <c r="J197" s="6">
        <f t="shared" si="10"/>
        <v>0</v>
      </c>
      <c r="K197" s="7" t="s">
        <v>1</v>
      </c>
      <c r="L197" s="4"/>
      <c r="M197" s="8" t="s">
        <v>1</v>
      </c>
      <c r="N197" s="9" t="s">
        <v>33</v>
      </c>
      <c r="O197" s="10">
        <v>0</v>
      </c>
      <c r="P197" s="10">
        <f t="shared" si="11"/>
        <v>0</v>
      </c>
      <c r="Q197" s="10">
        <v>0</v>
      </c>
      <c r="R197" s="10">
        <f t="shared" si="12"/>
        <v>0</v>
      </c>
      <c r="S197" s="10">
        <v>0</v>
      </c>
      <c r="T197" s="11">
        <f t="shared" si="13"/>
        <v>0</v>
      </c>
      <c r="U197" s="105"/>
      <c r="V197" s="105"/>
      <c r="W197" s="105"/>
      <c r="X197" s="105"/>
      <c r="Y197" s="105"/>
      <c r="Z197" s="105"/>
      <c r="AA197" s="105"/>
      <c r="AB197" s="105"/>
      <c r="AC197" s="105"/>
      <c r="AD197" s="105"/>
      <c r="AE197" s="105"/>
      <c r="AR197" s="12" t="s">
        <v>135</v>
      </c>
      <c r="AT197" s="12" t="s">
        <v>131</v>
      </c>
      <c r="AU197" s="12" t="s">
        <v>74</v>
      </c>
      <c r="AY197" s="13" t="s">
        <v>130</v>
      </c>
      <c r="BE197" s="14">
        <f t="shared" si="14"/>
        <v>0</v>
      </c>
      <c r="BF197" s="14">
        <f t="shared" si="15"/>
        <v>0</v>
      </c>
      <c r="BG197" s="14">
        <f t="shared" si="16"/>
        <v>0</v>
      </c>
      <c r="BH197" s="14">
        <f t="shared" si="17"/>
        <v>0</v>
      </c>
      <c r="BI197" s="14">
        <f t="shared" si="18"/>
        <v>0</v>
      </c>
      <c r="BJ197" s="13" t="s">
        <v>74</v>
      </c>
      <c r="BK197" s="14">
        <f t="shared" si="19"/>
        <v>0</v>
      </c>
      <c r="BL197" s="13" t="s">
        <v>135</v>
      </c>
      <c r="BM197" s="12" t="s">
        <v>225</v>
      </c>
    </row>
    <row r="198" spans="1:65" s="5" customFormat="1" ht="16.5" customHeight="1" x14ac:dyDescent="0.2">
      <c r="A198" s="105"/>
      <c r="B198" s="4"/>
      <c r="C198" s="33" t="s">
        <v>228</v>
      </c>
      <c r="D198" s="33" t="s">
        <v>131</v>
      </c>
      <c r="E198" s="34" t="s">
        <v>383</v>
      </c>
      <c r="F198" s="7" t="s">
        <v>384</v>
      </c>
      <c r="G198" s="35" t="s">
        <v>157</v>
      </c>
      <c r="H198" s="36">
        <v>1</v>
      </c>
      <c r="I198" s="1"/>
      <c r="J198" s="6">
        <f t="shared" si="10"/>
        <v>0</v>
      </c>
      <c r="K198" s="7" t="s">
        <v>1</v>
      </c>
      <c r="L198" s="4"/>
      <c r="M198" s="8" t="s">
        <v>1</v>
      </c>
      <c r="N198" s="9" t="s">
        <v>33</v>
      </c>
      <c r="O198" s="10">
        <v>0</v>
      </c>
      <c r="P198" s="10">
        <f t="shared" si="11"/>
        <v>0</v>
      </c>
      <c r="Q198" s="10">
        <v>0</v>
      </c>
      <c r="R198" s="10">
        <f t="shared" si="12"/>
        <v>0</v>
      </c>
      <c r="S198" s="10">
        <v>0</v>
      </c>
      <c r="T198" s="11">
        <f t="shared" si="13"/>
        <v>0</v>
      </c>
      <c r="U198" s="105"/>
      <c r="V198" s="105"/>
      <c r="W198" s="105"/>
      <c r="X198" s="105"/>
      <c r="Y198" s="105"/>
      <c r="Z198" s="105"/>
      <c r="AA198" s="105"/>
      <c r="AB198" s="105"/>
      <c r="AC198" s="105"/>
      <c r="AD198" s="105"/>
      <c r="AE198" s="105"/>
      <c r="AR198" s="12" t="s">
        <v>135</v>
      </c>
      <c r="AT198" s="12" t="s">
        <v>131</v>
      </c>
      <c r="AU198" s="12" t="s">
        <v>74</v>
      </c>
      <c r="AY198" s="13" t="s">
        <v>130</v>
      </c>
      <c r="BE198" s="14">
        <f t="shared" si="14"/>
        <v>0</v>
      </c>
      <c r="BF198" s="14">
        <f t="shared" si="15"/>
        <v>0</v>
      </c>
      <c r="BG198" s="14">
        <f t="shared" si="16"/>
        <v>0</v>
      </c>
      <c r="BH198" s="14">
        <f t="shared" si="17"/>
        <v>0</v>
      </c>
      <c r="BI198" s="14">
        <f t="shared" si="18"/>
        <v>0</v>
      </c>
      <c r="BJ198" s="13" t="s">
        <v>74</v>
      </c>
      <c r="BK198" s="14">
        <f t="shared" si="19"/>
        <v>0</v>
      </c>
      <c r="BL198" s="13" t="s">
        <v>135</v>
      </c>
      <c r="BM198" s="12" t="s">
        <v>231</v>
      </c>
    </row>
    <row r="199" spans="1:65" s="5" customFormat="1" ht="16.5" customHeight="1" x14ac:dyDescent="0.2">
      <c r="A199" s="105"/>
      <c r="B199" s="4"/>
      <c r="C199" s="33" t="s">
        <v>189</v>
      </c>
      <c r="D199" s="33" t="s">
        <v>131</v>
      </c>
      <c r="E199" s="34" t="s">
        <v>385</v>
      </c>
      <c r="F199" s="7" t="s">
        <v>386</v>
      </c>
      <c r="G199" s="35" t="s">
        <v>333</v>
      </c>
      <c r="H199" s="36">
        <v>6.8</v>
      </c>
      <c r="I199" s="1"/>
      <c r="J199" s="6">
        <f t="shared" si="10"/>
        <v>0</v>
      </c>
      <c r="K199" s="7" t="s">
        <v>1</v>
      </c>
      <c r="L199" s="4"/>
      <c r="M199" s="8" t="s">
        <v>1</v>
      </c>
      <c r="N199" s="9" t="s">
        <v>33</v>
      </c>
      <c r="O199" s="10">
        <v>0</v>
      </c>
      <c r="P199" s="10">
        <f t="shared" si="11"/>
        <v>0</v>
      </c>
      <c r="Q199" s="10">
        <v>0</v>
      </c>
      <c r="R199" s="10">
        <f t="shared" si="12"/>
        <v>0</v>
      </c>
      <c r="S199" s="10">
        <v>0</v>
      </c>
      <c r="T199" s="11">
        <f t="shared" si="13"/>
        <v>0</v>
      </c>
      <c r="U199" s="105"/>
      <c r="V199" s="105"/>
      <c r="W199" s="105"/>
      <c r="X199" s="105"/>
      <c r="Y199" s="105"/>
      <c r="Z199" s="105"/>
      <c r="AA199" s="105"/>
      <c r="AB199" s="105"/>
      <c r="AC199" s="105"/>
      <c r="AD199" s="105"/>
      <c r="AE199" s="105"/>
      <c r="AR199" s="12" t="s">
        <v>135</v>
      </c>
      <c r="AT199" s="12" t="s">
        <v>131</v>
      </c>
      <c r="AU199" s="12" t="s">
        <v>74</v>
      </c>
      <c r="AY199" s="13" t="s">
        <v>130</v>
      </c>
      <c r="BE199" s="14">
        <f t="shared" si="14"/>
        <v>0</v>
      </c>
      <c r="BF199" s="14">
        <f t="shared" si="15"/>
        <v>0</v>
      </c>
      <c r="BG199" s="14">
        <f t="shared" si="16"/>
        <v>0</v>
      </c>
      <c r="BH199" s="14">
        <f t="shared" si="17"/>
        <v>0</v>
      </c>
      <c r="BI199" s="14">
        <f t="shared" si="18"/>
        <v>0</v>
      </c>
      <c r="BJ199" s="13" t="s">
        <v>74</v>
      </c>
      <c r="BK199" s="14">
        <f t="shared" si="19"/>
        <v>0</v>
      </c>
      <c r="BL199" s="13" t="s">
        <v>135</v>
      </c>
      <c r="BM199" s="12" t="s">
        <v>234</v>
      </c>
    </row>
    <row r="200" spans="1:65" s="5" customFormat="1" ht="16.5" customHeight="1" x14ac:dyDescent="0.2">
      <c r="A200" s="105"/>
      <c r="B200" s="4"/>
      <c r="C200" s="33" t="s">
        <v>238</v>
      </c>
      <c r="D200" s="33" t="s">
        <v>131</v>
      </c>
      <c r="E200" s="34" t="s">
        <v>387</v>
      </c>
      <c r="F200" s="7" t="s">
        <v>388</v>
      </c>
      <c r="G200" s="35" t="s">
        <v>157</v>
      </c>
      <c r="H200" s="36">
        <v>2</v>
      </c>
      <c r="I200" s="1"/>
      <c r="J200" s="6">
        <f t="shared" si="10"/>
        <v>0</v>
      </c>
      <c r="K200" s="7" t="s">
        <v>1</v>
      </c>
      <c r="L200" s="4"/>
      <c r="M200" s="8" t="s">
        <v>1</v>
      </c>
      <c r="N200" s="9" t="s">
        <v>33</v>
      </c>
      <c r="O200" s="10">
        <v>0</v>
      </c>
      <c r="P200" s="10">
        <f t="shared" si="11"/>
        <v>0</v>
      </c>
      <c r="Q200" s="10">
        <v>0</v>
      </c>
      <c r="R200" s="10">
        <f t="shared" si="12"/>
        <v>0</v>
      </c>
      <c r="S200" s="10">
        <v>0</v>
      </c>
      <c r="T200" s="11">
        <f t="shared" si="13"/>
        <v>0</v>
      </c>
      <c r="U200" s="105"/>
      <c r="V200" s="105"/>
      <c r="W200" s="105"/>
      <c r="X200" s="105"/>
      <c r="Y200" s="105"/>
      <c r="Z200" s="105"/>
      <c r="AA200" s="105"/>
      <c r="AB200" s="105"/>
      <c r="AC200" s="105"/>
      <c r="AD200" s="105"/>
      <c r="AE200" s="105"/>
      <c r="AR200" s="12" t="s">
        <v>135</v>
      </c>
      <c r="AT200" s="12" t="s">
        <v>131</v>
      </c>
      <c r="AU200" s="12" t="s">
        <v>74</v>
      </c>
      <c r="AY200" s="13" t="s">
        <v>130</v>
      </c>
      <c r="BE200" s="14">
        <f t="shared" si="14"/>
        <v>0</v>
      </c>
      <c r="BF200" s="14">
        <f t="shared" si="15"/>
        <v>0</v>
      </c>
      <c r="BG200" s="14">
        <f t="shared" si="16"/>
        <v>0</v>
      </c>
      <c r="BH200" s="14">
        <f t="shared" si="17"/>
        <v>0</v>
      </c>
      <c r="BI200" s="14">
        <f t="shared" si="18"/>
        <v>0</v>
      </c>
      <c r="BJ200" s="13" t="s">
        <v>74</v>
      </c>
      <c r="BK200" s="14">
        <f t="shared" si="19"/>
        <v>0</v>
      </c>
      <c r="BL200" s="13" t="s">
        <v>135</v>
      </c>
      <c r="BM200" s="12" t="s">
        <v>239</v>
      </c>
    </row>
    <row r="201" spans="1:65" s="20" customFormat="1" ht="25.9" customHeight="1" x14ac:dyDescent="0.2">
      <c r="B201" s="21"/>
      <c r="D201" s="26" t="s">
        <v>67</v>
      </c>
      <c r="E201" s="39" t="s">
        <v>184</v>
      </c>
      <c r="F201" s="39" t="s">
        <v>389</v>
      </c>
      <c r="J201" s="19">
        <f>BK201</f>
        <v>0</v>
      </c>
      <c r="L201" s="21"/>
      <c r="M201" s="22"/>
      <c r="N201" s="23"/>
      <c r="O201" s="23"/>
      <c r="P201" s="24">
        <f>SUM(P203:P205)</f>
        <v>0</v>
      </c>
      <c r="Q201" s="23"/>
      <c r="R201" s="24">
        <f>SUM(R203:R205)</f>
        <v>0</v>
      </c>
      <c r="S201" s="23"/>
      <c r="T201" s="25">
        <f>SUM(T203:T205)</f>
        <v>0</v>
      </c>
      <c r="AR201" s="26" t="s">
        <v>74</v>
      </c>
      <c r="AT201" s="27" t="s">
        <v>67</v>
      </c>
      <c r="AU201" s="27" t="s">
        <v>68</v>
      </c>
      <c r="AY201" s="26" t="s">
        <v>130</v>
      </c>
      <c r="BK201" s="28">
        <f>SUM(BK203:BK205)</f>
        <v>0</v>
      </c>
    </row>
    <row r="202" spans="1:65" s="5" customFormat="1" ht="10.15" customHeight="1" x14ac:dyDescent="0.2">
      <c r="B202" s="45"/>
      <c r="D202" s="216" t="s">
        <v>340</v>
      </c>
      <c r="F202" s="116" t="s">
        <v>1159</v>
      </c>
      <c r="G202" s="117"/>
      <c r="K202" s="181"/>
      <c r="L202" s="94"/>
      <c r="M202" s="52"/>
      <c r="P202" s="126" t="s">
        <v>148</v>
      </c>
      <c r="Q202" s="126" t="s">
        <v>74</v>
      </c>
    </row>
    <row r="203" spans="1:65" s="5" customFormat="1" ht="16.5" customHeight="1" x14ac:dyDescent="0.2">
      <c r="A203" s="105"/>
      <c r="B203" s="4"/>
      <c r="C203" s="33" t="s">
        <v>196</v>
      </c>
      <c r="D203" s="33" t="s">
        <v>131</v>
      </c>
      <c r="E203" s="34" t="s">
        <v>390</v>
      </c>
      <c r="F203" s="7" t="s">
        <v>380</v>
      </c>
      <c r="G203" s="35" t="s">
        <v>333</v>
      </c>
      <c r="H203" s="36">
        <v>1.56</v>
      </c>
      <c r="I203" s="1"/>
      <c r="J203" s="6">
        <f>ROUND(I203*H203,2)</f>
        <v>0</v>
      </c>
      <c r="K203" s="7" t="s">
        <v>1</v>
      </c>
      <c r="L203" s="4"/>
      <c r="M203" s="8" t="s">
        <v>1</v>
      </c>
      <c r="N203" s="9" t="s">
        <v>33</v>
      </c>
      <c r="O203" s="10">
        <v>0</v>
      </c>
      <c r="P203" s="10">
        <f>O203*H203</f>
        <v>0</v>
      </c>
      <c r="Q203" s="10">
        <v>0</v>
      </c>
      <c r="R203" s="10">
        <f>Q203*H203</f>
        <v>0</v>
      </c>
      <c r="S203" s="10">
        <v>0</v>
      </c>
      <c r="T203" s="11">
        <f>S203*H203</f>
        <v>0</v>
      </c>
      <c r="U203" s="105"/>
      <c r="V203" s="105"/>
      <c r="W203" s="105"/>
      <c r="X203" s="105"/>
      <c r="Y203" s="105"/>
      <c r="Z203" s="105"/>
      <c r="AA203" s="105"/>
      <c r="AB203" s="105"/>
      <c r="AC203" s="105"/>
      <c r="AD203" s="105"/>
      <c r="AE203" s="105"/>
      <c r="AR203" s="12" t="s">
        <v>135</v>
      </c>
      <c r="AT203" s="12" t="s">
        <v>131</v>
      </c>
      <c r="AU203" s="12" t="s">
        <v>74</v>
      </c>
      <c r="AY203" s="13" t="s">
        <v>130</v>
      </c>
      <c r="BE203" s="14">
        <f>IF(N203="základní",J203,0)</f>
        <v>0</v>
      </c>
      <c r="BF203" s="14">
        <f>IF(N203="snížená",J203,0)</f>
        <v>0</v>
      </c>
      <c r="BG203" s="14">
        <f>IF(N203="zákl. přenesená",J203,0)</f>
        <v>0</v>
      </c>
      <c r="BH203" s="14">
        <f>IF(N203="sníž. přenesená",J203,0)</f>
        <v>0</v>
      </c>
      <c r="BI203" s="14">
        <f>IF(N203="nulová",J203,0)</f>
        <v>0</v>
      </c>
      <c r="BJ203" s="13" t="s">
        <v>74</v>
      </c>
      <c r="BK203" s="14">
        <f>ROUND(I203*H203,2)</f>
        <v>0</v>
      </c>
      <c r="BL203" s="13" t="s">
        <v>135</v>
      </c>
      <c r="BM203" s="12" t="s">
        <v>242</v>
      </c>
    </row>
    <row r="204" spans="1:65" s="5" customFormat="1" ht="16.5" customHeight="1" x14ac:dyDescent="0.2">
      <c r="A204" s="105"/>
      <c r="B204" s="4"/>
      <c r="C204" s="33" t="s">
        <v>245</v>
      </c>
      <c r="D204" s="33" t="s">
        <v>131</v>
      </c>
      <c r="E204" s="34" t="s">
        <v>391</v>
      </c>
      <c r="F204" s="7" t="s">
        <v>392</v>
      </c>
      <c r="G204" s="35" t="s">
        <v>157</v>
      </c>
      <c r="H204" s="36">
        <v>1</v>
      </c>
      <c r="I204" s="1"/>
      <c r="J204" s="6">
        <f>ROUND(I204*H204,2)</f>
        <v>0</v>
      </c>
      <c r="K204" s="7" t="s">
        <v>1</v>
      </c>
      <c r="L204" s="4"/>
      <c r="M204" s="8" t="s">
        <v>1</v>
      </c>
      <c r="N204" s="9" t="s">
        <v>33</v>
      </c>
      <c r="O204" s="10">
        <v>0</v>
      </c>
      <c r="P204" s="10">
        <f>O204*H204</f>
        <v>0</v>
      </c>
      <c r="Q204" s="10">
        <v>0</v>
      </c>
      <c r="R204" s="10">
        <f>Q204*H204</f>
        <v>0</v>
      </c>
      <c r="S204" s="10">
        <v>0</v>
      </c>
      <c r="T204" s="11">
        <f>S204*H204</f>
        <v>0</v>
      </c>
      <c r="U204" s="105"/>
      <c r="V204" s="105"/>
      <c r="W204" s="105"/>
      <c r="X204" s="105"/>
      <c r="Y204" s="105"/>
      <c r="Z204" s="105"/>
      <c r="AA204" s="105"/>
      <c r="AB204" s="105"/>
      <c r="AC204" s="105"/>
      <c r="AD204" s="105"/>
      <c r="AE204" s="105"/>
      <c r="AR204" s="12" t="s">
        <v>135</v>
      </c>
      <c r="AT204" s="12" t="s">
        <v>131</v>
      </c>
      <c r="AU204" s="12" t="s">
        <v>74</v>
      </c>
      <c r="AY204" s="13" t="s">
        <v>130</v>
      </c>
      <c r="BE204" s="14">
        <f>IF(N204="základní",J204,0)</f>
        <v>0</v>
      </c>
      <c r="BF204" s="14">
        <f>IF(N204="snížená",J204,0)</f>
        <v>0</v>
      </c>
      <c r="BG204" s="14">
        <f>IF(N204="zákl. přenesená",J204,0)</f>
        <v>0</v>
      </c>
      <c r="BH204" s="14">
        <f>IF(N204="sníž. přenesená",J204,0)</f>
        <v>0</v>
      </c>
      <c r="BI204" s="14">
        <f>IF(N204="nulová",J204,0)</f>
        <v>0</v>
      </c>
      <c r="BJ204" s="13" t="s">
        <v>74</v>
      </c>
      <c r="BK204" s="14">
        <f>ROUND(I204*H204,2)</f>
        <v>0</v>
      </c>
      <c r="BL204" s="13" t="s">
        <v>135</v>
      </c>
      <c r="BM204" s="12" t="s">
        <v>248</v>
      </c>
    </row>
    <row r="205" spans="1:65" s="5" customFormat="1" ht="16.5" customHeight="1" x14ac:dyDescent="0.2">
      <c r="A205" s="105"/>
      <c r="B205" s="4"/>
      <c r="C205" s="33" t="s">
        <v>199</v>
      </c>
      <c r="D205" s="33" t="s">
        <v>131</v>
      </c>
      <c r="E205" s="34" t="s">
        <v>393</v>
      </c>
      <c r="F205" s="7" t="s">
        <v>386</v>
      </c>
      <c r="G205" s="35" t="s">
        <v>333</v>
      </c>
      <c r="H205" s="36">
        <v>1.56</v>
      </c>
      <c r="I205" s="1"/>
      <c r="J205" s="6">
        <f>ROUND(I205*H205,2)</f>
        <v>0</v>
      </c>
      <c r="K205" s="7" t="s">
        <v>1</v>
      </c>
      <c r="L205" s="4"/>
      <c r="M205" s="8" t="s">
        <v>1</v>
      </c>
      <c r="N205" s="9" t="s">
        <v>33</v>
      </c>
      <c r="O205" s="10">
        <v>0</v>
      </c>
      <c r="P205" s="10">
        <f>O205*H205</f>
        <v>0</v>
      </c>
      <c r="Q205" s="10">
        <v>0</v>
      </c>
      <c r="R205" s="10">
        <f>Q205*H205</f>
        <v>0</v>
      </c>
      <c r="S205" s="10">
        <v>0</v>
      </c>
      <c r="T205" s="11">
        <f>S205*H205</f>
        <v>0</v>
      </c>
      <c r="U205" s="105"/>
      <c r="V205" s="105"/>
      <c r="W205" s="105"/>
      <c r="X205" s="105"/>
      <c r="Y205" s="105"/>
      <c r="Z205" s="105"/>
      <c r="AA205" s="105"/>
      <c r="AB205" s="105"/>
      <c r="AC205" s="105"/>
      <c r="AD205" s="105"/>
      <c r="AE205" s="105"/>
      <c r="AR205" s="12" t="s">
        <v>135</v>
      </c>
      <c r="AT205" s="12" t="s">
        <v>131</v>
      </c>
      <c r="AU205" s="12" t="s">
        <v>74</v>
      </c>
      <c r="AY205" s="13" t="s">
        <v>130</v>
      </c>
      <c r="BE205" s="14">
        <f>IF(N205="základní",J205,0)</f>
        <v>0</v>
      </c>
      <c r="BF205" s="14">
        <f>IF(N205="snížená",J205,0)</f>
        <v>0</v>
      </c>
      <c r="BG205" s="14">
        <f>IF(N205="zákl. přenesená",J205,0)</f>
        <v>0</v>
      </c>
      <c r="BH205" s="14">
        <f>IF(N205="sníž. přenesená",J205,0)</f>
        <v>0</v>
      </c>
      <c r="BI205" s="14">
        <f>IF(N205="nulová",J205,0)</f>
        <v>0</v>
      </c>
      <c r="BJ205" s="13" t="s">
        <v>74</v>
      </c>
      <c r="BK205" s="14">
        <f>ROUND(I205*H205,2)</f>
        <v>0</v>
      </c>
      <c r="BL205" s="13" t="s">
        <v>135</v>
      </c>
      <c r="BM205" s="12" t="s">
        <v>254</v>
      </c>
    </row>
    <row r="206" spans="1:65" s="20" customFormat="1" ht="25.9" customHeight="1" x14ac:dyDescent="0.2">
      <c r="B206" s="21"/>
      <c r="D206" s="26" t="s">
        <v>67</v>
      </c>
      <c r="E206" s="39" t="s">
        <v>191</v>
      </c>
      <c r="F206" s="39" t="s">
        <v>394</v>
      </c>
      <c r="J206" s="19">
        <f>BK206</f>
        <v>0</v>
      </c>
      <c r="L206" s="21"/>
      <c r="M206" s="22"/>
      <c r="N206" s="23"/>
      <c r="O206" s="23"/>
      <c r="P206" s="24">
        <f>SUM(P208:P217)</f>
        <v>0</v>
      </c>
      <c r="Q206" s="23"/>
      <c r="R206" s="24">
        <f>SUM(R208:R217)</f>
        <v>0</v>
      </c>
      <c r="S206" s="23"/>
      <c r="T206" s="25">
        <f>SUM(T208:T217)</f>
        <v>0</v>
      </c>
      <c r="AR206" s="26" t="s">
        <v>74</v>
      </c>
      <c r="AT206" s="27" t="s">
        <v>67</v>
      </c>
      <c r="AU206" s="27" t="s">
        <v>68</v>
      </c>
      <c r="AY206" s="26" t="s">
        <v>130</v>
      </c>
      <c r="BK206" s="28">
        <f>SUM(BK208:BK217)</f>
        <v>0</v>
      </c>
    </row>
    <row r="207" spans="1:65" s="5" customFormat="1" ht="16.5" customHeight="1" x14ac:dyDescent="0.2">
      <c r="B207" s="45"/>
      <c r="D207" s="216" t="s">
        <v>340</v>
      </c>
      <c r="F207" s="116" t="s">
        <v>1160</v>
      </c>
      <c r="H207" s="117">
        <f>(2.2*(0.25+12.48+0.9+0.9+0.08+0.56+1.3+1.3+1.3+1.33+0.07+1.54+1.8+0.25+0.26+0.145+0.145+0.26+0.385))+(1.71*1.7)+(1.3*1.54)</f>
        <v>60.470000000000034</v>
      </c>
      <c r="K207" s="181"/>
      <c r="L207" s="94"/>
      <c r="M207" s="52"/>
      <c r="P207" s="126" t="s">
        <v>148</v>
      </c>
      <c r="Q207" s="126" t="s">
        <v>74</v>
      </c>
    </row>
    <row r="208" spans="1:65" s="5" customFormat="1" ht="16.5" customHeight="1" x14ac:dyDescent="0.2">
      <c r="A208" s="105"/>
      <c r="B208" s="4"/>
      <c r="C208" s="33" t="s">
        <v>258</v>
      </c>
      <c r="D208" s="33" t="s">
        <v>131</v>
      </c>
      <c r="E208" s="34" t="s">
        <v>395</v>
      </c>
      <c r="F208" s="7" t="s">
        <v>396</v>
      </c>
      <c r="G208" s="35" t="s">
        <v>134</v>
      </c>
      <c r="H208" s="36">
        <v>60.47</v>
      </c>
      <c r="I208" s="1"/>
      <c r="J208" s="6">
        <f>ROUND(I208*H208,2)</f>
        <v>0</v>
      </c>
      <c r="K208" s="7" t="s">
        <v>1</v>
      </c>
      <c r="L208" s="4"/>
      <c r="M208" s="8" t="s">
        <v>1</v>
      </c>
      <c r="N208" s="9" t="s">
        <v>33</v>
      </c>
      <c r="O208" s="10">
        <v>0</v>
      </c>
      <c r="P208" s="10">
        <f>O208*H208</f>
        <v>0</v>
      </c>
      <c r="Q208" s="10">
        <v>0</v>
      </c>
      <c r="R208" s="10">
        <f>Q208*H208</f>
        <v>0</v>
      </c>
      <c r="S208" s="10">
        <v>0</v>
      </c>
      <c r="T208" s="11">
        <f>S208*H208</f>
        <v>0</v>
      </c>
      <c r="U208" s="105"/>
      <c r="V208" s="105"/>
      <c r="W208" s="105"/>
      <c r="X208" s="105"/>
      <c r="Y208" s="105"/>
      <c r="Z208" s="105"/>
      <c r="AA208" s="105"/>
      <c r="AB208" s="105"/>
      <c r="AC208" s="105"/>
      <c r="AD208" s="105"/>
      <c r="AE208" s="105"/>
      <c r="AR208" s="12" t="s">
        <v>135</v>
      </c>
      <c r="AT208" s="12" t="s">
        <v>131</v>
      </c>
      <c r="AU208" s="12" t="s">
        <v>74</v>
      </c>
      <c r="AY208" s="13" t="s">
        <v>130</v>
      </c>
      <c r="BE208" s="14">
        <f>IF(N208="základní",J208,0)</f>
        <v>0</v>
      </c>
      <c r="BF208" s="14">
        <f>IF(N208="snížená",J208,0)</f>
        <v>0</v>
      </c>
      <c r="BG208" s="14">
        <f>IF(N208="zákl. přenesená",J208,0)</f>
        <v>0</v>
      </c>
      <c r="BH208" s="14">
        <f>IF(N208="sníž. přenesená",J208,0)</f>
        <v>0</v>
      </c>
      <c r="BI208" s="14">
        <f>IF(N208="nulová",J208,0)</f>
        <v>0</v>
      </c>
      <c r="BJ208" s="13" t="s">
        <v>74</v>
      </c>
      <c r="BK208" s="14">
        <f>ROUND(I208*H208,2)</f>
        <v>0</v>
      </c>
      <c r="BL208" s="13" t="s">
        <v>135</v>
      </c>
      <c r="BM208" s="12" t="s">
        <v>259</v>
      </c>
    </row>
    <row r="209" spans="1:65" s="5" customFormat="1" ht="16.5" customHeight="1" x14ac:dyDescent="0.2">
      <c r="A209" s="105"/>
      <c r="B209" s="4"/>
      <c r="C209" s="33" t="s">
        <v>201</v>
      </c>
      <c r="D209" s="33" t="s">
        <v>131</v>
      </c>
      <c r="E209" s="34" t="s">
        <v>397</v>
      </c>
      <c r="F209" s="7" t="s">
        <v>398</v>
      </c>
      <c r="G209" s="35" t="s">
        <v>134</v>
      </c>
      <c r="H209" s="36">
        <v>6</v>
      </c>
      <c r="I209" s="1"/>
      <c r="J209" s="6">
        <f>ROUND(I209*H209,2)</f>
        <v>0</v>
      </c>
      <c r="K209" s="7" t="s">
        <v>1</v>
      </c>
      <c r="L209" s="4"/>
      <c r="M209" s="8" t="s">
        <v>1</v>
      </c>
      <c r="N209" s="9" t="s">
        <v>33</v>
      </c>
      <c r="O209" s="10">
        <v>0</v>
      </c>
      <c r="P209" s="10">
        <f>O209*H209</f>
        <v>0</v>
      </c>
      <c r="Q209" s="10">
        <v>0</v>
      </c>
      <c r="R209" s="10">
        <f>Q209*H209</f>
        <v>0</v>
      </c>
      <c r="S209" s="10">
        <v>0</v>
      </c>
      <c r="T209" s="11">
        <f>S209*H209</f>
        <v>0</v>
      </c>
      <c r="U209" s="105"/>
      <c r="V209" s="105"/>
      <c r="W209" s="105"/>
      <c r="X209" s="105"/>
      <c r="Y209" s="105"/>
      <c r="Z209" s="105"/>
      <c r="AA209" s="105"/>
      <c r="AB209" s="105"/>
      <c r="AC209" s="105"/>
      <c r="AD209" s="105"/>
      <c r="AE209" s="105"/>
      <c r="AR209" s="12" t="s">
        <v>135</v>
      </c>
      <c r="AT209" s="12" t="s">
        <v>131</v>
      </c>
      <c r="AU209" s="12" t="s">
        <v>74</v>
      </c>
      <c r="AY209" s="13" t="s">
        <v>130</v>
      </c>
      <c r="BE209" s="14">
        <f>IF(N209="základní",J209,0)</f>
        <v>0</v>
      </c>
      <c r="BF209" s="14">
        <f>IF(N209="snížená",J209,0)</f>
        <v>0</v>
      </c>
      <c r="BG209" s="14">
        <f>IF(N209="zákl. přenesená",J209,0)</f>
        <v>0</v>
      </c>
      <c r="BH209" s="14">
        <f>IF(N209="sníž. přenesená",J209,0)</f>
        <v>0</v>
      </c>
      <c r="BI209" s="14">
        <f>IF(N209="nulová",J209,0)</f>
        <v>0</v>
      </c>
      <c r="BJ209" s="13" t="s">
        <v>74</v>
      </c>
      <c r="BK209" s="14">
        <f>ROUND(I209*H209,2)</f>
        <v>0</v>
      </c>
      <c r="BL209" s="13" t="s">
        <v>135</v>
      </c>
      <c r="BM209" s="12" t="s">
        <v>262</v>
      </c>
    </row>
    <row r="210" spans="1:65" s="5" customFormat="1" ht="19.5" x14ac:dyDescent="0.2">
      <c r="A210" s="105"/>
      <c r="B210" s="4"/>
      <c r="C210" s="105"/>
      <c r="D210" s="37" t="s">
        <v>148</v>
      </c>
      <c r="E210" s="105"/>
      <c r="F210" s="38" t="s">
        <v>399</v>
      </c>
      <c r="G210" s="105"/>
      <c r="H210" s="105"/>
      <c r="I210" s="105"/>
      <c r="J210" s="105"/>
      <c r="K210" s="105"/>
      <c r="L210" s="4"/>
      <c r="M210" s="15"/>
      <c r="N210" s="16"/>
      <c r="O210" s="17"/>
      <c r="P210" s="17"/>
      <c r="Q210" s="17"/>
      <c r="R210" s="17"/>
      <c r="S210" s="17"/>
      <c r="T210" s="18"/>
      <c r="U210" s="105"/>
      <c r="V210" s="105"/>
      <c r="W210" s="105"/>
      <c r="X210" s="105"/>
      <c r="Y210" s="105"/>
      <c r="Z210" s="105"/>
      <c r="AA210" s="105"/>
      <c r="AB210" s="105"/>
      <c r="AC210" s="105"/>
      <c r="AD210" s="105"/>
      <c r="AE210" s="105"/>
      <c r="AT210" s="13" t="s">
        <v>148</v>
      </c>
      <c r="AU210" s="13" t="s">
        <v>74</v>
      </c>
    </row>
    <row r="211" spans="1:65" s="5" customFormat="1" ht="16.5" customHeight="1" x14ac:dyDescent="0.2">
      <c r="A211" s="105"/>
      <c r="B211" s="4"/>
      <c r="C211" s="33" t="s">
        <v>265</v>
      </c>
      <c r="D211" s="33" t="s">
        <v>131</v>
      </c>
      <c r="E211" s="34" t="s">
        <v>400</v>
      </c>
      <c r="F211" s="7" t="s">
        <v>401</v>
      </c>
      <c r="G211" s="35" t="s">
        <v>134</v>
      </c>
      <c r="H211" s="36">
        <v>60.47</v>
      </c>
      <c r="I211" s="1"/>
      <c r="J211" s="6">
        <f>ROUND(I211*H211,2)</f>
        <v>0</v>
      </c>
      <c r="K211" s="7" t="s">
        <v>1</v>
      </c>
      <c r="L211" s="4"/>
      <c r="M211" s="8" t="s">
        <v>1</v>
      </c>
      <c r="N211" s="9" t="s">
        <v>33</v>
      </c>
      <c r="O211" s="10">
        <v>0</v>
      </c>
      <c r="P211" s="10">
        <f>O211*H211</f>
        <v>0</v>
      </c>
      <c r="Q211" s="10">
        <v>0</v>
      </c>
      <c r="R211" s="10">
        <f>Q211*H211</f>
        <v>0</v>
      </c>
      <c r="S211" s="10">
        <v>0</v>
      </c>
      <c r="T211" s="11">
        <f>S211*H211</f>
        <v>0</v>
      </c>
      <c r="U211" s="105"/>
      <c r="V211" s="105"/>
      <c r="W211" s="105"/>
      <c r="X211" s="105"/>
      <c r="Y211" s="105"/>
      <c r="Z211" s="105"/>
      <c r="AA211" s="105"/>
      <c r="AB211" s="105"/>
      <c r="AC211" s="105"/>
      <c r="AD211" s="105"/>
      <c r="AE211" s="105"/>
      <c r="AR211" s="12" t="s">
        <v>135</v>
      </c>
      <c r="AT211" s="12" t="s">
        <v>131</v>
      </c>
      <c r="AU211" s="12" t="s">
        <v>74</v>
      </c>
      <c r="AY211" s="13" t="s">
        <v>130</v>
      </c>
      <c r="BE211" s="14">
        <f>IF(N211="základní",J211,0)</f>
        <v>0</v>
      </c>
      <c r="BF211" s="14">
        <f>IF(N211="snížená",J211,0)</f>
        <v>0</v>
      </c>
      <c r="BG211" s="14">
        <f>IF(N211="zákl. přenesená",J211,0)</f>
        <v>0</v>
      </c>
      <c r="BH211" s="14">
        <f>IF(N211="sníž. přenesená",J211,0)</f>
        <v>0</v>
      </c>
      <c r="BI211" s="14">
        <f>IF(N211="nulová",J211,0)</f>
        <v>0</v>
      </c>
      <c r="BJ211" s="13" t="s">
        <v>74</v>
      </c>
      <c r="BK211" s="14">
        <f>ROUND(I211*H211,2)</f>
        <v>0</v>
      </c>
      <c r="BL211" s="13" t="s">
        <v>135</v>
      </c>
      <c r="BM211" s="12" t="s">
        <v>266</v>
      </c>
    </row>
    <row r="212" spans="1:65" s="5" customFormat="1" ht="16.5" customHeight="1" x14ac:dyDescent="0.2">
      <c r="A212" s="105"/>
      <c r="B212" s="4"/>
      <c r="C212" s="33" t="s">
        <v>202</v>
      </c>
      <c r="D212" s="33" t="s">
        <v>131</v>
      </c>
      <c r="E212" s="34" t="s">
        <v>402</v>
      </c>
      <c r="F212" s="7" t="s">
        <v>403</v>
      </c>
      <c r="G212" s="35" t="s">
        <v>134</v>
      </c>
      <c r="H212" s="36">
        <v>6</v>
      </c>
      <c r="I212" s="1"/>
      <c r="J212" s="6">
        <f>ROUND(I212*H212,2)</f>
        <v>0</v>
      </c>
      <c r="K212" s="7" t="s">
        <v>1</v>
      </c>
      <c r="L212" s="4"/>
      <c r="M212" s="8" t="s">
        <v>1</v>
      </c>
      <c r="N212" s="9" t="s">
        <v>33</v>
      </c>
      <c r="O212" s="10">
        <v>0</v>
      </c>
      <c r="P212" s="10">
        <f>O212*H212</f>
        <v>0</v>
      </c>
      <c r="Q212" s="10">
        <v>0</v>
      </c>
      <c r="R212" s="10">
        <f>Q212*H212</f>
        <v>0</v>
      </c>
      <c r="S212" s="10">
        <v>0</v>
      </c>
      <c r="T212" s="11">
        <f>S212*H212</f>
        <v>0</v>
      </c>
      <c r="U212" s="105"/>
      <c r="V212" s="105"/>
      <c r="W212" s="105"/>
      <c r="X212" s="105"/>
      <c r="Y212" s="105"/>
      <c r="Z212" s="105"/>
      <c r="AA212" s="105"/>
      <c r="AB212" s="105"/>
      <c r="AC212" s="105"/>
      <c r="AD212" s="105"/>
      <c r="AE212" s="105"/>
      <c r="AR212" s="12" t="s">
        <v>135</v>
      </c>
      <c r="AT212" s="12" t="s">
        <v>131</v>
      </c>
      <c r="AU212" s="12" t="s">
        <v>74</v>
      </c>
      <c r="AY212" s="13" t="s">
        <v>130</v>
      </c>
      <c r="BE212" s="14">
        <f>IF(N212="základní",J212,0)</f>
        <v>0</v>
      </c>
      <c r="BF212" s="14">
        <f>IF(N212="snížená",J212,0)</f>
        <v>0</v>
      </c>
      <c r="BG212" s="14">
        <f>IF(N212="zákl. přenesená",J212,0)</f>
        <v>0</v>
      </c>
      <c r="BH212" s="14">
        <f>IF(N212="sníž. přenesená",J212,0)</f>
        <v>0</v>
      </c>
      <c r="BI212" s="14">
        <f>IF(N212="nulová",J212,0)</f>
        <v>0</v>
      </c>
      <c r="BJ212" s="13" t="s">
        <v>74</v>
      </c>
      <c r="BK212" s="14">
        <f>ROUND(I212*H212,2)</f>
        <v>0</v>
      </c>
      <c r="BL212" s="13" t="s">
        <v>135</v>
      </c>
      <c r="BM212" s="12" t="s">
        <v>269</v>
      </c>
    </row>
    <row r="213" spans="1:65" s="5" customFormat="1" ht="16.5" customHeight="1" x14ac:dyDescent="0.2">
      <c r="A213" s="105"/>
      <c r="B213" s="4"/>
      <c r="C213" s="33" t="s">
        <v>273</v>
      </c>
      <c r="D213" s="33" t="s">
        <v>131</v>
      </c>
      <c r="E213" s="34" t="s">
        <v>404</v>
      </c>
      <c r="F213" s="7" t="s">
        <v>337</v>
      </c>
      <c r="G213" s="35" t="s">
        <v>134</v>
      </c>
      <c r="H213" s="36">
        <v>60.47</v>
      </c>
      <c r="I213" s="1"/>
      <c r="J213" s="6">
        <f>ROUND(I213*H213,2)</f>
        <v>0</v>
      </c>
      <c r="K213" s="7" t="s">
        <v>1</v>
      </c>
      <c r="L213" s="4"/>
      <c r="M213" s="8" t="s">
        <v>1</v>
      </c>
      <c r="N213" s="9" t="s">
        <v>33</v>
      </c>
      <c r="O213" s="10">
        <v>0</v>
      </c>
      <c r="P213" s="10">
        <f>O213*H213</f>
        <v>0</v>
      </c>
      <c r="Q213" s="10">
        <v>0</v>
      </c>
      <c r="R213" s="10">
        <f>Q213*H213</f>
        <v>0</v>
      </c>
      <c r="S213" s="10">
        <v>0</v>
      </c>
      <c r="T213" s="11">
        <f>S213*H213</f>
        <v>0</v>
      </c>
      <c r="U213" s="105"/>
      <c r="V213" s="105"/>
      <c r="W213" s="105"/>
      <c r="X213" s="105"/>
      <c r="Y213" s="105"/>
      <c r="Z213" s="105"/>
      <c r="AA213" s="105"/>
      <c r="AB213" s="105"/>
      <c r="AC213" s="105"/>
      <c r="AD213" s="105"/>
      <c r="AE213" s="105"/>
      <c r="AR213" s="12" t="s">
        <v>135</v>
      </c>
      <c r="AT213" s="12" t="s">
        <v>131</v>
      </c>
      <c r="AU213" s="12" t="s">
        <v>74</v>
      </c>
      <c r="AY213" s="13" t="s">
        <v>130</v>
      </c>
      <c r="BE213" s="14">
        <f>IF(N213="základní",J213,0)</f>
        <v>0</v>
      </c>
      <c r="BF213" s="14">
        <f>IF(N213="snížená",J213,0)</f>
        <v>0</v>
      </c>
      <c r="BG213" s="14">
        <f>IF(N213="zákl. přenesená",J213,0)</f>
        <v>0</v>
      </c>
      <c r="BH213" s="14">
        <f>IF(N213="sníž. přenesená",J213,0)</f>
        <v>0</v>
      </c>
      <c r="BI213" s="14">
        <f>IF(N213="nulová",J213,0)</f>
        <v>0</v>
      </c>
      <c r="BJ213" s="13" t="s">
        <v>74</v>
      </c>
      <c r="BK213" s="14">
        <f>ROUND(I213*H213,2)</f>
        <v>0</v>
      </c>
      <c r="BL213" s="13" t="s">
        <v>135</v>
      </c>
      <c r="BM213" s="12" t="s">
        <v>274</v>
      </c>
    </row>
    <row r="214" spans="1:65" s="5" customFormat="1" ht="16.5" customHeight="1" x14ac:dyDescent="0.2">
      <c r="A214" s="105"/>
      <c r="B214" s="4"/>
      <c r="C214" s="33" t="s">
        <v>205</v>
      </c>
      <c r="D214" s="33" t="s">
        <v>131</v>
      </c>
      <c r="E214" s="34" t="s">
        <v>405</v>
      </c>
      <c r="F214" s="7" t="s">
        <v>406</v>
      </c>
      <c r="G214" s="35" t="s">
        <v>134</v>
      </c>
      <c r="H214" s="36">
        <v>42.622</v>
      </c>
      <c r="I214" s="1"/>
      <c r="J214" s="6">
        <f>ROUND(I214*H214,2)</f>
        <v>0</v>
      </c>
      <c r="K214" s="7" t="s">
        <v>1</v>
      </c>
      <c r="L214" s="4"/>
      <c r="M214" s="8" t="s">
        <v>1</v>
      </c>
      <c r="N214" s="9" t="s">
        <v>33</v>
      </c>
      <c r="O214" s="10">
        <v>0</v>
      </c>
      <c r="P214" s="10">
        <f>O214*H214</f>
        <v>0</v>
      </c>
      <c r="Q214" s="10">
        <v>0</v>
      </c>
      <c r="R214" s="10">
        <f>Q214*H214</f>
        <v>0</v>
      </c>
      <c r="S214" s="10">
        <v>0</v>
      </c>
      <c r="T214" s="11">
        <f>S214*H214</f>
        <v>0</v>
      </c>
      <c r="U214" s="105"/>
      <c r="V214" s="105"/>
      <c r="W214" s="105"/>
      <c r="X214" s="105"/>
      <c r="Y214" s="105"/>
      <c r="Z214" s="105"/>
      <c r="AA214" s="105"/>
      <c r="AB214" s="105"/>
      <c r="AC214" s="105"/>
      <c r="AD214" s="105"/>
      <c r="AE214" s="105"/>
      <c r="AR214" s="12" t="s">
        <v>135</v>
      </c>
      <c r="AT214" s="12" t="s">
        <v>131</v>
      </c>
      <c r="AU214" s="12" t="s">
        <v>74</v>
      </c>
      <c r="AY214" s="13" t="s">
        <v>130</v>
      </c>
      <c r="BE214" s="14">
        <f>IF(N214="základní",J214,0)</f>
        <v>0</v>
      </c>
      <c r="BF214" s="14">
        <f>IF(N214="snížená",J214,0)</f>
        <v>0</v>
      </c>
      <c r="BG214" s="14">
        <f>IF(N214="zákl. přenesená",J214,0)</f>
        <v>0</v>
      </c>
      <c r="BH214" s="14">
        <f>IF(N214="sníž. přenesená",J214,0)</f>
        <v>0</v>
      </c>
      <c r="BI214" s="14">
        <f>IF(N214="nulová",J214,0)</f>
        <v>0</v>
      </c>
      <c r="BJ214" s="13" t="s">
        <v>74</v>
      </c>
      <c r="BK214" s="14">
        <f>ROUND(I214*H214,2)</f>
        <v>0</v>
      </c>
      <c r="BL214" s="13" t="s">
        <v>135</v>
      </c>
      <c r="BM214" s="12" t="s">
        <v>275</v>
      </c>
    </row>
    <row r="215" spans="1:65" s="152" customFormat="1" x14ac:dyDescent="0.2">
      <c r="B215" s="210"/>
      <c r="D215" s="37" t="s">
        <v>340</v>
      </c>
      <c r="E215" s="161" t="s">
        <v>1</v>
      </c>
      <c r="F215" s="211" t="s">
        <v>407</v>
      </c>
      <c r="H215" s="212"/>
      <c r="L215" s="210"/>
      <c r="M215" s="159"/>
      <c r="N215" s="154"/>
      <c r="O215" s="154"/>
      <c r="P215" s="154"/>
      <c r="Q215" s="154"/>
      <c r="R215" s="154"/>
      <c r="S215" s="154"/>
      <c r="T215" s="160"/>
      <c r="AT215" s="161" t="s">
        <v>340</v>
      </c>
      <c r="AU215" s="161" t="s">
        <v>74</v>
      </c>
      <c r="AV215" s="152" t="s">
        <v>76</v>
      </c>
      <c r="AW215" s="152" t="s">
        <v>25</v>
      </c>
      <c r="AX215" s="152" t="s">
        <v>68</v>
      </c>
      <c r="AY215" s="161" t="s">
        <v>130</v>
      </c>
    </row>
    <row r="216" spans="1:65" s="162" customFormat="1" x14ac:dyDescent="0.2">
      <c r="B216" s="213"/>
      <c r="D216" s="37" t="s">
        <v>340</v>
      </c>
      <c r="E216" s="171" t="s">
        <v>1</v>
      </c>
      <c r="F216" s="214" t="s">
        <v>342</v>
      </c>
      <c r="H216" s="215">
        <v>42.622</v>
      </c>
      <c r="L216" s="213"/>
      <c r="M216" s="169"/>
      <c r="N216" s="164"/>
      <c r="O216" s="164"/>
      <c r="P216" s="164"/>
      <c r="Q216" s="164"/>
      <c r="R216" s="164"/>
      <c r="S216" s="164"/>
      <c r="T216" s="170"/>
      <c r="AT216" s="171" t="s">
        <v>340</v>
      </c>
      <c r="AU216" s="171" t="s">
        <v>74</v>
      </c>
      <c r="AV216" s="162" t="s">
        <v>135</v>
      </c>
      <c r="AW216" s="162" t="s">
        <v>25</v>
      </c>
      <c r="AX216" s="162" t="s">
        <v>74</v>
      </c>
      <c r="AY216" s="171" t="s">
        <v>130</v>
      </c>
    </row>
    <row r="217" spans="1:65" s="5" customFormat="1" ht="16.5" customHeight="1" x14ac:dyDescent="0.2">
      <c r="A217" s="105"/>
      <c r="B217" s="4"/>
      <c r="C217" s="33" t="s">
        <v>277</v>
      </c>
      <c r="D217" s="33" t="s">
        <v>131</v>
      </c>
      <c r="E217" s="34" t="s">
        <v>408</v>
      </c>
      <c r="F217" s="7" t="s">
        <v>409</v>
      </c>
      <c r="G217" s="35" t="s">
        <v>134</v>
      </c>
      <c r="H217" s="36">
        <v>42.622</v>
      </c>
      <c r="I217" s="1"/>
      <c r="J217" s="6">
        <f>ROUND(I217*H217,2)</f>
        <v>0</v>
      </c>
      <c r="K217" s="7" t="s">
        <v>1</v>
      </c>
      <c r="L217" s="4"/>
      <c r="M217" s="8" t="s">
        <v>1</v>
      </c>
      <c r="N217" s="9" t="s">
        <v>33</v>
      </c>
      <c r="O217" s="10">
        <v>0</v>
      </c>
      <c r="P217" s="10">
        <f>O217*H217</f>
        <v>0</v>
      </c>
      <c r="Q217" s="10">
        <v>0</v>
      </c>
      <c r="R217" s="10">
        <f>Q217*H217</f>
        <v>0</v>
      </c>
      <c r="S217" s="10">
        <v>0</v>
      </c>
      <c r="T217" s="11">
        <f>S217*H217</f>
        <v>0</v>
      </c>
      <c r="U217" s="105"/>
      <c r="V217" s="105"/>
      <c r="W217" s="105"/>
      <c r="X217" s="105"/>
      <c r="Y217" s="105"/>
      <c r="Z217" s="105"/>
      <c r="AA217" s="105"/>
      <c r="AB217" s="105"/>
      <c r="AC217" s="105"/>
      <c r="AD217" s="105"/>
      <c r="AE217" s="105"/>
      <c r="AR217" s="12" t="s">
        <v>135</v>
      </c>
      <c r="AT217" s="12" t="s">
        <v>131</v>
      </c>
      <c r="AU217" s="12" t="s">
        <v>74</v>
      </c>
      <c r="AY217" s="13" t="s">
        <v>130</v>
      </c>
      <c r="BE217" s="14">
        <f>IF(N217="základní",J217,0)</f>
        <v>0</v>
      </c>
      <c r="BF217" s="14">
        <f>IF(N217="snížená",J217,0)</f>
        <v>0</v>
      </c>
      <c r="BG217" s="14">
        <f>IF(N217="zákl. přenesená",J217,0)</f>
        <v>0</v>
      </c>
      <c r="BH217" s="14">
        <f>IF(N217="sníž. přenesená",J217,0)</f>
        <v>0</v>
      </c>
      <c r="BI217" s="14">
        <f>IF(N217="nulová",J217,0)</f>
        <v>0</v>
      </c>
      <c r="BJ217" s="13" t="s">
        <v>74</v>
      </c>
      <c r="BK217" s="14">
        <f>ROUND(I217*H217,2)</f>
        <v>0</v>
      </c>
      <c r="BL217" s="13" t="s">
        <v>135</v>
      </c>
      <c r="BM217" s="12" t="s">
        <v>279</v>
      </c>
    </row>
    <row r="218" spans="1:65" s="20" customFormat="1" ht="25.9" customHeight="1" x14ac:dyDescent="0.2">
      <c r="B218" s="21"/>
      <c r="D218" s="26" t="s">
        <v>67</v>
      </c>
      <c r="E218" s="39" t="s">
        <v>207</v>
      </c>
      <c r="F218" s="39" t="s">
        <v>410</v>
      </c>
      <c r="J218" s="19">
        <f>BK218</f>
        <v>0</v>
      </c>
      <c r="L218" s="21"/>
      <c r="M218" s="22"/>
      <c r="N218" s="23"/>
      <c r="O218" s="23"/>
      <c r="P218" s="24">
        <f>SUM(P221:P231)</f>
        <v>0</v>
      </c>
      <c r="Q218" s="23"/>
      <c r="R218" s="24">
        <f>SUM(R221:R231)</f>
        <v>0</v>
      </c>
      <c r="S218" s="23"/>
      <c r="T218" s="25">
        <f>SUM(T221:T231)</f>
        <v>0</v>
      </c>
      <c r="AR218" s="26" t="s">
        <v>74</v>
      </c>
      <c r="AT218" s="27" t="s">
        <v>67</v>
      </c>
      <c r="AU218" s="27" t="s">
        <v>68</v>
      </c>
      <c r="AY218" s="26" t="s">
        <v>130</v>
      </c>
      <c r="BK218" s="28">
        <f>SUM(BK221:BK231)</f>
        <v>0</v>
      </c>
    </row>
    <row r="219" spans="1:65" s="5" customFormat="1" ht="10.15" customHeight="1" x14ac:dyDescent="0.2">
      <c r="B219" s="45"/>
      <c r="D219" s="216" t="s">
        <v>340</v>
      </c>
      <c r="F219" s="116" t="s">
        <v>1161</v>
      </c>
      <c r="G219" s="117"/>
      <c r="K219" s="181"/>
      <c r="L219" s="94"/>
      <c r="M219" s="52"/>
      <c r="P219" s="126" t="s">
        <v>148</v>
      </c>
      <c r="Q219" s="126" t="s">
        <v>74</v>
      </c>
    </row>
    <row r="220" spans="1:65" s="5" customFormat="1" ht="14.25" customHeight="1" x14ac:dyDescent="0.2">
      <c r="B220" s="45"/>
      <c r="D220" s="216" t="s">
        <v>340</v>
      </c>
      <c r="F220" s="116" t="s">
        <v>1162</v>
      </c>
      <c r="H220" s="117">
        <f>12.21+(32*1.51*0.155)</f>
        <v>19.6996</v>
      </c>
      <c r="K220" s="181"/>
      <c r="L220" s="94"/>
      <c r="M220" s="52"/>
      <c r="P220" s="126" t="s">
        <v>148</v>
      </c>
      <c r="Q220" s="126" t="s">
        <v>74</v>
      </c>
    </row>
    <row r="221" spans="1:65" s="5" customFormat="1" ht="16.5" customHeight="1" x14ac:dyDescent="0.2">
      <c r="A221" s="105"/>
      <c r="B221" s="4"/>
      <c r="C221" s="33" t="s">
        <v>206</v>
      </c>
      <c r="D221" s="33" t="s">
        <v>131</v>
      </c>
      <c r="E221" s="34" t="s">
        <v>411</v>
      </c>
      <c r="F221" s="7" t="s">
        <v>412</v>
      </c>
      <c r="G221" s="35" t="s">
        <v>333</v>
      </c>
      <c r="H221" s="36">
        <v>50.94</v>
      </c>
      <c r="I221" s="1"/>
      <c r="J221" s="6">
        <f>ROUND(I221*H221,2)</f>
        <v>0</v>
      </c>
      <c r="K221" s="7" t="s">
        <v>1</v>
      </c>
      <c r="L221" s="4"/>
      <c r="M221" s="8" t="s">
        <v>1</v>
      </c>
      <c r="N221" s="9" t="s">
        <v>33</v>
      </c>
      <c r="O221" s="10">
        <v>0</v>
      </c>
      <c r="P221" s="10">
        <f>O221*H221</f>
        <v>0</v>
      </c>
      <c r="Q221" s="10">
        <v>0</v>
      </c>
      <c r="R221" s="10">
        <f>Q221*H221</f>
        <v>0</v>
      </c>
      <c r="S221" s="10">
        <v>0</v>
      </c>
      <c r="T221" s="11">
        <f>S221*H221</f>
        <v>0</v>
      </c>
      <c r="U221" s="105"/>
      <c r="V221" s="105"/>
      <c r="W221" s="105"/>
      <c r="X221" s="105"/>
      <c r="Y221" s="105"/>
      <c r="Z221" s="105"/>
      <c r="AA221" s="105"/>
      <c r="AB221" s="105"/>
      <c r="AC221" s="105"/>
      <c r="AD221" s="105"/>
      <c r="AE221" s="105"/>
      <c r="AR221" s="12" t="s">
        <v>135</v>
      </c>
      <c r="AT221" s="12" t="s">
        <v>131</v>
      </c>
      <c r="AU221" s="12" t="s">
        <v>74</v>
      </c>
      <c r="AY221" s="13" t="s">
        <v>130</v>
      </c>
      <c r="BE221" s="14">
        <f>IF(N221="základní",J221,0)</f>
        <v>0</v>
      </c>
      <c r="BF221" s="14">
        <f>IF(N221="snížená",J221,0)</f>
        <v>0</v>
      </c>
      <c r="BG221" s="14">
        <f>IF(N221="zákl. přenesená",J221,0)</f>
        <v>0</v>
      </c>
      <c r="BH221" s="14">
        <f>IF(N221="sníž. přenesená",J221,0)</f>
        <v>0</v>
      </c>
      <c r="BI221" s="14">
        <f>IF(N221="nulová",J221,0)</f>
        <v>0</v>
      </c>
      <c r="BJ221" s="13" t="s">
        <v>74</v>
      </c>
      <c r="BK221" s="14">
        <f>ROUND(I221*H221,2)</f>
        <v>0</v>
      </c>
      <c r="BL221" s="13" t="s">
        <v>135</v>
      </c>
      <c r="BM221" s="12" t="s">
        <v>282</v>
      </c>
    </row>
    <row r="222" spans="1:65" s="5" customFormat="1" ht="16.5" customHeight="1" x14ac:dyDescent="0.2">
      <c r="A222" s="105"/>
      <c r="B222" s="4"/>
      <c r="C222" s="33" t="s">
        <v>283</v>
      </c>
      <c r="D222" s="33" t="s">
        <v>131</v>
      </c>
      <c r="E222" s="34" t="s">
        <v>413</v>
      </c>
      <c r="F222" s="7" t="s">
        <v>414</v>
      </c>
      <c r="G222" s="35" t="s">
        <v>333</v>
      </c>
      <c r="H222" s="36">
        <v>50.94</v>
      </c>
      <c r="I222" s="1"/>
      <c r="J222" s="6">
        <f>ROUND(I222*H222,2)</f>
        <v>0</v>
      </c>
      <c r="K222" s="7" t="s">
        <v>1</v>
      </c>
      <c r="L222" s="4"/>
      <c r="M222" s="8" t="s">
        <v>1</v>
      </c>
      <c r="N222" s="9" t="s">
        <v>33</v>
      </c>
      <c r="O222" s="10">
        <v>0</v>
      </c>
      <c r="P222" s="10">
        <f>O222*H222</f>
        <v>0</v>
      </c>
      <c r="Q222" s="10">
        <v>0</v>
      </c>
      <c r="R222" s="10">
        <f>Q222*H222</f>
        <v>0</v>
      </c>
      <c r="S222" s="10">
        <v>0</v>
      </c>
      <c r="T222" s="11">
        <f>S222*H222</f>
        <v>0</v>
      </c>
      <c r="U222" s="105"/>
      <c r="V222" s="105"/>
      <c r="W222" s="105"/>
      <c r="X222" s="105"/>
      <c r="Y222" s="105"/>
      <c r="Z222" s="105"/>
      <c r="AA222" s="105"/>
      <c r="AB222" s="105"/>
      <c r="AC222" s="105"/>
      <c r="AD222" s="105"/>
      <c r="AE222" s="105"/>
      <c r="AR222" s="12" t="s">
        <v>135</v>
      </c>
      <c r="AT222" s="12" t="s">
        <v>131</v>
      </c>
      <c r="AU222" s="12" t="s">
        <v>74</v>
      </c>
      <c r="AY222" s="13" t="s">
        <v>130</v>
      </c>
      <c r="BE222" s="14">
        <f>IF(N222="základní",J222,0)</f>
        <v>0</v>
      </c>
      <c r="BF222" s="14">
        <f>IF(N222="snížená",J222,0)</f>
        <v>0</v>
      </c>
      <c r="BG222" s="14">
        <f>IF(N222="zákl. přenesená",J222,0)</f>
        <v>0</v>
      </c>
      <c r="BH222" s="14">
        <f>IF(N222="sníž. přenesená",J222,0)</f>
        <v>0</v>
      </c>
      <c r="BI222" s="14">
        <f>IF(N222="nulová",J222,0)</f>
        <v>0</v>
      </c>
      <c r="BJ222" s="13" t="s">
        <v>74</v>
      </c>
      <c r="BK222" s="14">
        <f>ROUND(I222*H222,2)</f>
        <v>0</v>
      </c>
      <c r="BL222" s="13" t="s">
        <v>135</v>
      </c>
      <c r="BM222" s="12" t="s">
        <v>286</v>
      </c>
    </row>
    <row r="223" spans="1:65" s="5" customFormat="1" ht="16.5" customHeight="1" x14ac:dyDescent="0.2">
      <c r="A223" s="105"/>
      <c r="B223" s="4"/>
      <c r="C223" s="33" t="s">
        <v>210</v>
      </c>
      <c r="D223" s="33" t="s">
        <v>131</v>
      </c>
      <c r="E223" s="34" t="s">
        <v>336</v>
      </c>
      <c r="F223" s="7" t="s">
        <v>337</v>
      </c>
      <c r="G223" s="35" t="s">
        <v>333</v>
      </c>
      <c r="H223" s="36">
        <v>50.94</v>
      </c>
      <c r="I223" s="1"/>
      <c r="J223" s="6">
        <f>ROUND(I223*H223,2)</f>
        <v>0</v>
      </c>
      <c r="K223" s="7" t="s">
        <v>1</v>
      </c>
      <c r="L223" s="4"/>
      <c r="M223" s="8" t="s">
        <v>1</v>
      </c>
      <c r="N223" s="9" t="s">
        <v>33</v>
      </c>
      <c r="O223" s="10">
        <v>0</v>
      </c>
      <c r="P223" s="10">
        <f>O223*H223</f>
        <v>0</v>
      </c>
      <c r="Q223" s="10">
        <v>0</v>
      </c>
      <c r="R223" s="10">
        <f>Q223*H223</f>
        <v>0</v>
      </c>
      <c r="S223" s="10">
        <v>0</v>
      </c>
      <c r="T223" s="11">
        <f>S223*H223</f>
        <v>0</v>
      </c>
      <c r="U223" s="105"/>
      <c r="V223" s="105"/>
      <c r="W223" s="105"/>
      <c r="X223" s="105"/>
      <c r="Y223" s="105"/>
      <c r="Z223" s="105"/>
      <c r="AA223" s="105"/>
      <c r="AB223" s="105"/>
      <c r="AC223" s="105"/>
      <c r="AD223" s="105"/>
      <c r="AE223" s="105"/>
      <c r="AR223" s="12" t="s">
        <v>135</v>
      </c>
      <c r="AT223" s="12" t="s">
        <v>131</v>
      </c>
      <c r="AU223" s="12" t="s">
        <v>74</v>
      </c>
      <c r="AY223" s="13" t="s">
        <v>130</v>
      </c>
      <c r="BE223" s="14">
        <f>IF(N223="základní",J223,0)</f>
        <v>0</v>
      </c>
      <c r="BF223" s="14">
        <f>IF(N223="snížená",J223,0)</f>
        <v>0</v>
      </c>
      <c r="BG223" s="14">
        <f>IF(N223="zákl. přenesená",J223,0)</f>
        <v>0</v>
      </c>
      <c r="BH223" s="14">
        <f>IF(N223="sníž. přenesená",J223,0)</f>
        <v>0</v>
      </c>
      <c r="BI223" s="14">
        <f>IF(N223="nulová",J223,0)</f>
        <v>0</v>
      </c>
      <c r="BJ223" s="13" t="s">
        <v>74</v>
      </c>
      <c r="BK223" s="14">
        <f>ROUND(I223*H223,2)</f>
        <v>0</v>
      </c>
      <c r="BL223" s="13" t="s">
        <v>135</v>
      </c>
      <c r="BM223" s="12" t="s">
        <v>290</v>
      </c>
    </row>
    <row r="224" spans="1:65" s="5" customFormat="1" ht="16.5" customHeight="1" x14ac:dyDescent="0.2">
      <c r="A224" s="105"/>
      <c r="B224" s="4"/>
      <c r="C224" s="33" t="s">
        <v>291</v>
      </c>
      <c r="D224" s="33" t="s">
        <v>131</v>
      </c>
      <c r="E224" s="34" t="s">
        <v>338</v>
      </c>
      <c r="F224" s="7" t="s">
        <v>339</v>
      </c>
      <c r="G224" s="35" t="s">
        <v>134</v>
      </c>
      <c r="H224" s="36">
        <v>11.749000000000001</v>
      </c>
      <c r="I224" s="1"/>
      <c r="J224" s="6">
        <f>ROUND(I224*H224,2)</f>
        <v>0</v>
      </c>
      <c r="K224" s="7" t="s">
        <v>1</v>
      </c>
      <c r="L224" s="4"/>
      <c r="M224" s="8" t="s">
        <v>1</v>
      </c>
      <c r="N224" s="9" t="s">
        <v>33</v>
      </c>
      <c r="O224" s="10">
        <v>0</v>
      </c>
      <c r="P224" s="10">
        <f>O224*H224</f>
        <v>0</v>
      </c>
      <c r="Q224" s="10">
        <v>0</v>
      </c>
      <c r="R224" s="10">
        <f>Q224*H224</f>
        <v>0</v>
      </c>
      <c r="S224" s="10">
        <v>0</v>
      </c>
      <c r="T224" s="11">
        <f>S224*H224</f>
        <v>0</v>
      </c>
      <c r="U224" s="105"/>
      <c r="V224" s="105"/>
      <c r="W224" s="105"/>
      <c r="X224" s="105"/>
      <c r="Y224" s="105"/>
      <c r="Z224" s="105"/>
      <c r="AA224" s="105"/>
      <c r="AB224" s="105"/>
      <c r="AC224" s="105"/>
      <c r="AD224" s="105"/>
      <c r="AE224" s="105"/>
      <c r="AR224" s="12" t="s">
        <v>135</v>
      </c>
      <c r="AT224" s="12" t="s">
        <v>131</v>
      </c>
      <c r="AU224" s="12" t="s">
        <v>74</v>
      </c>
      <c r="AY224" s="13" t="s">
        <v>130</v>
      </c>
      <c r="BE224" s="14">
        <f>IF(N224="základní",J224,0)</f>
        <v>0</v>
      </c>
      <c r="BF224" s="14">
        <f>IF(N224="snížená",J224,0)</f>
        <v>0</v>
      </c>
      <c r="BG224" s="14">
        <f>IF(N224="zákl. přenesená",J224,0)</f>
        <v>0</v>
      </c>
      <c r="BH224" s="14">
        <f>IF(N224="sníž. přenesená",J224,0)</f>
        <v>0</v>
      </c>
      <c r="BI224" s="14">
        <f>IF(N224="nulová",J224,0)</f>
        <v>0</v>
      </c>
      <c r="BJ224" s="13" t="s">
        <v>74</v>
      </c>
      <c r="BK224" s="14">
        <f>ROUND(I224*H224,2)</f>
        <v>0</v>
      </c>
      <c r="BL224" s="13" t="s">
        <v>135</v>
      </c>
      <c r="BM224" s="12" t="s">
        <v>292</v>
      </c>
    </row>
    <row r="225" spans="1:65" s="152" customFormat="1" x14ac:dyDescent="0.2">
      <c r="B225" s="210"/>
      <c r="D225" s="37" t="s">
        <v>340</v>
      </c>
      <c r="E225" s="161" t="s">
        <v>1</v>
      </c>
      <c r="F225" s="211" t="s">
        <v>415</v>
      </c>
      <c r="H225" s="212"/>
      <c r="L225" s="210"/>
      <c r="M225" s="159"/>
      <c r="N225" s="154"/>
      <c r="O225" s="154"/>
      <c r="P225" s="154"/>
      <c r="Q225" s="154"/>
      <c r="R225" s="154"/>
      <c r="S225" s="154"/>
      <c r="T225" s="160"/>
      <c r="AT225" s="161" t="s">
        <v>340</v>
      </c>
      <c r="AU225" s="161" t="s">
        <v>74</v>
      </c>
      <c r="AV225" s="152" t="s">
        <v>76</v>
      </c>
      <c r="AW225" s="152" t="s">
        <v>25</v>
      </c>
      <c r="AX225" s="152" t="s">
        <v>68</v>
      </c>
      <c r="AY225" s="161" t="s">
        <v>130</v>
      </c>
    </row>
    <row r="226" spans="1:65" s="162" customFormat="1" x14ac:dyDescent="0.2">
      <c r="B226" s="213"/>
      <c r="D226" s="37" t="s">
        <v>340</v>
      </c>
      <c r="E226" s="171" t="s">
        <v>1</v>
      </c>
      <c r="F226" s="214" t="s">
        <v>342</v>
      </c>
      <c r="H226" s="215">
        <v>11.749000000000001</v>
      </c>
      <c r="L226" s="213"/>
      <c r="M226" s="169"/>
      <c r="N226" s="164"/>
      <c r="O226" s="164"/>
      <c r="P226" s="164"/>
      <c r="Q226" s="164"/>
      <c r="R226" s="164"/>
      <c r="S226" s="164"/>
      <c r="T226" s="170"/>
      <c r="AT226" s="171" t="s">
        <v>340</v>
      </c>
      <c r="AU226" s="171" t="s">
        <v>74</v>
      </c>
      <c r="AV226" s="162" t="s">
        <v>135</v>
      </c>
      <c r="AW226" s="162" t="s">
        <v>25</v>
      </c>
      <c r="AX226" s="162" t="s">
        <v>74</v>
      </c>
      <c r="AY226" s="171" t="s">
        <v>130</v>
      </c>
    </row>
    <row r="227" spans="1:65" s="5" customFormat="1" ht="16.5" customHeight="1" x14ac:dyDescent="0.2">
      <c r="A227" s="105"/>
      <c r="B227" s="4"/>
      <c r="C227" s="33" t="s">
        <v>211</v>
      </c>
      <c r="D227" s="33" t="s">
        <v>131</v>
      </c>
      <c r="E227" s="34" t="s">
        <v>343</v>
      </c>
      <c r="F227" s="7" t="s">
        <v>344</v>
      </c>
      <c r="G227" s="35" t="s">
        <v>134</v>
      </c>
      <c r="H227" s="36">
        <v>11.749000000000001</v>
      </c>
      <c r="I227" s="1"/>
      <c r="J227" s="6">
        <f>ROUND(I227*H227,2)</f>
        <v>0</v>
      </c>
      <c r="K227" s="7" t="s">
        <v>1</v>
      </c>
      <c r="L227" s="4"/>
      <c r="M227" s="8" t="s">
        <v>1</v>
      </c>
      <c r="N227" s="9" t="s">
        <v>33</v>
      </c>
      <c r="O227" s="10">
        <v>0</v>
      </c>
      <c r="P227" s="10">
        <f>O227*H227</f>
        <v>0</v>
      </c>
      <c r="Q227" s="10">
        <v>0</v>
      </c>
      <c r="R227" s="10">
        <f>Q227*H227</f>
        <v>0</v>
      </c>
      <c r="S227" s="10">
        <v>0</v>
      </c>
      <c r="T227" s="11">
        <f>S227*H227</f>
        <v>0</v>
      </c>
      <c r="U227" s="105"/>
      <c r="V227" s="105"/>
      <c r="W227" s="105"/>
      <c r="X227" s="105"/>
      <c r="Y227" s="105"/>
      <c r="Z227" s="105"/>
      <c r="AA227" s="105"/>
      <c r="AB227" s="105"/>
      <c r="AC227" s="105"/>
      <c r="AD227" s="105"/>
      <c r="AE227" s="105"/>
      <c r="AR227" s="12" t="s">
        <v>135</v>
      </c>
      <c r="AT227" s="12" t="s">
        <v>131</v>
      </c>
      <c r="AU227" s="12" t="s">
        <v>74</v>
      </c>
      <c r="AY227" s="13" t="s">
        <v>130</v>
      </c>
      <c r="BE227" s="14">
        <f>IF(N227="základní",J227,0)</f>
        <v>0</v>
      </c>
      <c r="BF227" s="14">
        <f>IF(N227="snížená",J227,0)</f>
        <v>0</v>
      </c>
      <c r="BG227" s="14">
        <f>IF(N227="zákl. přenesená",J227,0)</f>
        <v>0</v>
      </c>
      <c r="BH227" s="14">
        <f>IF(N227="sníž. přenesená",J227,0)</f>
        <v>0</v>
      </c>
      <c r="BI227" s="14">
        <f>IF(N227="nulová",J227,0)</f>
        <v>0</v>
      </c>
      <c r="BJ227" s="13" t="s">
        <v>74</v>
      </c>
      <c r="BK227" s="14">
        <f>ROUND(I227*H227,2)</f>
        <v>0</v>
      </c>
      <c r="BL227" s="13" t="s">
        <v>135</v>
      </c>
      <c r="BM227" s="12" t="s">
        <v>297</v>
      </c>
    </row>
    <row r="228" spans="1:65" s="5" customFormat="1" ht="16.5" customHeight="1" x14ac:dyDescent="0.2">
      <c r="A228" s="105"/>
      <c r="B228" s="4"/>
      <c r="C228" s="33" t="s">
        <v>298</v>
      </c>
      <c r="D228" s="33" t="s">
        <v>131</v>
      </c>
      <c r="E228" s="34" t="s">
        <v>345</v>
      </c>
      <c r="F228" s="7" t="s">
        <v>346</v>
      </c>
      <c r="G228" s="35" t="s">
        <v>134</v>
      </c>
      <c r="H228" s="36">
        <v>31.449000000000002</v>
      </c>
      <c r="I228" s="1"/>
      <c r="J228" s="6">
        <f>ROUND(I228*H228,2)</f>
        <v>0</v>
      </c>
      <c r="K228" s="7" t="s">
        <v>1</v>
      </c>
      <c r="L228" s="4"/>
      <c r="M228" s="8" t="s">
        <v>1</v>
      </c>
      <c r="N228" s="9" t="s">
        <v>33</v>
      </c>
      <c r="O228" s="10">
        <v>0</v>
      </c>
      <c r="P228" s="10">
        <f>O228*H228</f>
        <v>0</v>
      </c>
      <c r="Q228" s="10">
        <v>0</v>
      </c>
      <c r="R228" s="10">
        <f>Q228*H228</f>
        <v>0</v>
      </c>
      <c r="S228" s="10">
        <v>0</v>
      </c>
      <c r="T228" s="11">
        <f>S228*H228</f>
        <v>0</v>
      </c>
      <c r="U228" s="105"/>
      <c r="V228" s="105"/>
      <c r="W228" s="105"/>
      <c r="X228" s="105"/>
      <c r="Y228" s="105"/>
      <c r="Z228" s="105"/>
      <c r="AA228" s="105"/>
      <c r="AB228" s="105"/>
      <c r="AC228" s="105"/>
      <c r="AD228" s="105"/>
      <c r="AE228" s="105"/>
      <c r="AR228" s="12" t="s">
        <v>135</v>
      </c>
      <c r="AT228" s="12" t="s">
        <v>131</v>
      </c>
      <c r="AU228" s="12" t="s">
        <v>74</v>
      </c>
      <c r="AY228" s="13" t="s">
        <v>130</v>
      </c>
      <c r="BE228" s="14">
        <f>IF(N228="základní",J228,0)</f>
        <v>0</v>
      </c>
      <c r="BF228" s="14">
        <f>IF(N228="snížená",J228,0)</f>
        <v>0</v>
      </c>
      <c r="BG228" s="14">
        <f>IF(N228="zákl. přenesená",J228,0)</f>
        <v>0</v>
      </c>
      <c r="BH228" s="14">
        <f>IF(N228="sníž. přenesená",J228,0)</f>
        <v>0</v>
      </c>
      <c r="BI228" s="14">
        <f>IF(N228="nulová",J228,0)</f>
        <v>0</v>
      </c>
      <c r="BJ228" s="13" t="s">
        <v>74</v>
      </c>
      <c r="BK228" s="14">
        <f>ROUND(I228*H228,2)</f>
        <v>0</v>
      </c>
      <c r="BL228" s="13" t="s">
        <v>135</v>
      </c>
      <c r="BM228" s="12" t="s">
        <v>301</v>
      </c>
    </row>
    <row r="229" spans="1:65" s="152" customFormat="1" x14ac:dyDescent="0.2">
      <c r="B229" s="210"/>
      <c r="D229" s="37" t="s">
        <v>340</v>
      </c>
      <c r="E229" s="161" t="s">
        <v>1</v>
      </c>
      <c r="F229" s="211" t="s">
        <v>416</v>
      </c>
      <c r="H229" s="212"/>
      <c r="L229" s="210"/>
      <c r="M229" s="159"/>
      <c r="N229" s="154"/>
      <c r="O229" s="154"/>
      <c r="P229" s="154"/>
      <c r="Q229" s="154"/>
      <c r="R229" s="154"/>
      <c r="S229" s="154"/>
      <c r="T229" s="160"/>
      <c r="AT229" s="161" t="s">
        <v>340</v>
      </c>
      <c r="AU229" s="161" t="s">
        <v>74</v>
      </c>
      <c r="AV229" s="152" t="s">
        <v>76</v>
      </c>
      <c r="AW229" s="152" t="s">
        <v>25</v>
      </c>
      <c r="AX229" s="152" t="s">
        <v>68</v>
      </c>
      <c r="AY229" s="161" t="s">
        <v>130</v>
      </c>
    </row>
    <row r="230" spans="1:65" s="162" customFormat="1" x14ac:dyDescent="0.2">
      <c r="B230" s="213"/>
      <c r="D230" s="37" t="s">
        <v>340</v>
      </c>
      <c r="E230" s="171" t="s">
        <v>1</v>
      </c>
      <c r="F230" s="214" t="s">
        <v>342</v>
      </c>
      <c r="H230" s="215">
        <v>31.449000000000002</v>
      </c>
      <c r="L230" s="213"/>
      <c r="M230" s="169"/>
      <c r="N230" s="164"/>
      <c r="O230" s="164"/>
      <c r="P230" s="164"/>
      <c r="Q230" s="164"/>
      <c r="R230" s="164"/>
      <c r="S230" s="164"/>
      <c r="T230" s="170"/>
      <c r="AT230" s="171" t="s">
        <v>340</v>
      </c>
      <c r="AU230" s="171" t="s">
        <v>74</v>
      </c>
      <c r="AV230" s="162" t="s">
        <v>135</v>
      </c>
      <c r="AW230" s="162" t="s">
        <v>25</v>
      </c>
      <c r="AX230" s="162" t="s">
        <v>74</v>
      </c>
      <c r="AY230" s="171" t="s">
        <v>130</v>
      </c>
    </row>
    <row r="231" spans="1:65" s="5" customFormat="1" ht="16.5" customHeight="1" x14ac:dyDescent="0.2">
      <c r="A231" s="105"/>
      <c r="B231" s="4"/>
      <c r="C231" s="33" t="s">
        <v>215</v>
      </c>
      <c r="D231" s="33" t="s">
        <v>131</v>
      </c>
      <c r="E231" s="34" t="s">
        <v>348</v>
      </c>
      <c r="F231" s="7" t="s">
        <v>349</v>
      </c>
      <c r="G231" s="35" t="s">
        <v>134</v>
      </c>
      <c r="H231" s="36">
        <v>31.449000000000002</v>
      </c>
      <c r="I231" s="1"/>
      <c r="J231" s="6">
        <f>ROUND(I231*H231,2)</f>
        <v>0</v>
      </c>
      <c r="K231" s="7" t="s">
        <v>1</v>
      </c>
      <c r="L231" s="4"/>
      <c r="M231" s="8" t="s">
        <v>1</v>
      </c>
      <c r="N231" s="9" t="s">
        <v>33</v>
      </c>
      <c r="O231" s="10">
        <v>0</v>
      </c>
      <c r="P231" s="10">
        <f>O231*H231</f>
        <v>0</v>
      </c>
      <c r="Q231" s="10">
        <v>0</v>
      </c>
      <c r="R231" s="10">
        <f>Q231*H231</f>
        <v>0</v>
      </c>
      <c r="S231" s="10">
        <v>0</v>
      </c>
      <c r="T231" s="11">
        <f>S231*H231</f>
        <v>0</v>
      </c>
      <c r="U231" s="105"/>
      <c r="V231" s="105"/>
      <c r="W231" s="105"/>
      <c r="X231" s="105"/>
      <c r="Y231" s="105"/>
      <c r="Z231" s="105"/>
      <c r="AA231" s="105"/>
      <c r="AB231" s="105"/>
      <c r="AC231" s="105"/>
      <c r="AD231" s="105"/>
      <c r="AE231" s="105"/>
      <c r="AR231" s="12" t="s">
        <v>135</v>
      </c>
      <c r="AT231" s="12" t="s">
        <v>131</v>
      </c>
      <c r="AU231" s="12" t="s">
        <v>74</v>
      </c>
      <c r="AY231" s="13" t="s">
        <v>130</v>
      </c>
      <c r="BE231" s="14">
        <f>IF(N231="základní",J231,0)</f>
        <v>0</v>
      </c>
      <c r="BF231" s="14">
        <f>IF(N231="snížená",J231,0)</f>
        <v>0</v>
      </c>
      <c r="BG231" s="14">
        <f>IF(N231="zákl. přenesená",J231,0)</f>
        <v>0</v>
      </c>
      <c r="BH231" s="14">
        <f>IF(N231="sníž. přenesená",J231,0)</f>
        <v>0</v>
      </c>
      <c r="BI231" s="14">
        <f>IF(N231="nulová",J231,0)</f>
        <v>0</v>
      </c>
      <c r="BJ231" s="13" t="s">
        <v>74</v>
      </c>
      <c r="BK231" s="14">
        <f>ROUND(I231*H231,2)</f>
        <v>0</v>
      </c>
      <c r="BL231" s="13" t="s">
        <v>135</v>
      </c>
      <c r="BM231" s="12" t="s">
        <v>417</v>
      </c>
    </row>
    <row r="232" spans="1:65" s="20" customFormat="1" ht="25.9" customHeight="1" x14ac:dyDescent="0.2">
      <c r="B232" s="21"/>
      <c r="D232" s="26" t="s">
        <v>67</v>
      </c>
      <c r="E232" s="39" t="s">
        <v>212</v>
      </c>
      <c r="F232" s="39" t="s">
        <v>418</v>
      </c>
      <c r="J232" s="19">
        <f>BK232</f>
        <v>0</v>
      </c>
      <c r="L232" s="21"/>
      <c r="M232" s="22"/>
      <c r="N232" s="23"/>
      <c r="O232" s="23"/>
      <c r="P232" s="24">
        <f>SUM(P235:P239)</f>
        <v>0</v>
      </c>
      <c r="Q232" s="23"/>
      <c r="R232" s="24">
        <f>SUM(R235:R239)</f>
        <v>0</v>
      </c>
      <c r="S232" s="23"/>
      <c r="T232" s="25">
        <f>SUM(T235:T239)</f>
        <v>0</v>
      </c>
      <c r="AR232" s="26" t="s">
        <v>74</v>
      </c>
      <c r="AT232" s="27" t="s">
        <v>67</v>
      </c>
      <c r="AU232" s="27" t="s">
        <v>68</v>
      </c>
      <c r="AY232" s="26" t="s">
        <v>130</v>
      </c>
      <c r="BK232" s="28">
        <f>SUM(BK235:BK239)</f>
        <v>0</v>
      </c>
    </row>
    <row r="233" spans="1:65" s="5" customFormat="1" ht="19.5" x14ac:dyDescent="0.2">
      <c r="B233" s="45"/>
      <c r="D233" s="216" t="s">
        <v>340</v>
      </c>
      <c r="F233" s="217" t="s">
        <v>1163</v>
      </c>
      <c r="G233" s="117"/>
      <c r="K233" s="181"/>
      <c r="L233" s="94"/>
      <c r="M233" s="52"/>
      <c r="P233" s="126" t="s">
        <v>148</v>
      </c>
      <c r="Q233" s="126" t="s">
        <v>74</v>
      </c>
    </row>
    <row r="234" spans="1:65" s="5" customFormat="1" ht="10.15" customHeight="1" x14ac:dyDescent="0.2">
      <c r="B234" s="45"/>
      <c r="D234" s="216" t="s">
        <v>340</v>
      </c>
      <c r="F234" s="116" t="s">
        <v>1164</v>
      </c>
      <c r="H234" s="117">
        <f>14.94+(33*1.22*0.155)</f>
        <v>21.180299999999999</v>
      </c>
      <c r="K234" s="181"/>
      <c r="L234" s="94"/>
      <c r="M234" s="52"/>
      <c r="P234" s="126" t="s">
        <v>148</v>
      </c>
      <c r="Q234" s="126" t="s">
        <v>74</v>
      </c>
    </row>
    <row r="235" spans="1:65" s="5" customFormat="1" ht="16.5" customHeight="1" x14ac:dyDescent="0.2">
      <c r="A235" s="105"/>
      <c r="B235" s="4"/>
      <c r="C235" s="33" t="s">
        <v>215</v>
      </c>
      <c r="D235" s="33" t="s">
        <v>131</v>
      </c>
      <c r="E235" s="34" t="s">
        <v>419</v>
      </c>
      <c r="F235" s="7" t="s">
        <v>412</v>
      </c>
      <c r="G235" s="35" t="s">
        <v>333</v>
      </c>
      <c r="H235" s="36">
        <v>40.590000000000003</v>
      </c>
      <c r="I235" s="1"/>
      <c r="J235" s="6">
        <f>ROUND(I235*H235,2)</f>
        <v>0</v>
      </c>
      <c r="K235" s="7" t="s">
        <v>1</v>
      </c>
      <c r="L235" s="4"/>
      <c r="M235" s="8" t="s">
        <v>1</v>
      </c>
      <c r="N235" s="9" t="s">
        <v>33</v>
      </c>
      <c r="O235" s="10">
        <v>0</v>
      </c>
      <c r="P235" s="10">
        <f>O235*H235</f>
        <v>0</v>
      </c>
      <c r="Q235" s="10">
        <v>0</v>
      </c>
      <c r="R235" s="10">
        <f>Q235*H235</f>
        <v>0</v>
      </c>
      <c r="S235" s="10">
        <v>0</v>
      </c>
      <c r="T235" s="11">
        <f>S235*H235</f>
        <v>0</v>
      </c>
      <c r="U235" s="105"/>
      <c r="V235" s="105"/>
      <c r="W235" s="105"/>
      <c r="X235" s="105"/>
      <c r="Y235" s="105"/>
      <c r="Z235" s="105"/>
      <c r="AA235" s="105"/>
      <c r="AB235" s="105"/>
      <c r="AC235" s="105"/>
      <c r="AD235" s="105"/>
      <c r="AE235" s="105"/>
      <c r="AR235" s="12" t="s">
        <v>135</v>
      </c>
      <c r="AT235" s="12" t="s">
        <v>131</v>
      </c>
      <c r="AU235" s="12" t="s">
        <v>74</v>
      </c>
      <c r="AY235" s="13" t="s">
        <v>130</v>
      </c>
      <c r="BE235" s="14">
        <f>IF(N235="základní",J235,0)</f>
        <v>0</v>
      </c>
      <c r="BF235" s="14">
        <f>IF(N235="snížená",J235,0)</f>
        <v>0</v>
      </c>
      <c r="BG235" s="14">
        <f>IF(N235="zákl. přenesená",J235,0)</f>
        <v>0</v>
      </c>
      <c r="BH235" s="14">
        <f>IF(N235="sníž. přenesená",J235,0)</f>
        <v>0</v>
      </c>
      <c r="BI235" s="14">
        <f>IF(N235="nulová",J235,0)</f>
        <v>0</v>
      </c>
      <c r="BJ235" s="13" t="s">
        <v>74</v>
      </c>
      <c r="BK235" s="14">
        <f>ROUND(I235*H235,2)</f>
        <v>0</v>
      </c>
      <c r="BL235" s="13" t="s">
        <v>135</v>
      </c>
      <c r="BM235" s="12" t="s">
        <v>420</v>
      </c>
    </row>
    <row r="236" spans="1:65" s="5" customFormat="1" ht="16.5" customHeight="1" x14ac:dyDescent="0.2">
      <c r="A236" s="105"/>
      <c r="B236" s="4"/>
      <c r="C236" s="33" t="s">
        <v>421</v>
      </c>
      <c r="D236" s="33" t="s">
        <v>131</v>
      </c>
      <c r="E236" s="34" t="s">
        <v>422</v>
      </c>
      <c r="F236" s="7" t="s">
        <v>414</v>
      </c>
      <c r="G236" s="35" t="s">
        <v>333</v>
      </c>
      <c r="H236" s="36">
        <v>40.590000000000003</v>
      </c>
      <c r="I236" s="1"/>
      <c r="J236" s="6">
        <f>ROUND(I236*H236,2)</f>
        <v>0</v>
      </c>
      <c r="K236" s="7" t="s">
        <v>1</v>
      </c>
      <c r="L236" s="4"/>
      <c r="M236" s="8" t="s">
        <v>1</v>
      </c>
      <c r="N236" s="9" t="s">
        <v>33</v>
      </c>
      <c r="O236" s="10">
        <v>0</v>
      </c>
      <c r="P236" s="10">
        <f>O236*H236</f>
        <v>0</v>
      </c>
      <c r="Q236" s="10">
        <v>0</v>
      </c>
      <c r="R236" s="10">
        <f>Q236*H236</f>
        <v>0</v>
      </c>
      <c r="S236" s="10">
        <v>0</v>
      </c>
      <c r="T236" s="11">
        <f>S236*H236</f>
        <v>0</v>
      </c>
      <c r="U236" s="105"/>
      <c r="V236" s="105"/>
      <c r="W236" s="105"/>
      <c r="X236" s="105"/>
      <c r="Y236" s="105"/>
      <c r="Z236" s="105"/>
      <c r="AA236" s="105"/>
      <c r="AB236" s="105"/>
      <c r="AC236" s="105"/>
      <c r="AD236" s="105"/>
      <c r="AE236" s="105"/>
      <c r="AR236" s="12" t="s">
        <v>135</v>
      </c>
      <c r="AT236" s="12" t="s">
        <v>131</v>
      </c>
      <c r="AU236" s="12" t="s">
        <v>74</v>
      </c>
      <c r="AY236" s="13" t="s">
        <v>130</v>
      </c>
      <c r="BE236" s="14">
        <f>IF(N236="základní",J236,0)</f>
        <v>0</v>
      </c>
      <c r="BF236" s="14">
        <f>IF(N236="snížená",J236,0)</f>
        <v>0</v>
      </c>
      <c r="BG236" s="14">
        <f>IF(N236="zákl. přenesená",J236,0)</f>
        <v>0</v>
      </c>
      <c r="BH236" s="14">
        <f>IF(N236="sníž. přenesená",J236,0)</f>
        <v>0</v>
      </c>
      <c r="BI236" s="14">
        <f>IF(N236="nulová",J236,0)</f>
        <v>0</v>
      </c>
      <c r="BJ236" s="13" t="s">
        <v>74</v>
      </c>
      <c r="BK236" s="14">
        <f>ROUND(I236*H236,2)</f>
        <v>0</v>
      </c>
      <c r="BL236" s="13" t="s">
        <v>135</v>
      </c>
      <c r="BM236" s="12" t="s">
        <v>423</v>
      </c>
    </row>
    <row r="237" spans="1:65" s="5" customFormat="1" ht="16.5" customHeight="1" x14ac:dyDescent="0.2">
      <c r="A237" s="105"/>
      <c r="B237" s="4"/>
      <c r="C237" s="33" t="s">
        <v>216</v>
      </c>
      <c r="D237" s="33" t="s">
        <v>131</v>
      </c>
      <c r="E237" s="34" t="s">
        <v>424</v>
      </c>
      <c r="F237" s="7" t="s">
        <v>337</v>
      </c>
      <c r="G237" s="35" t="s">
        <v>333</v>
      </c>
      <c r="H237" s="36">
        <v>40.590000000000003</v>
      </c>
      <c r="I237" s="1"/>
      <c r="J237" s="6">
        <f>ROUND(I237*H237,2)</f>
        <v>0</v>
      </c>
      <c r="K237" s="7" t="s">
        <v>1</v>
      </c>
      <c r="L237" s="4"/>
      <c r="M237" s="8" t="s">
        <v>1</v>
      </c>
      <c r="N237" s="9" t="s">
        <v>33</v>
      </c>
      <c r="O237" s="10">
        <v>0</v>
      </c>
      <c r="P237" s="10">
        <f>O237*H237</f>
        <v>0</v>
      </c>
      <c r="Q237" s="10">
        <v>0</v>
      </c>
      <c r="R237" s="10">
        <f>Q237*H237</f>
        <v>0</v>
      </c>
      <c r="S237" s="10">
        <v>0</v>
      </c>
      <c r="T237" s="11">
        <f>S237*H237</f>
        <v>0</v>
      </c>
      <c r="U237" s="105"/>
      <c r="V237" s="105"/>
      <c r="W237" s="105"/>
      <c r="X237" s="105"/>
      <c r="Y237" s="105"/>
      <c r="Z237" s="105"/>
      <c r="AA237" s="105"/>
      <c r="AB237" s="105"/>
      <c r="AC237" s="105"/>
      <c r="AD237" s="105"/>
      <c r="AE237" s="105"/>
      <c r="AR237" s="12" t="s">
        <v>135</v>
      </c>
      <c r="AT237" s="12" t="s">
        <v>131</v>
      </c>
      <c r="AU237" s="12" t="s">
        <v>74</v>
      </c>
      <c r="AY237" s="13" t="s">
        <v>130</v>
      </c>
      <c r="BE237" s="14">
        <f>IF(N237="základní",J237,0)</f>
        <v>0</v>
      </c>
      <c r="BF237" s="14">
        <f>IF(N237="snížená",J237,0)</f>
        <v>0</v>
      </c>
      <c r="BG237" s="14">
        <f>IF(N237="zákl. přenesená",J237,0)</f>
        <v>0</v>
      </c>
      <c r="BH237" s="14">
        <f>IF(N237="sníž. přenesená",J237,0)</f>
        <v>0</v>
      </c>
      <c r="BI237" s="14">
        <f>IF(N237="nulová",J237,0)</f>
        <v>0</v>
      </c>
      <c r="BJ237" s="13" t="s">
        <v>74</v>
      </c>
      <c r="BK237" s="14">
        <f>ROUND(I237*H237,2)</f>
        <v>0</v>
      </c>
      <c r="BL237" s="13" t="s">
        <v>135</v>
      </c>
      <c r="BM237" s="12" t="s">
        <v>425</v>
      </c>
    </row>
    <row r="238" spans="1:65" s="5" customFormat="1" ht="16.5" customHeight="1" x14ac:dyDescent="0.2">
      <c r="A238" s="105"/>
      <c r="B238" s="4"/>
      <c r="C238" s="33" t="s">
        <v>426</v>
      </c>
      <c r="D238" s="33" t="s">
        <v>131</v>
      </c>
      <c r="E238" s="34" t="s">
        <v>142</v>
      </c>
      <c r="F238" s="7" t="s">
        <v>143</v>
      </c>
      <c r="G238" s="35" t="s">
        <v>134</v>
      </c>
      <c r="H238" s="36">
        <v>21.18</v>
      </c>
      <c r="I238" s="1"/>
      <c r="J238" s="6">
        <f>ROUND(I238*H238,2)</f>
        <v>0</v>
      </c>
      <c r="K238" s="7" t="s">
        <v>1</v>
      </c>
      <c r="L238" s="4"/>
      <c r="M238" s="8" t="s">
        <v>1</v>
      </c>
      <c r="N238" s="9" t="s">
        <v>33</v>
      </c>
      <c r="O238" s="10">
        <v>0</v>
      </c>
      <c r="P238" s="10">
        <f>O238*H238</f>
        <v>0</v>
      </c>
      <c r="Q238" s="10">
        <v>0</v>
      </c>
      <c r="R238" s="10">
        <f>Q238*H238</f>
        <v>0</v>
      </c>
      <c r="S238" s="10">
        <v>0</v>
      </c>
      <c r="T238" s="11">
        <f>S238*H238</f>
        <v>0</v>
      </c>
      <c r="U238" s="105"/>
      <c r="V238" s="105"/>
      <c r="W238" s="105"/>
      <c r="X238" s="105"/>
      <c r="Y238" s="105"/>
      <c r="Z238" s="105"/>
      <c r="AA238" s="105"/>
      <c r="AB238" s="105"/>
      <c r="AC238" s="105"/>
      <c r="AD238" s="105"/>
      <c r="AE238" s="105"/>
      <c r="AR238" s="12" t="s">
        <v>135</v>
      </c>
      <c r="AT238" s="12" t="s">
        <v>131</v>
      </c>
      <c r="AU238" s="12" t="s">
        <v>74</v>
      </c>
      <c r="AY238" s="13" t="s">
        <v>130</v>
      </c>
      <c r="BE238" s="14">
        <f>IF(N238="základní",J238,0)</f>
        <v>0</v>
      </c>
      <c r="BF238" s="14">
        <f>IF(N238="snížená",J238,0)</f>
        <v>0</v>
      </c>
      <c r="BG238" s="14">
        <f>IF(N238="zákl. přenesená",J238,0)</f>
        <v>0</v>
      </c>
      <c r="BH238" s="14">
        <f>IF(N238="sníž. přenesená",J238,0)</f>
        <v>0</v>
      </c>
      <c r="BI238" s="14">
        <f>IF(N238="nulová",J238,0)</f>
        <v>0</v>
      </c>
      <c r="BJ238" s="13" t="s">
        <v>74</v>
      </c>
      <c r="BK238" s="14">
        <f>ROUND(I238*H238,2)</f>
        <v>0</v>
      </c>
      <c r="BL238" s="13" t="s">
        <v>135</v>
      </c>
      <c r="BM238" s="12" t="s">
        <v>427</v>
      </c>
    </row>
    <row r="239" spans="1:65" s="5" customFormat="1" ht="16.5" customHeight="1" x14ac:dyDescent="0.2">
      <c r="A239" s="105"/>
      <c r="B239" s="4"/>
      <c r="C239" s="33" t="s">
        <v>219</v>
      </c>
      <c r="D239" s="33" t="s">
        <v>131</v>
      </c>
      <c r="E239" s="34" t="s">
        <v>428</v>
      </c>
      <c r="F239" s="7" t="s">
        <v>146</v>
      </c>
      <c r="G239" s="35" t="s">
        <v>134</v>
      </c>
      <c r="H239" s="36">
        <v>21.18</v>
      </c>
      <c r="I239" s="1"/>
      <c r="J239" s="6">
        <f>ROUND(I239*H239,2)</f>
        <v>0</v>
      </c>
      <c r="K239" s="7" t="s">
        <v>1</v>
      </c>
      <c r="L239" s="4"/>
      <c r="M239" s="8" t="s">
        <v>1</v>
      </c>
      <c r="N239" s="9" t="s">
        <v>33</v>
      </c>
      <c r="O239" s="10">
        <v>0</v>
      </c>
      <c r="P239" s="10">
        <f>O239*H239</f>
        <v>0</v>
      </c>
      <c r="Q239" s="10">
        <v>0</v>
      </c>
      <c r="R239" s="10">
        <f>Q239*H239</f>
        <v>0</v>
      </c>
      <c r="S239" s="10">
        <v>0</v>
      </c>
      <c r="T239" s="11">
        <f>S239*H239</f>
        <v>0</v>
      </c>
      <c r="U239" s="105"/>
      <c r="V239" s="105"/>
      <c r="W239" s="105"/>
      <c r="X239" s="105"/>
      <c r="Y239" s="105"/>
      <c r="Z239" s="105"/>
      <c r="AA239" s="105"/>
      <c r="AB239" s="105"/>
      <c r="AC239" s="105"/>
      <c r="AD239" s="105"/>
      <c r="AE239" s="105"/>
      <c r="AR239" s="12" t="s">
        <v>135</v>
      </c>
      <c r="AT239" s="12" t="s">
        <v>131</v>
      </c>
      <c r="AU239" s="12" t="s">
        <v>74</v>
      </c>
      <c r="AY239" s="13" t="s">
        <v>130</v>
      </c>
      <c r="BE239" s="14">
        <f>IF(N239="základní",J239,0)</f>
        <v>0</v>
      </c>
      <c r="BF239" s="14">
        <f>IF(N239="snížená",J239,0)</f>
        <v>0</v>
      </c>
      <c r="BG239" s="14">
        <f>IF(N239="zákl. přenesená",J239,0)</f>
        <v>0</v>
      </c>
      <c r="BH239" s="14">
        <f>IF(N239="sníž. přenesená",J239,0)</f>
        <v>0</v>
      </c>
      <c r="BI239" s="14">
        <f>IF(N239="nulová",J239,0)</f>
        <v>0</v>
      </c>
      <c r="BJ239" s="13" t="s">
        <v>74</v>
      </c>
      <c r="BK239" s="14">
        <f>ROUND(I239*H239,2)</f>
        <v>0</v>
      </c>
      <c r="BL239" s="13" t="s">
        <v>135</v>
      </c>
      <c r="BM239" s="12" t="s">
        <v>429</v>
      </c>
    </row>
    <row r="240" spans="1:65" s="20" customFormat="1" ht="25.9" customHeight="1" x14ac:dyDescent="0.2">
      <c r="B240" s="21"/>
      <c r="D240" s="26" t="s">
        <v>67</v>
      </c>
      <c r="E240" s="39" t="s">
        <v>220</v>
      </c>
      <c r="F240" s="39" t="s">
        <v>430</v>
      </c>
      <c r="J240" s="19">
        <f>BK240</f>
        <v>0</v>
      </c>
      <c r="L240" s="21"/>
      <c r="M240" s="22"/>
      <c r="N240" s="23"/>
      <c r="O240" s="23"/>
      <c r="P240" s="24">
        <f>SUM(P243:P253)</f>
        <v>0</v>
      </c>
      <c r="Q240" s="23"/>
      <c r="R240" s="24">
        <f>SUM(R243:R253)</f>
        <v>0</v>
      </c>
      <c r="S240" s="23"/>
      <c r="T240" s="25">
        <f>SUM(T243:T253)</f>
        <v>0</v>
      </c>
      <c r="AR240" s="26" t="s">
        <v>74</v>
      </c>
      <c r="AT240" s="27" t="s">
        <v>67</v>
      </c>
      <c r="AU240" s="27" t="s">
        <v>68</v>
      </c>
      <c r="AY240" s="26" t="s">
        <v>130</v>
      </c>
      <c r="BK240" s="28">
        <f>SUM(BK243:BK253)</f>
        <v>0</v>
      </c>
    </row>
    <row r="241" spans="1:65" s="5" customFormat="1" ht="10.15" customHeight="1" x14ac:dyDescent="0.2">
      <c r="B241" s="45"/>
      <c r="D241" s="216" t="s">
        <v>340</v>
      </c>
      <c r="F241" s="116" t="s">
        <v>1165</v>
      </c>
      <c r="G241" s="117"/>
      <c r="K241" s="181"/>
      <c r="L241" s="94"/>
      <c r="M241" s="52"/>
      <c r="P241" s="126" t="s">
        <v>148</v>
      </c>
      <c r="Q241" s="126" t="s">
        <v>74</v>
      </c>
    </row>
    <row r="242" spans="1:65" s="5" customFormat="1" ht="10.15" customHeight="1" x14ac:dyDescent="0.2">
      <c r="B242" s="45"/>
      <c r="D242" s="216" t="s">
        <v>340</v>
      </c>
      <c r="F242" s="116" t="s">
        <v>1166</v>
      </c>
      <c r="H242" s="117">
        <f>11.23+(28*1.59*0.155)</f>
        <v>18.130600000000001</v>
      </c>
      <c r="K242" s="181"/>
      <c r="L242" s="94"/>
      <c r="M242" s="52"/>
      <c r="P242" s="126" t="s">
        <v>148</v>
      </c>
      <c r="Q242" s="126" t="s">
        <v>74</v>
      </c>
    </row>
    <row r="243" spans="1:65" s="5" customFormat="1" ht="16.5" customHeight="1" x14ac:dyDescent="0.2">
      <c r="A243" s="105"/>
      <c r="B243" s="4"/>
      <c r="C243" s="33" t="s">
        <v>431</v>
      </c>
      <c r="D243" s="33" t="s">
        <v>131</v>
      </c>
      <c r="E243" s="34" t="s">
        <v>432</v>
      </c>
      <c r="F243" s="7" t="s">
        <v>433</v>
      </c>
      <c r="G243" s="35" t="s">
        <v>333</v>
      </c>
      <c r="H243" s="36">
        <v>59.91</v>
      </c>
      <c r="I243" s="1"/>
      <c r="J243" s="6">
        <f>ROUND(I243*H243,2)</f>
        <v>0</v>
      </c>
      <c r="K243" s="7" t="s">
        <v>1</v>
      </c>
      <c r="L243" s="4"/>
      <c r="M243" s="8" t="s">
        <v>1</v>
      </c>
      <c r="N243" s="9" t="s">
        <v>33</v>
      </c>
      <c r="O243" s="10">
        <v>0</v>
      </c>
      <c r="P243" s="10">
        <f>O243*H243</f>
        <v>0</v>
      </c>
      <c r="Q243" s="10">
        <v>0</v>
      </c>
      <c r="R243" s="10">
        <f>Q243*H243</f>
        <v>0</v>
      </c>
      <c r="S243" s="10">
        <v>0</v>
      </c>
      <c r="T243" s="11">
        <f>S243*H243</f>
        <v>0</v>
      </c>
      <c r="U243" s="105"/>
      <c r="V243" s="105"/>
      <c r="W243" s="105"/>
      <c r="X243" s="105"/>
      <c r="Y243" s="105"/>
      <c r="Z243" s="105"/>
      <c r="AA243" s="105"/>
      <c r="AB243" s="105"/>
      <c r="AC243" s="105"/>
      <c r="AD243" s="105"/>
      <c r="AE243" s="105"/>
      <c r="AR243" s="12" t="s">
        <v>135</v>
      </c>
      <c r="AT243" s="12" t="s">
        <v>131</v>
      </c>
      <c r="AU243" s="12" t="s">
        <v>74</v>
      </c>
      <c r="AY243" s="13" t="s">
        <v>130</v>
      </c>
      <c r="BE243" s="14">
        <f>IF(N243="základní",J243,0)</f>
        <v>0</v>
      </c>
      <c r="BF243" s="14">
        <f>IF(N243="snížená",J243,0)</f>
        <v>0</v>
      </c>
      <c r="BG243" s="14">
        <f>IF(N243="zákl. přenesená",J243,0)</f>
        <v>0</v>
      </c>
      <c r="BH243" s="14">
        <f>IF(N243="sníž. přenesená",J243,0)</f>
        <v>0</v>
      </c>
      <c r="BI243" s="14">
        <f>IF(N243="nulová",J243,0)</f>
        <v>0</v>
      </c>
      <c r="BJ243" s="13" t="s">
        <v>74</v>
      </c>
      <c r="BK243" s="14">
        <f>ROUND(I243*H243,2)</f>
        <v>0</v>
      </c>
      <c r="BL243" s="13" t="s">
        <v>135</v>
      </c>
      <c r="BM243" s="12" t="s">
        <v>434</v>
      </c>
    </row>
    <row r="244" spans="1:65" s="5" customFormat="1" ht="16.5" customHeight="1" x14ac:dyDescent="0.2">
      <c r="A244" s="105"/>
      <c r="B244" s="4"/>
      <c r="C244" s="33" t="s">
        <v>222</v>
      </c>
      <c r="D244" s="33" t="s">
        <v>131</v>
      </c>
      <c r="E244" s="34" t="s">
        <v>435</v>
      </c>
      <c r="F244" s="7" t="s">
        <v>335</v>
      </c>
      <c r="G244" s="35" t="s">
        <v>157</v>
      </c>
      <c r="H244" s="36">
        <v>56</v>
      </c>
      <c r="I244" s="1"/>
      <c r="J244" s="6">
        <f>ROUND(I244*H244,2)</f>
        <v>0</v>
      </c>
      <c r="K244" s="7" t="s">
        <v>1</v>
      </c>
      <c r="L244" s="4"/>
      <c r="M244" s="8" t="s">
        <v>1</v>
      </c>
      <c r="N244" s="9" t="s">
        <v>33</v>
      </c>
      <c r="O244" s="10">
        <v>0</v>
      </c>
      <c r="P244" s="10">
        <f>O244*H244</f>
        <v>0</v>
      </c>
      <c r="Q244" s="10">
        <v>0</v>
      </c>
      <c r="R244" s="10">
        <f>Q244*H244</f>
        <v>0</v>
      </c>
      <c r="S244" s="10">
        <v>0</v>
      </c>
      <c r="T244" s="11">
        <f>S244*H244</f>
        <v>0</v>
      </c>
      <c r="U244" s="105"/>
      <c r="V244" s="105"/>
      <c r="W244" s="105"/>
      <c r="X244" s="105"/>
      <c r="Y244" s="105"/>
      <c r="Z244" s="105"/>
      <c r="AA244" s="105"/>
      <c r="AB244" s="105"/>
      <c r="AC244" s="105"/>
      <c r="AD244" s="105"/>
      <c r="AE244" s="105"/>
      <c r="AR244" s="12" t="s">
        <v>135</v>
      </c>
      <c r="AT244" s="12" t="s">
        <v>131</v>
      </c>
      <c r="AU244" s="12" t="s">
        <v>74</v>
      </c>
      <c r="AY244" s="13" t="s">
        <v>130</v>
      </c>
      <c r="BE244" s="14">
        <f>IF(N244="základní",J244,0)</f>
        <v>0</v>
      </c>
      <c r="BF244" s="14">
        <f>IF(N244="snížená",J244,0)</f>
        <v>0</v>
      </c>
      <c r="BG244" s="14">
        <f>IF(N244="zákl. přenesená",J244,0)</f>
        <v>0</v>
      </c>
      <c r="BH244" s="14">
        <f>IF(N244="sníž. přenesená",J244,0)</f>
        <v>0</v>
      </c>
      <c r="BI244" s="14">
        <f>IF(N244="nulová",J244,0)</f>
        <v>0</v>
      </c>
      <c r="BJ244" s="13" t="s">
        <v>74</v>
      </c>
      <c r="BK244" s="14">
        <f>ROUND(I244*H244,2)</f>
        <v>0</v>
      </c>
      <c r="BL244" s="13" t="s">
        <v>135</v>
      </c>
      <c r="BM244" s="12" t="s">
        <v>436</v>
      </c>
    </row>
    <row r="245" spans="1:65" s="5" customFormat="1" ht="16.5" customHeight="1" x14ac:dyDescent="0.2">
      <c r="A245" s="105"/>
      <c r="B245" s="4"/>
      <c r="C245" s="33" t="s">
        <v>437</v>
      </c>
      <c r="D245" s="33" t="s">
        <v>131</v>
      </c>
      <c r="E245" s="34" t="s">
        <v>424</v>
      </c>
      <c r="F245" s="7" t="s">
        <v>337</v>
      </c>
      <c r="G245" s="35" t="s">
        <v>333</v>
      </c>
      <c r="H245" s="36">
        <v>59.91</v>
      </c>
      <c r="I245" s="1"/>
      <c r="J245" s="6">
        <f>ROUND(I245*H245,2)</f>
        <v>0</v>
      </c>
      <c r="K245" s="7" t="s">
        <v>1</v>
      </c>
      <c r="L245" s="4"/>
      <c r="M245" s="8" t="s">
        <v>1</v>
      </c>
      <c r="N245" s="9" t="s">
        <v>33</v>
      </c>
      <c r="O245" s="10">
        <v>0</v>
      </c>
      <c r="P245" s="10">
        <f>O245*H245</f>
        <v>0</v>
      </c>
      <c r="Q245" s="10">
        <v>0</v>
      </c>
      <c r="R245" s="10">
        <f>Q245*H245</f>
        <v>0</v>
      </c>
      <c r="S245" s="10">
        <v>0</v>
      </c>
      <c r="T245" s="11">
        <f>S245*H245</f>
        <v>0</v>
      </c>
      <c r="U245" s="105"/>
      <c r="V245" s="105"/>
      <c r="W245" s="105"/>
      <c r="X245" s="105"/>
      <c r="Y245" s="105"/>
      <c r="Z245" s="105"/>
      <c r="AA245" s="105"/>
      <c r="AB245" s="105"/>
      <c r="AC245" s="105"/>
      <c r="AD245" s="105"/>
      <c r="AE245" s="105"/>
      <c r="AR245" s="12" t="s">
        <v>135</v>
      </c>
      <c r="AT245" s="12" t="s">
        <v>131</v>
      </c>
      <c r="AU245" s="12" t="s">
        <v>74</v>
      </c>
      <c r="AY245" s="13" t="s">
        <v>130</v>
      </c>
      <c r="BE245" s="14">
        <f>IF(N245="základní",J245,0)</f>
        <v>0</v>
      </c>
      <c r="BF245" s="14">
        <f>IF(N245="snížená",J245,0)</f>
        <v>0</v>
      </c>
      <c r="BG245" s="14">
        <f>IF(N245="zákl. přenesená",J245,0)</f>
        <v>0</v>
      </c>
      <c r="BH245" s="14">
        <f>IF(N245="sníž. přenesená",J245,0)</f>
        <v>0</v>
      </c>
      <c r="BI245" s="14">
        <f>IF(N245="nulová",J245,0)</f>
        <v>0</v>
      </c>
      <c r="BJ245" s="13" t="s">
        <v>74</v>
      </c>
      <c r="BK245" s="14">
        <f>ROUND(I245*H245,2)</f>
        <v>0</v>
      </c>
      <c r="BL245" s="13" t="s">
        <v>135</v>
      </c>
      <c r="BM245" s="12" t="s">
        <v>438</v>
      </c>
    </row>
    <row r="246" spans="1:65" s="5" customFormat="1" ht="16.5" customHeight="1" x14ac:dyDescent="0.2">
      <c r="A246" s="105"/>
      <c r="B246" s="4"/>
      <c r="C246" s="33" t="s">
        <v>224</v>
      </c>
      <c r="D246" s="33" t="s">
        <v>131</v>
      </c>
      <c r="E246" s="34" t="s">
        <v>439</v>
      </c>
      <c r="F246" s="7" t="s">
        <v>440</v>
      </c>
      <c r="G246" s="35" t="s">
        <v>134</v>
      </c>
      <c r="H246" s="36">
        <v>8.5679999999999996</v>
      </c>
      <c r="I246" s="1"/>
      <c r="J246" s="6">
        <f>ROUND(I246*H246,2)</f>
        <v>0</v>
      </c>
      <c r="K246" s="7" t="s">
        <v>1</v>
      </c>
      <c r="L246" s="4"/>
      <c r="M246" s="8" t="s">
        <v>1</v>
      </c>
      <c r="N246" s="9" t="s">
        <v>33</v>
      </c>
      <c r="O246" s="10">
        <v>0</v>
      </c>
      <c r="P246" s="10">
        <f>O246*H246</f>
        <v>0</v>
      </c>
      <c r="Q246" s="10">
        <v>0</v>
      </c>
      <c r="R246" s="10">
        <f>Q246*H246</f>
        <v>0</v>
      </c>
      <c r="S246" s="10">
        <v>0</v>
      </c>
      <c r="T246" s="11">
        <f>S246*H246</f>
        <v>0</v>
      </c>
      <c r="U246" s="105"/>
      <c r="V246" s="105"/>
      <c r="W246" s="105"/>
      <c r="X246" s="105"/>
      <c r="Y246" s="105"/>
      <c r="Z246" s="105"/>
      <c r="AA246" s="105"/>
      <c r="AB246" s="105"/>
      <c r="AC246" s="105"/>
      <c r="AD246" s="105"/>
      <c r="AE246" s="105"/>
      <c r="AR246" s="12" t="s">
        <v>135</v>
      </c>
      <c r="AT246" s="12" t="s">
        <v>131</v>
      </c>
      <c r="AU246" s="12" t="s">
        <v>74</v>
      </c>
      <c r="AY246" s="13" t="s">
        <v>130</v>
      </c>
      <c r="BE246" s="14">
        <f>IF(N246="základní",J246,0)</f>
        <v>0</v>
      </c>
      <c r="BF246" s="14">
        <f>IF(N246="snížená",J246,0)</f>
        <v>0</v>
      </c>
      <c r="BG246" s="14">
        <f>IF(N246="zákl. přenesená",J246,0)</f>
        <v>0</v>
      </c>
      <c r="BH246" s="14">
        <f>IF(N246="sníž. přenesená",J246,0)</f>
        <v>0</v>
      </c>
      <c r="BI246" s="14">
        <f>IF(N246="nulová",J246,0)</f>
        <v>0</v>
      </c>
      <c r="BJ246" s="13" t="s">
        <v>74</v>
      </c>
      <c r="BK246" s="14">
        <f>ROUND(I246*H246,2)</f>
        <v>0</v>
      </c>
      <c r="BL246" s="13" t="s">
        <v>135</v>
      </c>
      <c r="BM246" s="12" t="s">
        <v>441</v>
      </c>
    </row>
    <row r="247" spans="1:65" s="152" customFormat="1" x14ac:dyDescent="0.2">
      <c r="B247" s="210"/>
      <c r="D247" s="37" t="s">
        <v>340</v>
      </c>
      <c r="E247" s="161" t="s">
        <v>1</v>
      </c>
      <c r="F247" s="211" t="s">
        <v>442</v>
      </c>
      <c r="H247" s="212"/>
      <c r="L247" s="210"/>
      <c r="M247" s="159"/>
      <c r="N247" s="154"/>
      <c r="O247" s="154"/>
      <c r="P247" s="154"/>
      <c r="Q247" s="154"/>
      <c r="R247" s="154"/>
      <c r="S247" s="154"/>
      <c r="T247" s="160"/>
      <c r="AT247" s="161" t="s">
        <v>340</v>
      </c>
      <c r="AU247" s="161" t="s">
        <v>74</v>
      </c>
      <c r="AV247" s="152" t="s">
        <v>76</v>
      </c>
      <c r="AW247" s="152" t="s">
        <v>25</v>
      </c>
      <c r="AX247" s="152" t="s">
        <v>68</v>
      </c>
      <c r="AY247" s="161" t="s">
        <v>130</v>
      </c>
    </row>
    <row r="248" spans="1:65" s="162" customFormat="1" x14ac:dyDescent="0.2">
      <c r="B248" s="213"/>
      <c r="D248" s="37" t="s">
        <v>340</v>
      </c>
      <c r="E248" s="171" t="s">
        <v>1</v>
      </c>
      <c r="F248" s="214" t="s">
        <v>342</v>
      </c>
      <c r="H248" s="215">
        <v>8.5679999999999996</v>
      </c>
      <c r="L248" s="213"/>
      <c r="M248" s="169"/>
      <c r="N248" s="164"/>
      <c r="O248" s="164"/>
      <c r="P248" s="164"/>
      <c r="Q248" s="164"/>
      <c r="R248" s="164"/>
      <c r="S248" s="164"/>
      <c r="T248" s="170"/>
      <c r="AT248" s="171" t="s">
        <v>340</v>
      </c>
      <c r="AU248" s="171" t="s">
        <v>74</v>
      </c>
      <c r="AV248" s="162" t="s">
        <v>135</v>
      </c>
      <c r="AW248" s="162" t="s">
        <v>25</v>
      </c>
      <c r="AX248" s="162" t="s">
        <v>74</v>
      </c>
      <c r="AY248" s="171" t="s">
        <v>130</v>
      </c>
    </row>
    <row r="249" spans="1:65" s="5" customFormat="1" ht="16.5" customHeight="1" x14ac:dyDescent="0.2">
      <c r="A249" s="105"/>
      <c r="B249" s="4"/>
      <c r="C249" s="33" t="s">
        <v>443</v>
      </c>
      <c r="D249" s="33" t="s">
        <v>131</v>
      </c>
      <c r="E249" s="34" t="s">
        <v>444</v>
      </c>
      <c r="F249" s="7" t="s">
        <v>445</v>
      </c>
      <c r="G249" s="35" t="s">
        <v>134</v>
      </c>
      <c r="H249" s="36">
        <v>8.5679999999999996</v>
      </c>
      <c r="I249" s="1"/>
      <c r="J249" s="6">
        <f>ROUND(I249*H249,2)</f>
        <v>0</v>
      </c>
      <c r="K249" s="7" t="s">
        <v>1</v>
      </c>
      <c r="L249" s="4"/>
      <c r="M249" s="8" t="s">
        <v>1</v>
      </c>
      <c r="N249" s="9" t="s">
        <v>33</v>
      </c>
      <c r="O249" s="10">
        <v>0</v>
      </c>
      <c r="P249" s="10">
        <f>O249*H249</f>
        <v>0</v>
      </c>
      <c r="Q249" s="10">
        <v>0</v>
      </c>
      <c r="R249" s="10">
        <f>Q249*H249</f>
        <v>0</v>
      </c>
      <c r="S249" s="10">
        <v>0</v>
      </c>
      <c r="T249" s="11">
        <f>S249*H249</f>
        <v>0</v>
      </c>
      <c r="U249" s="105"/>
      <c r="V249" s="105"/>
      <c r="W249" s="105"/>
      <c r="X249" s="105"/>
      <c r="Y249" s="105"/>
      <c r="Z249" s="105"/>
      <c r="AA249" s="105"/>
      <c r="AB249" s="105"/>
      <c r="AC249" s="105"/>
      <c r="AD249" s="105"/>
      <c r="AE249" s="105"/>
      <c r="AR249" s="12" t="s">
        <v>135</v>
      </c>
      <c r="AT249" s="12" t="s">
        <v>131</v>
      </c>
      <c r="AU249" s="12" t="s">
        <v>74</v>
      </c>
      <c r="AY249" s="13" t="s">
        <v>130</v>
      </c>
      <c r="BE249" s="14">
        <f>IF(N249="základní",J249,0)</f>
        <v>0</v>
      </c>
      <c r="BF249" s="14">
        <f>IF(N249="snížená",J249,0)</f>
        <v>0</v>
      </c>
      <c r="BG249" s="14">
        <f>IF(N249="zákl. přenesená",J249,0)</f>
        <v>0</v>
      </c>
      <c r="BH249" s="14">
        <f>IF(N249="sníž. přenesená",J249,0)</f>
        <v>0</v>
      </c>
      <c r="BI249" s="14">
        <f>IF(N249="nulová",J249,0)</f>
        <v>0</v>
      </c>
      <c r="BJ249" s="13" t="s">
        <v>74</v>
      </c>
      <c r="BK249" s="14">
        <f>ROUND(I249*H249,2)</f>
        <v>0</v>
      </c>
      <c r="BL249" s="13" t="s">
        <v>135</v>
      </c>
      <c r="BM249" s="12" t="s">
        <v>446</v>
      </c>
    </row>
    <row r="250" spans="1:65" s="5" customFormat="1" ht="16.5" customHeight="1" x14ac:dyDescent="0.2">
      <c r="A250" s="105"/>
      <c r="B250" s="4"/>
      <c r="C250" s="33" t="s">
        <v>225</v>
      </c>
      <c r="D250" s="33" t="s">
        <v>131</v>
      </c>
      <c r="E250" s="34" t="s">
        <v>447</v>
      </c>
      <c r="F250" s="7" t="s">
        <v>346</v>
      </c>
      <c r="G250" s="35" t="s">
        <v>134</v>
      </c>
      <c r="H250" s="36">
        <v>26.699000000000002</v>
      </c>
      <c r="I250" s="1"/>
      <c r="J250" s="6">
        <f>ROUND(I250*H250,2)</f>
        <v>0</v>
      </c>
      <c r="K250" s="7" t="s">
        <v>1</v>
      </c>
      <c r="L250" s="4"/>
      <c r="M250" s="8" t="s">
        <v>1</v>
      </c>
      <c r="N250" s="9" t="s">
        <v>33</v>
      </c>
      <c r="O250" s="10">
        <v>0</v>
      </c>
      <c r="P250" s="10">
        <f>O250*H250</f>
        <v>0</v>
      </c>
      <c r="Q250" s="10">
        <v>0</v>
      </c>
      <c r="R250" s="10">
        <f>Q250*H250</f>
        <v>0</v>
      </c>
      <c r="S250" s="10">
        <v>0</v>
      </c>
      <c r="T250" s="11">
        <f>S250*H250</f>
        <v>0</v>
      </c>
      <c r="U250" s="105"/>
      <c r="V250" s="105"/>
      <c r="W250" s="105"/>
      <c r="X250" s="105"/>
      <c r="Y250" s="105"/>
      <c r="Z250" s="105"/>
      <c r="AA250" s="105"/>
      <c r="AB250" s="105"/>
      <c r="AC250" s="105"/>
      <c r="AD250" s="105"/>
      <c r="AE250" s="105"/>
      <c r="AR250" s="12" t="s">
        <v>135</v>
      </c>
      <c r="AT250" s="12" t="s">
        <v>131</v>
      </c>
      <c r="AU250" s="12" t="s">
        <v>74</v>
      </c>
      <c r="AY250" s="13" t="s">
        <v>130</v>
      </c>
      <c r="BE250" s="14">
        <f>IF(N250="základní",J250,0)</f>
        <v>0</v>
      </c>
      <c r="BF250" s="14">
        <f>IF(N250="snížená",J250,0)</f>
        <v>0</v>
      </c>
      <c r="BG250" s="14">
        <f>IF(N250="zákl. přenesená",J250,0)</f>
        <v>0</v>
      </c>
      <c r="BH250" s="14">
        <f>IF(N250="sníž. přenesená",J250,0)</f>
        <v>0</v>
      </c>
      <c r="BI250" s="14">
        <f>IF(N250="nulová",J250,0)</f>
        <v>0</v>
      </c>
      <c r="BJ250" s="13" t="s">
        <v>74</v>
      </c>
      <c r="BK250" s="14">
        <f>ROUND(I250*H250,2)</f>
        <v>0</v>
      </c>
      <c r="BL250" s="13" t="s">
        <v>135</v>
      </c>
      <c r="BM250" s="12" t="s">
        <v>448</v>
      </c>
    </row>
    <row r="251" spans="1:65" s="152" customFormat="1" x14ac:dyDescent="0.2">
      <c r="B251" s="210"/>
      <c r="D251" s="37" t="s">
        <v>340</v>
      </c>
      <c r="E251" s="161" t="s">
        <v>1</v>
      </c>
      <c r="F251" s="211" t="s">
        <v>449</v>
      </c>
      <c r="H251" s="212"/>
      <c r="L251" s="210"/>
      <c r="M251" s="159"/>
      <c r="N251" s="154"/>
      <c r="O251" s="154"/>
      <c r="P251" s="154"/>
      <c r="Q251" s="154"/>
      <c r="R251" s="154"/>
      <c r="S251" s="154"/>
      <c r="T251" s="160"/>
      <c r="AT251" s="161" t="s">
        <v>340</v>
      </c>
      <c r="AU251" s="161" t="s">
        <v>74</v>
      </c>
      <c r="AV251" s="152" t="s">
        <v>76</v>
      </c>
      <c r="AW251" s="152" t="s">
        <v>25</v>
      </c>
      <c r="AX251" s="152" t="s">
        <v>68</v>
      </c>
      <c r="AY251" s="161" t="s">
        <v>130</v>
      </c>
    </row>
    <row r="252" spans="1:65" s="162" customFormat="1" x14ac:dyDescent="0.2">
      <c r="B252" s="213"/>
      <c r="D252" s="37" t="s">
        <v>340</v>
      </c>
      <c r="E252" s="171" t="s">
        <v>1</v>
      </c>
      <c r="F252" s="214" t="s">
        <v>342</v>
      </c>
      <c r="H252" s="215">
        <v>26.699000000000002</v>
      </c>
      <c r="L252" s="213"/>
      <c r="M252" s="169"/>
      <c r="N252" s="164"/>
      <c r="O252" s="164"/>
      <c r="P252" s="164"/>
      <c r="Q252" s="164"/>
      <c r="R252" s="164"/>
      <c r="S252" s="164"/>
      <c r="T252" s="170"/>
      <c r="AT252" s="171" t="s">
        <v>340</v>
      </c>
      <c r="AU252" s="171" t="s">
        <v>74</v>
      </c>
      <c r="AV252" s="162" t="s">
        <v>135</v>
      </c>
      <c r="AW252" s="162" t="s">
        <v>25</v>
      </c>
      <c r="AX252" s="162" t="s">
        <v>74</v>
      </c>
      <c r="AY252" s="171" t="s">
        <v>130</v>
      </c>
    </row>
    <row r="253" spans="1:65" s="5" customFormat="1" ht="16.5" customHeight="1" x14ac:dyDescent="0.2">
      <c r="A253" s="105"/>
      <c r="B253" s="4"/>
      <c r="C253" s="33" t="s">
        <v>450</v>
      </c>
      <c r="D253" s="33" t="s">
        <v>131</v>
      </c>
      <c r="E253" s="34" t="s">
        <v>451</v>
      </c>
      <c r="F253" s="7" t="s">
        <v>349</v>
      </c>
      <c r="G253" s="35" t="s">
        <v>134</v>
      </c>
      <c r="H253" s="36">
        <v>26.699000000000002</v>
      </c>
      <c r="I253" s="1"/>
      <c r="J253" s="6">
        <f>ROUND(I253*H253,2)</f>
        <v>0</v>
      </c>
      <c r="K253" s="7" t="s">
        <v>1</v>
      </c>
      <c r="L253" s="4"/>
      <c r="M253" s="8" t="s">
        <v>1</v>
      </c>
      <c r="N253" s="9" t="s">
        <v>33</v>
      </c>
      <c r="O253" s="10">
        <v>0</v>
      </c>
      <c r="P253" s="10">
        <f>O253*H253</f>
        <v>0</v>
      </c>
      <c r="Q253" s="10">
        <v>0</v>
      </c>
      <c r="R253" s="10">
        <f>Q253*H253</f>
        <v>0</v>
      </c>
      <c r="S253" s="10">
        <v>0</v>
      </c>
      <c r="T253" s="11">
        <f>S253*H253</f>
        <v>0</v>
      </c>
      <c r="U253" s="105"/>
      <c r="V253" s="105"/>
      <c r="W253" s="105"/>
      <c r="X253" s="105"/>
      <c r="Y253" s="105"/>
      <c r="Z253" s="105"/>
      <c r="AA253" s="105"/>
      <c r="AB253" s="105"/>
      <c r="AC253" s="105"/>
      <c r="AD253" s="105"/>
      <c r="AE253" s="105"/>
      <c r="AR253" s="12" t="s">
        <v>135</v>
      </c>
      <c r="AT253" s="12" t="s">
        <v>131</v>
      </c>
      <c r="AU253" s="12" t="s">
        <v>74</v>
      </c>
      <c r="AY253" s="13" t="s">
        <v>130</v>
      </c>
      <c r="BE253" s="14">
        <f>IF(N253="základní",J253,0)</f>
        <v>0</v>
      </c>
      <c r="BF253" s="14">
        <f>IF(N253="snížená",J253,0)</f>
        <v>0</v>
      </c>
      <c r="BG253" s="14">
        <f>IF(N253="zákl. přenesená",J253,0)</f>
        <v>0</v>
      </c>
      <c r="BH253" s="14">
        <f>IF(N253="sníž. přenesená",J253,0)</f>
        <v>0</v>
      </c>
      <c r="BI253" s="14">
        <f>IF(N253="nulová",J253,0)</f>
        <v>0</v>
      </c>
      <c r="BJ253" s="13" t="s">
        <v>74</v>
      </c>
      <c r="BK253" s="14">
        <f>ROUND(I253*H253,2)</f>
        <v>0</v>
      </c>
      <c r="BL253" s="13" t="s">
        <v>135</v>
      </c>
      <c r="BM253" s="12" t="s">
        <v>452</v>
      </c>
    </row>
    <row r="254" spans="1:65" s="20" customFormat="1" ht="25.9" customHeight="1" x14ac:dyDescent="0.2">
      <c r="B254" s="21"/>
      <c r="D254" s="26" t="s">
        <v>67</v>
      </c>
      <c r="E254" s="39" t="s">
        <v>226</v>
      </c>
      <c r="F254" s="39" t="s">
        <v>453</v>
      </c>
      <c r="J254" s="19">
        <f>BK254</f>
        <v>0</v>
      </c>
      <c r="L254" s="21"/>
      <c r="M254" s="22"/>
      <c r="N254" s="23"/>
      <c r="O254" s="23"/>
      <c r="P254" s="24">
        <f>SUM(P257:P260)</f>
        <v>0</v>
      </c>
      <c r="Q254" s="23"/>
      <c r="R254" s="24">
        <f>SUM(R257:R260)</f>
        <v>0</v>
      </c>
      <c r="S254" s="23"/>
      <c r="T254" s="25">
        <f>SUM(T257:T260)</f>
        <v>0</v>
      </c>
      <c r="AR254" s="26" t="s">
        <v>74</v>
      </c>
      <c r="AT254" s="27" t="s">
        <v>67</v>
      </c>
      <c r="AU254" s="27" t="s">
        <v>68</v>
      </c>
      <c r="AY254" s="26" t="s">
        <v>130</v>
      </c>
      <c r="BK254" s="28">
        <f>SUM(BK257:BK260)</f>
        <v>0</v>
      </c>
    </row>
    <row r="255" spans="1:65" s="5" customFormat="1" ht="10.15" customHeight="1" x14ac:dyDescent="0.2">
      <c r="B255" s="45"/>
      <c r="D255" s="216" t="s">
        <v>340</v>
      </c>
      <c r="F255" s="116" t="s">
        <v>1167</v>
      </c>
      <c r="G255" s="117"/>
      <c r="K255" s="181"/>
      <c r="L255" s="94"/>
      <c r="M255" s="52"/>
      <c r="P255" s="126" t="s">
        <v>148</v>
      </c>
      <c r="Q255" s="126" t="s">
        <v>74</v>
      </c>
    </row>
    <row r="256" spans="1:65" s="5" customFormat="1" ht="10.15" customHeight="1" x14ac:dyDescent="0.2">
      <c r="B256" s="45"/>
      <c r="D256" s="216" t="s">
        <v>340</v>
      </c>
      <c r="F256" s="116" t="s">
        <v>1168</v>
      </c>
      <c r="H256" s="117">
        <f>(1.1*0.38)+(1.1*0.025)</f>
        <v>0.44550000000000006</v>
      </c>
      <c r="K256" s="181"/>
      <c r="L256" s="94"/>
      <c r="M256" s="52"/>
      <c r="P256" s="126" t="s">
        <v>148</v>
      </c>
      <c r="Q256" s="126" t="s">
        <v>74</v>
      </c>
    </row>
    <row r="257" spans="1:65" s="5" customFormat="1" ht="16.5" customHeight="1" x14ac:dyDescent="0.2">
      <c r="A257" s="105"/>
      <c r="B257" s="4"/>
      <c r="C257" s="33" t="s">
        <v>231</v>
      </c>
      <c r="D257" s="33" t="s">
        <v>131</v>
      </c>
      <c r="E257" s="34" t="s">
        <v>454</v>
      </c>
      <c r="F257" s="7" t="s">
        <v>355</v>
      </c>
      <c r="G257" s="35" t="s">
        <v>157</v>
      </c>
      <c r="H257" s="36">
        <v>1</v>
      </c>
      <c r="I257" s="1"/>
      <c r="J257" s="6">
        <f>ROUND(I257*H257,2)</f>
        <v>0</v>
      </c>
      <c r="K257" s="7" t="s">
        <v>1</v>
      </c>
      <c r="L257" s="4"/>
      <c r="M257" s="8" t="s">
        <v>1</v>
      </c>
      <c r="N257" s="9" t="s">
        <v>33</v>
      </c>
      <c r="O257" s="10">
        <v>0</v>
      </c>
      <c r="P257" s="10">
        <f>O257*H257</f>
        <v>0</v>
      </c>
      <c r="Q257" s="10">
        <v>0</v>
      </c>
      <c r="R257" s="10">
        <f>Q257*H257</f>
        <v>0</v>
      </c>
      <c r="S257" s="10">
        <v>0</v>
      </c>
      <c r="T257" s="11">
        <f>S257*H257</f>
        <v>0</v>
      </c>
      <c r="U257" s="105"/>
      <c r="V257" s="105"/>
      <c r="W257" s="105"/>
      <c r="X257" s="105"/>
      <c r="Y257" s="105"/>
      <c r="Z257" s="105"/>
      <c r="AA257" s="105"/>
      <c r="AB257" s="105"/>
      <c r="AC257" s="105"/>
      <c r="AD257" s="105"/>
      <c r="AE257" s="105"/>
      <c r="AR257" s="12" t="s">
        <v>135</v>
      </c>
      <c r="AT257" s="12" t="s">
        <v>131</v>
      </c>
      <c r="AU257" s="12" t="s">
        <v>74</v>
      </c>
      <c r="AY257" s="13" t="s">
        <v>130</v>
      </c>
      <c r="BE257" s="14">
        <f>IF(N257="základní",J257,0)</f>
        <v>0</v>
      </c>
      <c r="BF257" s="14">
        <f>IF(N257="snížená",J257,0)</f>
        <v>0</v>
      </c>
      <c r="BG257" s="14">
        <f>IF(N257="zákl. přenesená",J257,0)</f>
        <v>0</v>
      </c>
      <c r="BH257" s="14">
        <f>IF(N257="sníž. přenesená",J257,0)</f>
        <v>0</v>
      </c>
      <c r="BI257" s="14">
        <f>IF(N257="nulová",J257,0)</f>
        <v>0</v>
      </c>
      <c r="BJ257" s="13" t="s">
        <v>74</v>
      </c>
      <c r="BK257" s="14">
        <f>ROUND(I257*H257,2)</f>
        <v>0</v>
      </c>
      <c r="BL257" s="13" t="s">
        <v>135</v>
      </c>
      <c r="BM257" s="12" t="s">
        <v>455</v>
      </c>
    </row>
    <row r="258" spans="1:65" s="5" customFormat="1" ht="16.5" customHeight="1" x14ac:dyDescent="0.2">
      <c r="A258" s="105"/>
      <c r="B258" s="4"/>
      <c r="C258" s="33" t="s">
        <v>456</v>
      </c>
      <c r="D258" s="33" t="s">
        <v>131</v>
      </c>
      <c r="E258" s="34" t="s">
        <v>457</v>
      </c>
      <c r="F258" s="7" t="s">
        <v>337</v>
      </c>
      <c r="G258" s="35" t="s">
        <v>157</v>
      </c>
      <c r="H258" s="36">
        <v>1</v>
      </c>
      <c r="I258" s="1"/>
      <c r="J258" s="6">
        <f>ROUND(I258*H258,2)</f>
        <v>0</v>
      </c>
      <c r="K258" s="7" t="s">
        <v>1</v>
      </c>
      <c r="L258" s="4"/>
      <c r="M258" s="8" t="s">
        <v>1</v>
      </c>
      <c r="N258" s="9" t="s">
        <v>33</v>
      </c>
      <c r="O258" s="10">
        <v>0</v>
      </c>
      <c r="P258" s="10">
        <f>O258*H258</f>
        <v>0</v>
      </c>
      <c r="Q258" s="10">
        <v>0</v>
      </c>
      <c r="R258" s="10">
        <f>Q258*H258</f>
        <v>0</v>
      </c>
      <c r="S258" s="10">
        <v>0</v>
      </c>
      <c r="T258" s="11">
        <f>S258*H258</f>
        <v>0</v>
      </c>
      <c r="U258" s="105"/>
      <c r="V258" s="105"/>
      <c r="W258" s="105"/>
      <c r="X258" s="105"/>
      <c r="Y258" s="105"/>
      <c r="Z258" s="105"/>
      <c r="AA258" s="105"/>
      <c r="AB258" s="105"/>
      <c r="AC258" s="105"/>
      <c r="AD258" s="105"/>
      <c r="AE258" s="105"/>
      <c r="AR258" s="12" t="s">
        <v>135</v>
      </c>
      <c r="AT258" s="12" t="s">
        <v>131</v>
      </c>
      <c r="AU258" s="12" t="s">
        <v>74</v>
      </c>
      <c r="AY258" s="13" t="s">
        <v>130</v>
      </c>
      <c r="BE258" s="14">
        <f>IF(N258="základní",J258,0)</f>
        <v>0</v>
      </c>
      <c r="BF258" s="14">
        <f>IF(N258="snížená",J258,0)</f>
        <v>0</v>
      </c>
      <c r="BG258" s="14">
        <f>IF(N258="zákl. přenesená",J258,0)</f>
        <v>0</v>
      </c>
      <c r="BH258" s="14">
        <f>IF(N258="sníž. přenesená",J258,0)</f>
        <v>0</v>
      </c>
      <c r="BI258" s="14">
        <f>IF(N258="nulová",J258,0)</f>
        <v>0</v>
      </c>
      <c r="BJ258" s="13" t="s">
        <v>74</v>
      </c>
      <c r="BK258" s="14">
        <f>ROUND(I258*H258,2)</f>
        <v>0</v>
      </c>
      <c r="BL258" s="13" t="s">
        <v>135</v>
      </c>
      <c r="BM258" s="12" t="s">
        <v>458</v>
      </c>
    </row>
    <row r="259" spans="1:65" s="5" customFormat="1" ht="16.5" customHeight="1" x14ac:dyDescent="0.2">
      <c r="A259" s="105"/>
      <c r="B259" s="4"/>
      <c r="C259" s="33" t="s">
        <v>234</v>
      </c>
      <c r="D259" s="33" t="s">
        <v>131</v>
      </c>
      <c r="E259" s="34" t="s">
        <v>142</v>
      </c>
      <c r="F259" s="7" t="s">
        <v>143</v>
      </c>
      <c r="G259" s="35" t="s">
        <v>134</v>
      </c>
      <c r="H259" s="36">
        <v>0.44600000000000001</v>
      </c>
      <c r="I259" s="1"/>
      <c r="J259" s="6">
        <f>ROUND(I259*H259,2)</f>
        <v>0</v>
      </c>
      <c r="K259" s="7" t="s">
        <v>1</v>
      </c>
      <c r="L259" s="4"/>
      <c r="M259" s="8" t="s">
        <v>1</v>
      </c>
      <c r="N259" s="9" t="s">
        <v>33</v>
      </c>
      <c r="O259" s="10">
        <v>0</v>
      </c>
      <c r="P259" s="10">
        <f>O259*H259</f>
        <v>0</v>
      </c>
      <c r="Q259" s="10">
        <v>0</v>
      </c>
      <c r="R259" s="10">
        <f>Q259*H259</f>
        <v>0</v>
      </c>
      <c r="S259" s="10">
        <v>0</v>
      </c>
      <c r="T259" s="11">
        <f>S259*H259</f>
        <v>0</v>
      </c>
      <c r="U259" s="105"/>
      <c r="V259" s="105"/>
      <c r="W259" s="105"/>
      <c r="X259" s="105"/>
      <c r="Y259" s="105"/>
      <c r="Z259" s="105"/>
      <c r="AA259" s="105"/>
      <c r="AB259" s="105"/>
      <c r="AC259" s="105"/>
      <c r="AD259" s="105"/>
      <c r="AE259" s="105"/>
      <c r="AR259" s="12" t="s">
        <v>135</v>
      </c>
      <c r="AT259" s="12" t="s">
        <v>131</v>
      </c>
      <c r="AU259" s="12" t="s">
        <v>74</v>
      </c>
      <c r="AY259" s="13" t="s">
        <v>130</v>
      </c>
      <c r="BE259" s="14">
        <f>IF(N259="základní",J259,0)</f>
        <v>0</v>
      </c>
      <c r="BF259" s="14">
        <f>IF(N259="snížená",J259,0)</f>
        <v>0</v>
      </c>
      <c r="BG259" s="14">
        <f>IF(N259="zákl. přenesená",J259,0)</f>
        <v>0</v>
      </c>
      <c r="BH259" s="14">
        <f>IF(N259="sníž. přenesená",J259,0)</f>
        <v>0</v>
      </c>
      <c r="BI259" s="14">
        <f>IF(N259="nulová",J259,0)</f>
        <v>0</v>
      </c>
      <c r="BJ259" s="13" t="s">
        <v>74</v>
      </c>
      <c r="BK259" s="14">
        <f>ROUND(I259*H259,2)</f>
        <v>0</v>
      </c>
      <c r="BL259" s="13" t="s">
        <v>135</v>
      </c>
      <c r="BM259" s="12" t="s">
        <v>459</v>
      </c>
    </row>
    <row r="260" spans="1:65" s="5" customFormat="1" ht="16.5" customHeight="1" x14ac:dyDescent="0.2">
      <c r="A260" s="105"/>
      <c r="B260" s="4"/>
      <c r="C260" s="33" t="s">
        <v>460</v>
      </c>
      <c r="D260" s="33" t="s">
        <v>131</v>
      </c>
      <c r="E260" s="34" t="s">
        <v>461</v>
      </c>
      <c r="F260" s="7" t="s">
        <v>359</v>
      </c>
      <c r="G260" s="35" t="s">
        <v>134</v>
      </c>
      <c r="H260" s="36">
        <v>0.44600000000000001</v>
      </c>
      <c r="I260" s="1"/>
      <c r="J260" s="6">
        <f>ROUND(I260*H260,2)</f>
        <v>0</v>
      </c>
      <c r="K260" s="7" t="s">
        <v>1</v>
      </c>
      <c r="L260" s="4"/>
      <c r="M260" s="8" t="s">
        <v>1</v>
      </c>
      <c r="N260" s="9" t="s">
        <v>33</v>
      </c>
      <c r="O260" s="10">
        <v>0</v>
      </c>
      <c r="P260" s="10">
        <f>O260*H260</f>
        <v>0</v>
      </c>
      <c r="Q260" s="10">
        <v>0</v>
      </c>
      <c r="R260" s="10">
        <f>Q260*H260</f>
        <v>0</v>
      </c>
      <c r="S260" s="10">
        <v>0</v>
      </c>
      <c r="T260" s="11">
        <f>S260*H260</f>
        <v>0</v>
      </c>
      <c r="U260" s="105"/>
      <c r="V260" s="105"/>
      <c r="W260" s="105"/>
      <c r="X260" s="105"/>
      <c r="Y260" s="105"/>
      <c r="Z260" s="105"/>
      <c r="AA260" s="105"/>
      <c r="AB260" s="105"/>
      <c r="AC260" s="105"/>
      <c r="AD260" s="105"/>
      <c r="AE260" s="105"/>
      <c r="AR260" s="12" t="s">
        <v>135</v>
      </c>
      <c r="AT260" s="12" t="s">
        <v>131</v>
      </c>
      <c r="AU260" s="12" t="s">
        <v>74</v>
      </c>
      <c r="AY260" s="13" t="s">
        <v>130</v>
      </c>
      <c r="BE260" s="14">
        <f>IF(N260="základní",J260,0)</f>
        <v>0</v>
      </c>
      <c r="BF260" s="14">
        <f>IF(N260="snížená",J260,0)</f>
        <v>0</v>
      </c>
      <c r="BG260" s="14">
        <f>IF(N260="zákl. přenesená",J260,0)</f>
        <v>0</v>
      </c>
      <c r="BH260" s="14">
        <f>IF(N260="sníž. přenesená",J260,0)</f>
        <v>0</v>
      </c>
      <c r="BI260" s="14">
        <f>IF(N260="nulová",J260,0)</f>
        <v>0</v>
      </c>
      <c r="BJ260" s="13" t="s">
        <v>74</v>
      </c>
      <c r="BK260" s="14">
        <f>ROUND(I260*H260,2)</f>
        <v>0</v>
      </c>
      <c r="BL260" s="13" t="s">
        <v>135</v>
      </c>
      <c r="BM260" s="12" t="s">
        <v>462</v>
      </c>
    </row>
    <row r="261" spans="1:65" s="20" customFormat="1" ht="25.9" customHeight="1" x14ac:dyDescent="0.2">
      <c r="B261" s="21"/>
      <c r="D261" s="26" t="s">
        <v>67</v>
      </c>
      <c r="E261" s="39" t="s">
        <v>236</v>
      </c>
      <c r="F261" s="39" t="s">
        <v>463</v>
      </c>
      <c r="J261" s="19">
        <f>BK261</f>
        <v>0</v>
      </c>
      <c r="L261" s="21"/>
      <c r="M261" s="22"/>
      <c r="N261" s="23"/>
      <c r="O261" s="23"/>
      <c r="P261" s="24">
        <f>SUM(P264:P267)</f>
        <v>0</v>
      </c>
      <c r="Q261" s="23"/>
      <c r="R261" s="24">
        <f>SUM(R264:R267)</f>
        <v>0</v>
      </c>
      <c r="S261" s="23"/>
      <c r="T261" s="25">
        <f>SUM(T264:T267)</f>
        <v>0</v>
      </c>
      <c r="AR261" s="26" t="s">
        <v>74</v>
      </c>
      <c r="AT261" s="27" t="s">
        <v>67</v>
      </c>
      <c r="AU261" s="27" t="s">
        <v>68</v>
      </c>
      <c r="AY261" s="26" t="s">
        <v>130</v>
      </c>
      <c r="BK261" s="28">
        <f>SUM(BK264:BK267)</f>
        <v>0</v>
      </c>
    </row>
    <row r="262" spans="1:65" s="5" customFormat="1" ht="10.15" customHeight="1" x14ac:dyDescent="0.2">
      <c r="B262" s="45"/>
      <c r="D262" s="216" t="s">
        <v>340</v>
      </c>
      <c r="F262" s="116" t="s">
        <v>1169</v>
      </c>
      <c r="G262" s="117"/>
      <c r="K262" s="181"/>
      <c r="L262" s="94"/>
      <c r="M262" s="52"/>
      <c r="P262" s="126" t="s">
        <v>148</v>
      </c>
      <c r="Q262" s="126" t="s">
        <v>74</v>
      </c>
    </row>
    <row r="263" spans="1:65" s="5" customFormat="1" ht="10.15" customHeight="1" x14ac:dyDescent="0.2">
      <c r="B263" s="45"/>
      <c r="D263" s="216" t="s">
        <v>340</v>
      </c>
      <c r="F263" s="116" t="s">
        <v>1170</v>
      </c>
      <c r="H263" s="117">
        <f>(1.12*0.4)+(1.12*0.025)</f>
        <v>0.47600000000000009</v>
      </c>
      <c r="K263" s="181"/>
      <c r="L263" s="94"/>
      <c r="M263" s="52"/>
      <c r="P263" s="126" t="s">
        <v>148</v>
      </c>
      <c r="Q263" s="126" t="s">
        <v>74</v>
      </c>
    </row>
    <row r="264" spans="1:65" s="5" customFormat="1" ht="16.5" customHeight="1" x14ac:dyDescent="0.2">
      <c r="A264" s="105"/>
      <c r="B264" s="4"/>
      <c r="C264" s="33" t="s">
        <v>239</v>
      </c>
      <c r="D264" s="33" t="s">
        <v>131</v>
      </c>
      <c r="E264" s="34" t="s">
        <v>454</v>
      </c>
      <c r="F264" s="7" t="s">
        <v>355</v>
      </c>
      <c r="G264" s="35" t="s">
        <v>157</v>
      </c>
      <c r="H264" s="36">
        <v>1</v>
      </c>
      <c r="I264" s="1"/>
      <c r="J264" s="6">
        <f>ROUND(I264*H264,2)</f>
        <v>0</v>
      </c>
      <c r="K264" s="7" t="s">
        <v>1</v>
      </c>
      <c r="L264" s="4"/>
      <c r="M264" s="8" t="s">
        <v>1</v>
      </c>
      <c r="N264" s="9" t="s">
        <v>33</v>
      </c>
      <c r="O264" s="10">
        <v>0</v>
      </c>
      <c r="P264" s="10">
        <f>O264*H264</f>
        <v>0</v>
      </c>
      <c r="Q264" s="10">
        <v>0</v>
      </c>
      <c r="R264" s="10">
        <f>Q264*H264</f>
        <v>0</v>
      </c>
      <c r="S264" s="10">
        <v>0</v>
      </c>
      <c r="T264" s="11">
        <f>S264*H264</f>
        <v>0</v>
      </c>
      <c r="U264" s="105"/>
      <c r="V264" s="105"/>
      <c r="W264" s="105"/>
      <c r="X264" s="105"/>
      <c r="Y264" s="105"/>
      <c r="Z264" s="105"/>
      <c r="AA264" s="105"/>
      <c r="AB264" s="105"/>
      <c r="AC264" s="105"/>
      <c r="AD264" s="105"/>
      <c r="AE264" s="105"/>
      <c r="AR264" s="12" t="s">
        <v>135</v>
      </c>
      <c r="AT264" s="12" t="s">
        <v>131</v>
      </c>
      <c r="AU264" s="12" t="s">
        <v>74</v>
      </c>
      <c r="AY264" s="13" t="s">
        <v>130</v>
      </c>
      <c r="BE264" s="14">
        <f>IF(N264="základní",J264,0)</f>
        <v>0</v>
      </c>
      <c r="BF264" s="14">
        <f>IF(N264="snížená",J264,0)</f>
        <v>0</v>
      </c>
      <c r="BG264" s="14">
        <f>IF(N264="zákl. přenesená",J264,0)</f>
        <v>0</v>
      </c>
      <c r="BH264" s="14">
        <f>IF(N264="sníž. přenesená",J264,0)</f>
        <v>0</v>
      </c>
      <c r="BI264" s="14">
        <f>IF(N264="nulová",J264,0)</f>
        <v>0</v>
      </c>
      <c r="BJ264" s="13" t="s">
        <v>74</v>
      </c>
      <c r="BK264" s="14">
        <f>ROUND(I264*H264,2)</f>
        <v>0</v>
      </c>
      <c r="BL264" s="13" t="s">
        <v>135</v>
      </c>
      <c r="BM264" s="12" t="s">
        <v>464</v>
      </c>
    </row>
    <row r="265" spans="1:65" s="5" customFormat="1" ht="16.5" customHeight="1" x14ac:dyDescent="0.2">
      <c r="A265" s="105"/>
      <c r="B265" s="4"/>
      <c r="C265" s="33" t="s">
        <v>465</v>
      </c>
      <c r="D265" s="33" t="s">
        <v>131</v>
      </c>
      <c r="E265" s="34" t="s">
        <v>457</v>
      </c>
      <c r="F265" s="7" t="s">
        <v>337</v>
      </c>
      <c r="G265" s="35" t="s">
        <v>157</v>
      </c>
      <c r="H265" s="36">
        <v>1</v>
      </c>
      <c r="I265" s="1"/>
      <c r="J265" s="6">
        <f>ROUND(I265*H265,2)</f>
        <v>0</v>
      </c>
      <c r="K265" s="7" t="s">
        <v>1</v>
      </c>
      <c r="L265" s="4"/>
      <c r="M265" s="8" t="s">
        <v>1</v>
      </c>
      <c r="N265" s="9" t="s">
        <v>33</v>
      </c>
      <c r="O265" s="10">
        <v>0</v>
      </c>
      <c r="P265" s="10">
        <f>O265*H265</f>
        <v>0</v>
      </c>
      <c r="Q265" s="10">
        <v>0</v>
      </c>
      <c r="R265" s="10">
        <f>Q265*H265</f>
        <v>0</v>
      </c>
      <c r="S265" s="10">
        <v>0</v>
      </c>
      <c r="T265" s="11">
        <f>S265*H265</f>
        <v>0</v>
      </c>
      <c r="U265" s="105"/>
      <c r="V265" s="105"/>
      <c r="W265" s="105"/>
      <c r="X265" s="105"/>
      <c r="Y265" s="105"/>
      <c r="Z265" s="105"/>
      <c r="AA265" s="105"/>
      <c r="AB265" s="105"/>
      <c r="AC265" s="105"/>
      <c r="AD265" s="105"/>
      <c r="AE265" s="105"/>
      <c r="AR265" s="12" t="s">
        <v>135</v>
      </c>
      <c r="AT265" s="12" t="s">
        <v>131</v>
      </c>
      <c r="AU265" s="12" t="s">
        <v>74</v>
      </c>
      <c r="AY265" s="13" t="s">
        <v>130</v>
      </c>
      <c r="BE265" s="14">
        <f>IF(N265="základní",J265,0)</f>
        <v>0</v>
      </c>
      <c r="BF265" s="14">
        <f>IF(N265="snížená",J265,0)</f>
        <v>0</v>
      </c>
      <c r="BG265" s="14">
        <f>IF(N265="zákl. přenesená",J265,0)</f>
        <v>0</v>
      </c>
      <c r="BH265" s="14">
        <f>IF(N265="sníž. přenesená",J265,0)</f>
        <v>0</v>
      </c>
      <c r="BI265" s="14">
        <f>IF(N265="nulová",J265,0)</f>
        <v>0</v>
      </c>
      <c r="BJ265" s="13" t="s">
        <v>74</v>
      </c>
      <c r="BK265" s="14">
        <f>ROUND(I265*H265,2)</f>
        <v>0</v>
      </c>
      <c r="BL265" s="13" t="s">
        <v>135</v>
      </c>
      <c r="BM265" s="12" t="s">
        <v>466</v>
      </c>
    </row>
    <row r="266" spans="1:65" s="5" customFormat="1" ht="16.5" customHeight="1" x14ac:dyDescent="0.2">
      <c r="A266" s="105"/>
      <c r="B266" s="4"/>
      <c r="C266" s="33" t="s">
        <v>242</v>
      </c>
      <c r="D266" s="33" t="s">
        <v>131</v>
      </c>
      <c r="E266" s="34" t="s">
        <v>142</v>
      </c>
      <c r="F266" s="7" t="s">
        <v>143</v>
      </c>
      <c r="G266" s="35" t="s">
        <v>134</v>
      </c>
      <c r="H266" s="36">
        <v>0.47599999999999998</v>
      </c>
      <c r="I266" s="1"/>
      <c r="J266" s="6">
        <f>ROUND(I266*H266,2)</f>
        <v>0</v>
      </c>
      <c r="K266" s="7" t="s">
        <v>1</v>
      </c>
      <c r="L266" s="4"/>
      <c r="M266" s="8" t="s">
        <v>1</v>
      </c>
      <c r="N266" s="9" t="s">
        <v>33</v>
      </c>
      <c r="O266" s="10">
        <v>0</v>
      </c>
      <c r="P266" s="10">
        <f>O266*H266</f>
        <v>0</v>
      </c>
      <c r="Q266" s="10">
        <v>0</v>
      </c>
      <c r="R266" s="10">
        <f>Q266*H266</f>
        <v>0</v>
      </c>
      <c r="S266" s="10">
        <v>0</v>
      </c>
      <c r="T266" s="11">
        <f>S266*H266</f>
        <v>0</v>
      </c>
      <c r="U266" s="105"/>
      <c r="V266" s="105"/>
      <c r="W266" s="105"/>
      <c r="X266" s="105"/>
      <c r="Y266" s="105"/>
      <c r="Z266" s="105"/>
      <c r="AA266" s="105"/>
      <c r="AB266" s="105"/>
      <c r="AC266" s="105"/>
      <c r="AD266" s="105"/>
      <c r="AE266" s="105"/>
      <c r="AR266" s="12" t="s">
        <v>135</v>
      </c>
      <c r="AT266" s="12" t="s">
        <v>131</v>
      </c>
      <c r="AU266" s="12" t="s">
        <v>74</v>
      </c>
      <c r="AY266" s="13" t="s">
        <v>130</v>
      </c>
      <c r="BE266" s="14">
        <f>IF(N266="základní",J266,0)</f>
        <v>0</v>
      </c>
      <c r="BF266" s="14">
        <f>IF(N266="snížená",J266,0)</f>
        <v>0</v>
      </c>
      <c r="BG266" s="14">
        <f>IF(N266="zákl. přenesená",J266,0)</f>
        <v>0</v>
      </c>
      <c r="BH266" s="14">
        <f>IF(N266="sníž. přenesená",J266,0)</f>
        <v>0</v>
      </c>
      <c r="BI266" s="14">
        <f>IF(N266="nulová",J266,0)</f>
        <v>0</v>
      </c>
      <c r="BJ266" s="13" t="s">
        <v>74</v>
      </c>
      <c r="BK266" s="14">
        <f>ROUND(I266*H266,2)</f>
        <v>0</v>
      </c>
      <c r="BL266" s="13" t="s">
        <v>135</v>
      </c>
      <c r="BM266" s="12" t="s">
        <v>467</v>
      </c>
    </row>
    <row r="267" spans="1:65" s="5" customFormat="1" ht="16.5" customHeight="1" x14ac:dyDescent="0.2">
      <c r="A267" s="105"/>
      <c r="B267" s="4"/>
      <c r="C267" s="33" t="s">
        <v>468</v>
      </c>
      <c r="D267" s="33" t="s">
        <v>131</v>
      </c>
      <c r="E267" s="34" t="s">
        <v>461</v>
      </c>
      <c r="F267" s="7" t="s">
        <v>359</v>
      </c>
      <c r="G267" s="35" t="s">
        <v>134</v>
      </c>
      <c r="H267" s="36">
        <v>0.47599999999999998</v>
      </c>
      <c r="I267" s="1"/>
      <c r="J267" s="6">
        <f>ROUND(I267*H267,2)</f>
        <v>0</v>
      </c>
      <c r="K267" s="7" t="s">
        <v>1</v>
      </c>
      <c r="L267" s="4"/>
      <c r="M267" s="8" t="s">
        <v>1</v>
      </c>
      <c r="N267" s="9" t="s">
        <v>33</v>
      </c>
      <c r="O267" s="10">
        <v>0</v>
      </c>
      <c r="P267" s="10">
        <f>O267*H267</f>
        <v>0</v>
      </c>
      <c r="Q267" s="10">
        <v>0</v>
      </c>
      <c r="R267" s="10">
        <f>Q267*H267</f>
        <v>0</v>
      </c>
      <c r="S267" s="10">
        <v>0</v>
      </c>
      <c r="T267" s="11">
        <f>S267*H267</f>
        <v>0</v>
      </c>
      <c r="U267" s="105"/>
      <c r="V267" s="105"/>
      <c r="W267" s="105"/>
      <c r="X267" s="105"/>
      <c r="Y267" s="105"/>
      <c r="Z267" s="105"/>
      <c r="AA267" s="105"/>
      <c r="AB267" s="105"/>
      <c r="AC267" s="105"/>
      <c r="AD267" s="105"/>
      <c r="AE267" s="105"/>
      <c r="AR267" s="12" t="s">
        <v>135</v>
      </c>
      <c r="AT267" s="12" t="s">
        <v>131</v>
      </c>
      <c r="AU267" s="12" t="s">
        <v>74</v>
      </c>
      <c r="AY267" s="13" t="s">
        <v>130</v>
      </c>
      <c r="BE267" s="14">
        <f>IF(N267="základní",J267,0)</f>
        <v>0</v>
      </c>
      <c r="BF267" s="14">
        <f>IF(N267="snížená",J267,0)</f>
        <v>0</v>
      </c>
      <c r="BG267" s="14">
        <f>IF(N267="zákl. přenesená",J267,0)</f>
        <v>0</v>
      </c>
      <c r="BH267" s="14">
        <f>IF(N267="sníž. přenesená",J267,0)</f>
        <v>0</v>
      </c>
      <c r="BI267" s="14">
        <f>IF(N267="nulová",J267,0)</f>
        <v>0</v>
      </c>
      <c r="BJ267" s="13" t="s">
        <v>74</v>
      </c>
      <c r="BK267" s="14">
        <f>ROUND(I267*H267,2)</f>
        <v>0</v>
      </c>
      <c r="BL267" s="13" t="s">
        <v>135</v>
      </c>
      <c r="BM267" s="12" t="s">
        <v>469</v>
      </c>
    </row>
    <row r="268" spans="1:65" s="20" customFormat="1" ht="25.9" customHeight="1" x14ac:dyDescent="0.2">
      <c r="B268" s="21"/>
      <c r="D268" s="26" t="s">
        <v>67</v>
      </c>
      <c r="E268" s="39" t="s">
        <v>243</v>
      </c>
      <c r="F268" s="39" t="s">
        <v>470</v>
      </c>
      <c r="J268" s="19">
        <f>BK268</f>
        <v>0</v>
      </c>
      <c r="L268" s="21"/>
      <c r="M268" s="22"/>
      <c r="N268" s="23"/>
      <c r="O268" s="23"/>
      <c r="P268" s="24">
        <f>SUM(P271:P281)</f>
        <v>0</v>
      </c>
      <c r="Q268" s="23"/>
      <c r="R268" s="24">
        <f>SUM(R271:R281)</f>
        <v>0</v>
      </c>
      <c r="S268" s="23"/>
      <c r="T268" s="25">
        <f>SUM(T271:T281)</f>
        <v>0</v>
      </c>
      <c r="AR268" s="26" t="s">
        <v>74</v>
      </c>
      <c r="AT268" s="27" t="s">
        <v>67</v>
      </c>
      <c r="AU268" s="27" t="s">
        <v>68</v>
      </c>
      <c r="AY268" s="26" t="s">
        <v>130</v>
      </c>
      <c r="BK268" s="28">
        <f>SUM(BK271:BK281)</f>
        <v>0</v>
      </c>
    </row>
    <row r="269" spans="1:65" s="5" customFormat="1" ht="10.15" customHeight="1" x14ac:dyDescent="0.2">
      <c r="B269" s="45"/>
      <c r="D269" s="216" t="s">
        <v>340</v>
      </c>
      <c r="F269" s="116" t="s">
        <v>1171</v>
      </c>
      <c r="G269" s="117"/>
      <c r="K269" s="181"/>
      <c r="L269" s="94"/>
      <c r="M269" s="52"/>
      <c r="P269" s="126" t="s">
        <v>148</v>
      </c>
      <c r="Q269" s="126" t="s">
        <v>74</v>
      </c>
    </row>
    <row r="270" spans="1:65" s="5" customFormat="1" ht="10.15" customHeight="1" x14ac:dyDescent="0.2">
      <c r="B270" s="45"/>
      <c r="D270" s="216" t="s">
        <v>340</v>
      </c>
      <c r="F270" s="116" t="s">
        <v>1172</v>
      </c>
      <c r="H270" s="117">
        <f>11.29+(28*1.51*0.14)</f>
        <v>17.209199999999999</v>
      </c>
      <c r="K270" s="181"/>
      <c r="L270" s="94"/>
      <c r="M270" s="52"/>
      <c r="P270" s="126" t="s">
        <v>148</v>
      </c>
      <c r="Q270" s="126" t="s">
        <v>74</v>
      </c>
    </row>
    <row r="271" spans="1:65" s="5" customFormat="1" ht="16.5" customHeight="1" x14ac:dyDescent="0.2">
      <c r="A271" s="105"/>
      <c r="B271" s="4"/>
      <c r="C271" s="33" t="s">
        <v>248</v>
      </c>
      <c r="D271" s="33" t="s">
        <v>131</v>
      </c>
      <c r="E271" s="34" t="s">
        <v>419</v>
      </c>
      <c r="F271" s="7" t="s">
        <v>412</v>
      </c>
      <c r="G271" s="35" t="s">
        <v>333</v>
      </c>
      <c r="H271" s="36">
        <v>50.94</v>
      </c>
      <c r="I271" s="1"/>
      <c r="J271" s="6">
        <f>ROUND(I271*H271,2)</f>
        <v>0</v>
      </c>
      <c r="K271" s="7" t="s">
        <v>1</v>
      </c>
      <c r="L271" s="4"/>
      <c r="M271" s="8" t="s">
        <v>1</v>
      </c>
      <c r="N271" s="9" t="s">
        <v>33</v>
      </c>
      <c r="O271" s="10">
        <v>0</v>
      </c>
      <c r="P271" s="10">
        <f>O271*H271</f>
        <v>0</v>
      </c>
      <c r="Q271" s="10">
        <v>0</v>
      </c>
      <c r="R271" s="10">
        <f>Q271*H271</f>
        <v>0</v>
      </c>
      <c r="S271" s="10">
        <v>0</v>
      </c>
      <c r="T271" s="11">
        <f>S271*H271</f>
        <v>0</v>
      </c>
      <c r="U271" s="105"/>
      <c r="V271" s="105"/>
      <c r="W271" s="105"/>
      <c r="X271" s="105"/>
      <c r="Y271" s="105"/>
      <c r="Z271" s="105"/>
      <c r="AA271" s="105"/>
      <c r="AB271" s="105"/>
      <c r="AC271" s="105"/>
      <c r="AD271" s="105"/>
      <c r="AE271" s="105"/>
      <c r="AR271" s="12" t="s">
        <v>135</v>
      </c>
      <c r="AT271" s="12" t="s">
        <v>131</v>
      </c>
      <c r="AU271" s="12" t="s">
        <v>74</v>
      </c>
      <c r="AY271" s="13" t="s">
        <v>130</v>
      </c>
      <c r="BE271" s="14">
        <f>IF(N271="základní",J271,0)</f>
        <v>0</v>
      </c>
      <c r="BF271" s="14">
        <f>IF(N271="snížená",J271,0)</f>
        <v>0</v>
      </c>
      <c r="BG271" s="14">
        <f>IF(N271="zákl. přenesená",J271,0)</f>
        <v>0</v>
      </c>
      <c r="BH271" s="14">
        <f>IF(N271="sníž. přenesená",J271,0)</f>
        <v>0</v>
      </c>
      <c r="BI271" s="14">
        <f>IF(N271="nulová",J271,0)</f>
        <v>0</v>
      </c>
      <c r="BJ271" s="13" t="s">
        <v>74</v>
      </c>
      <c r="BK271" s="14">
        <f>ROUND(I271*H271,2)</f>
        <v>0</v>
      </c>
      <c r="BL271" s="13" t="s">
        <v>135</v>
      </c>
      <c r="BM271" s="12" t="s">
        <v>471</v>
      </c>
    </row>
    <row r="272" spans="1:65" s="5" customFormat="1" ht="16.5" customHeight="1" x14ac:dyDescent="0.2">
      <c r="A272" s="105"/>
      <c r="B272" s="4"/>
      <c r="C272" s="33" t="s">
        <v>472</v>
      </c>
      <c r="D272" s="33" t="s">
        <v>131</v>
      </c>
      <c r="E272" s="34" t="s">
        <v>422</v>
      </c>
      <c r="F272" s="7" t="s">
        <v>414</v>
      </c>
      <c r="G272" s="35" t="s">
        <v>333</v>
      </c>
      <c r="H272" s="36">
        <v>50.94</v>
      </c>
      <c r="I272" s="1"/>
      <c r="J272" s="6">
        <f>ROUND(I272*H272,2)</f>
        <v>0</v>
      </c>
      <c r="K272" s="7" t="s">
        <v>1</v>
      </c>
      <c r="L272" s="4"/>
      <c r="M272" s="8" t="s">
        <v>1</v>
      </c>
      <c r="N272" s="9" t="s">
        <v>33</v>
      </c>
      <c r="O272" s="10">
        <v>0</v>
      </c>
      <c r="P272" s="10">
        <f>O272*H272</f>
        <v>0</v>
      </c>
      <c r="Q272" s="10">
        <v>0</v>
      </c>
      <c r="R272" s="10">
        <f>Q272*H272</f>
        <v>0</v>
      </c>
      <c r="S272" s="10">
        <v>0</v>
      </c>
      <c r="T272" s="11">
        <f>S272*H272</f>
        <v>0</v>
      </c>
      <c r="U272" s="105"/>
      <c r="V272" s="105"/>
      <c r="W272" s="105"/>
      <c r="X272" s="105"/>
      <c r="Y272" s="105"/>
      <c r="Z272" s="105"/>
      <c r="AA272" s="105"/>
      <c r="AB272" s="105"/>
      <c r="AC272" s="105"/>
      <c r="AD272" s="105"/>
      <c r="AE272" s="105"/>
      <c r="AR272" s="12" t="s">
        <v>135</v>
      </c>
      <c r="AT272" s="12" t="s">
        <v>131</v>
      </c>
      <c r="AU272" s="12" t="s">
        <v>74</v>
      </c>
      <c r="AY272" s="13" t="s">
        <v>130</v>
      </c>
      <c r="BE272" s="14">
        <f>IF(N272="základní",J272,0)</f>
        <v>0</v>
      </c>
      <c r="BF272" s="14">
        <f>IF(N272="snížená",J272,0)</f>
        <v>0</v>
      </c>
      <c r="BG272" s="14">
        <f>IF(N272="zákl. přenesená",J272,0)</f>
        <v>0</v>
      </c>
      <c r="BH272" s="14">
        <f>IF(N272="sníž. přenesená",J272,0)</f>
        <v>0</v>
      </c>
      <c r="BI272" s="14">
        <f>IF(N272="nulová",J272,0)</f>
        <v>0</v>
      </c>
      <c r="BJ272" s="13" t="s">
        <v>74</v>
      </c>
      <c r="BK272" s="14">
        <f>ROUND(I272*H272,2)</f>
        <v>0</v>
      </c>
      <c r="BL272" s="13" t="s">
        <v>135</v>
      </c>
      <c r="BM272" s="12" t="s">
        <v>473</v>
      </c>
    </row>
    <row r="273" spans="1:65" s="5" customFormat="1" ht="16.5" customHeight="1" x14ac:dyDescent="0.2">
      <c r="A273" s="105"/>
      <c r="B273" s="4"/>
      <c r="C273" s="33" t="s">
        <v>254</v>
      </c>
      <c r="D273" s="33" t="s">
        <v>131</v>
      </c>
      <c r="E273" s="34" t="s">
        <v>424</v>
      </c>
      <c r="F273" s="7" t="s">
        <v>337</v>
      </c>
      <c r="G273" s="35" t="s">
        <v>333</v>
      </c>
      <c r="H273" s="36">
        <v>50.94</v>
      </c>
      <c r="I273" s="1"/>
      <c r="J273" s="6">
        <f>ROUND(I273*H273,2)</f>
        <v>0</v>
      </c>
      <c r="K273" s="7" t="s">
        <v>1</v>
      </c>
      <c r="L273" s="4"/>
      <c r="M273" s="8" t="s">
        <v>1</v>
      </c>
      <c r="N273" s="9" t="s">
        <v>33</v>
      </c>
      <c r="O273" s="10">
        <v>0</v>
      </c>
      <c r="P273" s="10">
        <f>O273*H273</f>
        <v>0</v>
      </c>
      <c r="Q273" s="10">
        <v>0</v>
      </c>
      <c r="R273" s="10">
        <f>Q273*H273</f>
        <v>0</v>
      </c>
      <c r="S273" s="10">
        <v>0</v>
      </c>
      <c r="T273" s="11">
        <f>S273*H273</f>
        <v>0</v>
      </c>
      <c r="U273" s="105"/>
      <c r="V273" s="105"/>
      <c r="W273" s="105"/>
      <c r="X273" s="105"/>
      <c r="Y273" s="105"/>
      <c r="Z273" s="105"/>
      <c r="AA273" s="105"/>
      <c r="AB273" s="105"/>
      <c r="AC273" s="105"/>
      <c r="AD273" s="105"/>
      <c r="AE273" s="105"/>
      <c r="AR273" s="12" t="s">
        <v>135</v>
      </c>
      <c r="AT273" s="12" t="s">
        <v>131</v>
      </c>
      <c r="AU273" s="12" t="s">
        <v>74</v>
      </c>
      <c r="AY273" s="13" t="s">
        <v>130</v>
      </c>
      <c r="BE273" s="14">
        <f>IF(N273="základní",J273,0)</f>
        <v>0</v>
      </c>
      <c r="BF273" s="14">
        <f>IF(N273="snížená",J273,0)</f>
        <v>0</v>
      </c>
      <c r="BG273" s="14">
        <f>IF(N273="zákl. přenesená",J273,0)</f>
        <v>0</v>
      </c>
      <c r="BH273" s="14">
        <f>IF(N273="sníž. přenesená",J273,0)</f>
        <v>0</v>
      </c>
      <c r="BI273" s="14">
        <f>IF(N273="nulová",J273,0)</f>
        <v>0</v>
      </c>
      <c r="BJ273" s="13" t="s">
        <v>74</v>
      </c>
      <c r="BK273" s="14">
        <f>ROUND(I273*H273,2)</f>
        <v>0</v>
      </c>
      <c r="BL273" s="13" t="s">
        <v>135</v>
      </c>
      <c r="BM273" s="12" t="s">
        <v>474</v>
      </c>
    </row>
    <row r="274" spans="1:65" s="5" customFormat="1" ht="16.5" customHeight="1" x14ac:dyDescent="0.2">
      <c r="A274" s="105"/>
      <c r="B274" s="4"/>
      <c r="C274" s="33" t="s">
        <v>475</v>
      </c>
      <c r="D274" s="33" t="s">
        <v>131</v>
      </c>
      <c r="E274" s="34" t="s">
        <v>476</v>
      </c>
      <c r="F274" s="7" t="s">
        <v>440</v>
      </c>
      <c r="G274" s="35" t="s">
        <v>134</v>
      </c>
      <c r="H274" s="36">
        <v>11.807</v>
      </c>
      <c r="I274" s="1"/>
      <c r="J274" s="6">
        <f>ROUND(I274*H274,2)</f>
        <v>0</v>
      </c>
      <c r="K274" s="7" t="s">
        <v>1</v>
      </c>
      <c r="L274" s="4"/>
      <c r="M274" s="8" t="s">
        <v>1</v>
      </c>
      <c r="N274" s="9" t="s">
        <v>33</v>
      </c>
      <c r="O274" s="10">
        <v>0</v>
      </c>
      <c r="P274" s="10">
        <f>O274*H274</f>
        <v>0</v>
      </c>
      <c r="Q274" s="10">
        <v>0</v>
      </c>
      <c r="R274" s="10">
        <f>Q274*H274</f>
        <v>0</v>
      </c>
      <c r="S274" s="10">
        <v>0</v>
      </c>
      <c r="T274" s="11">
        <f>S274*H274</f>
        <v>0</v>
      </c>
      <c r="U274" s="105"/>
      <c r="V274" s="105"/>
      <c r="W274" s="105"/>
      <c r="X274" s="105"/>
      <c r="Y274" s="105"/>
      <c r="Z274" s="105"/>
      <c r="AA274" s="105"/>
      <c r="AB274" s="105"/>
      <c r="AC274" s="105"/>
      <c r="AD274" s="105"/>
      <c r="AE274" s="105"/>
      <c r="AR274" s="12" t="s">
        <v>135</v>
      </c>
      <c r="AT274" s="12" t="s">
        <v>131</v>
      </c>
      <c r="AU274" s="12" t="s">
        <v>74</v>
      </c>
      <c r="AY274" s="13" t="s">
        <v>130</v>
      </c>
      <c r="BE274" s="14">
        <f>IF(N274="základní",J274,0)</f>
        <v>0</v>
      </c>
      <c r="BF274" s="14">
        <f>IF(N274="snížená",J274,0)</f>
        <v>0</v>
      </c>
      <c r="BG274" s="14">
        <f>IF(N274="zákl. přenesená",J274,0)</f>
        <v>0</v>
      </c>
      <c r="BH274" s="14">
        <f>IF(N274="sníž. přenesená",J274,0)</f>
        <v>0</v>
      </c>
      <c r="BI274" s="14">
        <f>IF(N274="nulová",J274,0)</f>
        <v>0</v>
      </c>
      <c r="BJ274" s="13" t="s">
        <v>74</v>
      </c>
      <c r="BK274" s="14">
        <f>ROUND(I274*H274,2)</f>
        <v>0</v>
      </c>
      <c r="BL274" s="13" t="s">
        <v>135</v>
      </c>
      <c r="BM274" s="12" t="s">
        <v>477</v>
      </c>
    </row>
    <row r="275" spans="1:65" s="152" customFormat="1" x14ac:dyDescent="0.2">
      <c r="B275" s="210"/>
      <c r="D275" s="37" t="s">
        <v>340</v>
      </c>
      <c r="E275" s="161" t="s">
        <v>1</v>
      </c>
      <c r="F275" s="211" t="s">
        <v>478</v>
      </c>
      <c r="H275" s="212"/>
      <c r="L275" s="210"/>
      <c r="M275" s="159"/>
      <c r="N275" s="154"/>
      <c r="O275" s="154"/>
      <c r="P275" s="154"/>
      <c r="Q275" s="154"/>
      <c r="R275" s="154"/>
      <c r="S275" s="154"/>
      <c r="T275" s="160"/>
      <c r="AT275" s="161" t="s">
        <v>340</v>
      </c>
      <c r="AU275" s="161" t="s">
        <v>74</v>
      </c>
      <c r="AV275" s="152" t="s">
        <v>76</v>
      </c>
      <c r="AW275" s="152" t="s">
        <v>25</v>
      </c>
      <c r="AX275" s="152" t="s">
        <v>68</v>
      </c>
      <c r="AY275" s="161" t="s">
        <v>130</v>
      </c>
    </row>
    <row r="276" spans="1:65" s="162" customFormat="1" x14ac:dyDescent="0.2">
      <c r="B276" s="213"/>
      <c r="D276" s="37" t="s">
        <v>340</v>
      </c>
      <c r="E276" s="171" t="s">
        <v>1</v>
      </c>
      <c r="F276" s="214" t="s">
        <v>342</v>
      </c>
      <c r="H276" s="215">
        <v>11.807</v>
      </c>
      <c r="L276" s="213"/>
      <c r="M276" s="169"/>
      <c r="N276" s="164"/>
      <c r="O276" s="164"/>
      <c r="P276" s="164"/>
      <c r="Q276" s="164"/>
      <c r="R276" s="164"/>
      <c r="S276" s="164"/>
      <c r="T276" s="170"/>
      <c r="AT276" s="171" t="s">
        <v>340</v>
      </c>
      <c r="AU276" s="171" t="s">
        <v>74</v>
      </c>
      <c r="AV276" s="162" t="s">
        <v>135</v>
      </c>
      <c r="AW276" s="162" t="s">
        <v>25</v>
      </c>
      <c r="AX276" s="162" t="s">
        <v>74</v>
      </c>
      <c r="AY276" s="171" t="s">
        <v>130</v>
      </c>
    </row>
    <row r="277" spans="1:65" s="5" customFormat="1" ht="16.5" customHeight="1" x14ac:dyDescent="0.2">
      <c r="A277" s="105"/>
      <c r="B277" s="4"/>
      <c r="C277" s="33" t="s">
        <v>259</v>
      </c>
      <c r="D277" s="33" t="s">
        <v>131</v>
      </c>
      <c r="E277" s="34" t="s">
        <v>444</v>
      </c>
      <c r="F277" s="7" t="s">
        <v>445</v>
      </c>
      <c r="G277" s="35" t="s">
        <v>134</v>
      </c>
      <c r="H277" s="36">
        <v>11.807</v>
      </c>
      <c r="I277" s="1"/>
      <c r="J277" s="6">
        <f>ROUND(I277*H277,2)</f>
        <v>0</v>
      </c>
      <c r="K277" s="7" t="s">
        <v>1</v>
      </c>
      <c r="L277" s="4"/>
      <c r="M277" s="8" t="s">
        <v>1</v>
      </c>
      <c r="N277" s="9" t="s">
        <v>33</v>
      </c>
      <c r="O277" s="10">
        <v>0</v>
      </c>
      <c r="P277" s="10">
        <f>O277*H277</f>
        <v>0</v>
      </c>
      <c r="Q277" s="10">
        <v>0</v>
      </c>
      <c r="R277" s="10">
        <f>Q277*H277</f>
        <v>0</v>
      </c>
      <c r="S277" s="10">
        <v>0</v>
      </c>
      <c r="T277" s="11">
        <f>S277*H277</f>
        <v>0</v>
      </c>
      <c r="U277" s="105"/>
      <c r="V277" s="105"/>
      <c r="W277" s="105"/>
      <c r="X277" s="105"/>
      <c r="Y277" s="105"/>
      <c r="Z277" s="105"/>
      <c r="AA277" s="105"/>
      <c r="AB277" s="105"/>
      <c r="AC277" s="105"/>
      <c r="AD277" s="105"/>
      <c r="AE277" s="105"/>
      <c r="AR277" s="12" t="s">
        <v>135</v>
      </c>
      <c r="AT277" s="12" t="s">
        <v>131</v>
      </c>
      <c r="AU277" s="12" t="s">
        <v>74</v>
      </c>
      <c r="AY277" s="13" t="s">
        <v>130</v>
      </c>
      <c r="BE277" s="14">
        <f>IF(N277="základní",J277,0)</f>
        <v>0</v>
      </c>
      <c r="BF277" s="14">
        <f>IF(N277="snížená",J277,0)</f>
        <v>0</v>
      </c>
      <c r="BG277" s="14">
        <f>IF(N277="zákl. přenesená",J277,0)</f>
        <v>0</v>
      </c>
      <c r="BH277" s="14">
        <f>IF(N277="sníž. přenesená",J277,0)</f>
        <v>0</v>
      </c>
      <c r="BI277" s="14">
        <f>IF(N277="nulová",J277,0)</f>
        <v>0</v>
      </c>
      <c r="BJ277" s="13" t="s">
        <v>74</v>
      </c>
      <c r="BK277" s="14">
        <f>ROUND(I277*H277,2)</f>
        <v>0</v>
      </c>
      <c r="BL277" s="13" t="s">
        <v>135</v>
      </c>
      <c r="BM277" s="12" t="s">
        <v>479</v>
      </c>
    </row>
    <row r="278" spans="1:65" s="5" customFormat="1" ht="16.5" customHeight="1" x14ac:dyDescent="0.2">
      <c r="A278" s="105"/>
      <c r="B278" s="4"/>
      <c r="C278" s="33" t="s">
        <v>480</v>
      </c>
      <c r="D278" s="33" t="s">
        <v>131</v>
      </c>
      <c r="E278" s="34" t="s">
        <v>447</v>
      </c>
      <c r="F278" s="7" t="s">
        <v>346</v>
      </c>
      <c r="G278" s="35" t="s">
        <v>134</v>
      </c>
      <c r="H278" s="36">
        <v>29.015999999999998</v>
      </c>
      <c r="I278" s="1"/>
      <c r="J278" s="6">
        <f>ROUND(I278*H278,2)</f>
        <v>0</v>
      </c>
      <c r="K278" s="7" t="s">
        <v>1</v>
      </c>
      <c r="L278" s="4"/>
      <c r="M278" s="8" t="s">
        <v>1</v>
      </c>
      <c r="N278" s="9" t="s">
        <v>33</v>
      </c>
      <c r="O278" s="10">
        <v>0</v>
      </c>
      <c r="P278" s="10">
        <f>O278*H278</f>
        <v>0</v>
      </c>
      <c r="Q278" s="10">
        <v>0</v>
      </c>
      <c r="R278" s="10">
        <f>Q278*H278</f>
        <v>0</v>
      </c>
      <c r="S278" s="10">
        <v>0</v>
      </c>
      <c r="T278" s="11">
        <f>S278*H278</f>
        <v>0</v>
      </c>
      <c r="U278" s="105"/>
      <c r="V278" s="105"/>
      <c r="W278" s="105"/>
      <c r="X278" s="105"/>
      <c r="Y278" s="105"/>
      <c r="Z278" s="105"/>
      <c r="AA278" s="105"/>
      <c r="AB278" s="105"/>
      <c r="AC278" s="105"/>
      <c r="AD278" s="105"/>
      <c r="AE278" s="105"/>
      <c r="AR278" s="12" t="s">
        <v>135</v>
      </c>
      <c r="AT278" s="12" t="s">
        <v>131</v>
      </c>
      <c r="AU278" s="12" t="s">
        <v>74</v>
      </c>
      <c r="AY278" s="13" t="s">
        <v>130</v>
      </c>
      <c r="BE278" s="14">
        <f>IF(N278="základní",J278,0)</f>
        <v>0</v>
      </c>
      <c r="BF278" s="14">
        <f>IF(N278="snížená",J278,0)</f>
        <v>0</v>
      </c>
      <c r="BG278" s="14">
        <f>IF(N278="zákl. přenesená",J278,0)</f>
        <v>0</v>
      </c>
      <c r="BH278" s="14">
        <f>IF(N278="sníž. přenesená",J278,0)</f>
        <v>0</v>
      </c>
      <c r="BI278" s="14">
        <f>IF(N278="nulová",J278,0)</f>
        <v>0</v>
      </c>
      <c r="BJ278" s="13" t="s">
        <v>74</v>
      </c>
      <c r="BK278" s="14">
        <f>ROUND(I278*H278,2)</f>
        <v>0</v>
      </c>
      <c r="BL278" s="13" t="s">
        <v>135</v>
      </c>
      <c r="BM278" s="12" t="s">
        <v>481</v>
      </c>
    </row>
    <row r="279" spans="1:65" s="152" customFormat="1" x14ac:dyDescent="0.2">
      <c r="B279" s="210"/>
      <c r="D279" s="37" t="s">
        <v>340</v>
      </c>
      <c r="E279" s="161" t="s">
        <v>1</v>
      </c>
      <c r="F279" s="211" t="s">
        <v>482</v>
      </c>
      <c r="H279" s="212"/>
      <c r="L279" s="210"/>
      <c r="M279" s="159"/>
      <c r="N279" s="154"/>
      <c r="O279" s="154"/>
      <c r="P279" s="154"/>
      <c r="Q279" s="154"/>
      <c r="R279" s="154"/>
      <c r="S279" s="154"/>
      <c r="T279" s="160"/>
      <c r="AT279" s="161" t="s">
        <v>340</v>
      </c>
      <c r="AU279" s="161" t="s">
        <v>74</v>
      </c>
      <c r="AV279" s="152" t="s">
        <v>76</v>
      </c>
      <c r="AW279" s="152" t="s">
        <v>25</v>
      </c>
      <c r="AX279" s="152" t="s">
        <v>68</v>
      </c>
      <c r="AY279" s="161" t="s">
        <v>130</v>
      </c>
    </row>
    <row r="280" spans="1:65" s="162" customFormat="1" x14ac:dyDescent="0.2">
      <c r="B280" s="213"/>
      <c r="D280" s="37" t="s">
        <v>340</v>
      </c>
      <c r="E280" s="171" t="s">
        <v>1</v>
      </c>
      <c r="F280" s="214" t="s">
        <v>342</v>
      </c>
      <c r="H280" s="215">
        <v>29.015999999999998</v>
      </c>
      <c r="L280" s="213"/>
      <c r="M280" s="169"/>
      <c r="N280" s="164"/>
      <c r="O280" s="164"/>
      <c r="P280" s="164"/>
      <c r="Q280" s="164"/>
      <c r="R280" s="164"/>
      <c r="S280" s="164"/>
      <c r="T280" s="170"/>
      <c r="AT280" s="171" t="s">
        <v>340</v>
      </c>
      <c r="AU280" s="171" t="s">
        <v>74</v>
      </c>
      <c r="AV280" s="162" t="s">
        <v>135</v>
      </c>
      <c r="AW280" s="162" t="s">
        <v>25</v>
      </c>
      <c r="AX280" s="162" t="s">
        <v>74</v>
      </c>
      <c r="AY280" s="171" t="s">
        <v>130</v>
      </c>
    </row>
    <row r="281" spans="1:65" s="5" customFormat="1" ht="16.5" customHeight="1" x14ac:dyDescent="0.2">
      <c r="A281" s="105"/>
      <c r="B281" s="4"/>
      <c r="C281" s="33" t="s">
        <v>262</v>
      </c>
      <c r="D281" s="33" t="s">
        <v>131</v>
      </c>
      <c r="E281" s="34" t="s">
        <v>451</v>
      </c>
      <c r="F281" s="7" t="s">
        <v>349</v>
      </c>
      <c r="G281" s="35" t="s">
        <v>134</v>
      </c>
      <c r="H281" s="36">
        <v>29.015999999999998</v>
      </c>
      <c r="I281" s="1"/>
      <c r="J281" s="6">
        <f>ROUND(I281*H281,2)</f>
        <v>0</v>
      </c>
      <c r="K281" s="7" t="s">
        <v>1</v>
      </c>
      <c r="L281" s="4"/>
      <c r="M281" s="8" t="s">
        <v>1</v>
      </c>
      <c r="N281" s="9" t="s">
        <v>33</v>
      </c>
      <c r="O281" s="10">
        <v>0</v>
      </c>
      <c r="P281" s="10">
        <f>O281*H281</f>
        <v>0</v>
      </c>
      <c r="Q281" s="10">
        <v>0</v>
      </c>
      <c r="R281" s="10">
        <f>Q281*H281</f>
        <v>0</v>
      </c>
      <c r="S281" s="10">
        <v>0</v>
      </c>
      <c r="T281" s="11">
        <f>S281*H281</f>
        <v>0</v>
      </c>
      <c r="U281" s="105"/>
      <c r="V281" s="105"/>
      <c r="W281" s="105"/>
      <c r="X281" s="105"/>
      <c r="Y281" s="105"/>
      <c r="Z281" s="105"/>
      <c r="AA281" s="105"/>
      <c r="AB281" s="105"/>
      <c r="AC281" s="105"/>
      <c r="AD281" s="105"/>
      <c r="AE281" s="105"/>
      <c r="AR281" s="12" t="s">
        <v>135</v>
      </c>
      <c r="AT281" s="12" t="s">
        <v>131</v>
      </c>
      <c r="AU281" s="12" t="s">
        <v>74</v>
      </c>
      <c r="AY281" s="13" t="s">
        <v>130</v>
      </c>
      <c r="BE281" s="14">
        <f>IF(N281="základní",J281,0)</f>
        <v>0</v>
      </c>
      <c r="BF281" s="14">
        <f>IF(N281="snížená",J281,0)</f>
        <v>0</v>
      </c>
      <c r="BG281" s="14">
        <f>IF(N281="zákl. přenesená",J281,0)</f>
        <v>0</v>
      </c>
      <c r="BH281" s="14">
        <f>IF(N281="sníž. přenesená",J281,0)</f>
        <v>0</v>
      </c>
      <c r="BI281" s="14">
        <f>IF(N281="nulová",J281,0)</f>
        <v>0</v>
      </c>
      <c r="BJ281" s="13" t="s">
        <v>74</v>
      </c>
      <c r="BK281" s="14">
        <f>ROUND(I281*H281,2)</f>
        <v>0</v>
      </c>
      <c r="BL281" s="13" t="s">
        <v>135</v>
      </c>
      <c r="BM281" s="12" t="s">
        <v>483</v>
      </c>
    </row>
    <row r="282" spans="1:65" s="20" customFormat="1" ht="25.9" customHeight="1" x14ac:dyDescent="0.2">
      <c r="B282" s="21"/>
      <c r="D282" s="26" t="s">
        <v>67</v>
      </c>
      <c r="E282" s="39" t="s">
        <v>250</v>
      </c>
      <c r="F282" s="39" t="s">
        <v>484</v>
      </c>
      <c r="J282" s="19">
        <f>BK282</f>
        <v>0</v>
      </c>
      <c r="L282" s="21"/>
      <c r="M282" s="22"/>
      <c r="N282" s="23"/>
      <c r="O282" s="23"/>
      <c r="P282" s="24">
        <f>SUM(P285:P291)</f>
        <v>0</v>
      </c>
      <c r="Q282" s="23"/>
      <c r="R282" s="24">
        <f>SUM(R285:R291)</f>
        <v>0</v>
      </c>
      <c r="S282" s="23"/>
      <c r="T282" s="25">
        <f>SUM(T285:T291)</f>
        <v>0</v>
      </c>
      <c r="AR282" s="26" t="s">
        <v>74</v>
      </c>
      <c r="AT282" s="27" t="s">
        <v>67</v>
      </c>
      <c r="AU282" s="27" t="s">
        <v>68</v>
      </c>
      <c r="AY282" s="26" t="s">
        <v>130</v>
      </c>
      <c r="BK282" s="28">
        <f>SUM(BK285:BK291)</f>
        <v>0</v>
      </c>
    </row>
    <row r="283" spans="1:65" s="5" customFormat="1" ht="10.15" customHeight="1" x14ac:dyDescent="0.2">
      <c r="B283" s="45"/>
      <c r="D283" s="216" t="s">
        <v>340</v>
      </c>
      <c r="F283" s="116" t="s">
        <v>1173</v>
      </c>
      <c r="G283" s="117"/>
      <c r="K283" s="181"/>
      <c r="L283" s="94"/>
      <c r="M283" s="52"/>
      <c r="P283" s="126" t="s">
        <v>148</v>
      </c>
      <c r="Q283" s="126" t="s">
        <v>74</v>
      </c>
    </row>
    <row r="284" spans="1:65" s="5" customFormat="1" ht="10.15" customHeight="1" x14ac:dyDescent="0.2">
      <c r="B284" s="45"/>
      <c r="D284" s="216" t="s">
        <v>340</v>
      </c>
      <c r="F284" s="116" t="s">
        <v>1174</v>
      </c>
      <c r="H284" s="117">
        <f>(1.05*0.85)+(1.05*0.04)</f>
        <v>0.9345</v>
      </c>
      <c r="K284" s="181"/>
      <c r="L284" s="94"/>
      <c r="M284" s="52"/>
      <c r="P284" s="126" t="s">
        <v>148</v>
      </c>
      <c r="Q284" s="126" t="s">
        <v>74</v>
      </c>
    </row>
    <row r="285" spans="1:65" s="5" customFormat="1" ht="16.5" customHeight="1" x14ac:dyDescent="0.2">
      <c r="A285" s="105"/>
      <c r="B285" s="4"/>
      <c r="C285" s="33" t="s">
        <v>485</v>
      </c>
      <c r="D285" s="33" t="s">
        <v>131</v>
      </c>
      <c r="E285" s="34" t="s">
        <v>486</v>
      </c>
      <c r="F285" s="7" t="s">
        <v>487</v>
      </c>
      <c r="G285" s="35" t="s">
        <v>157</v>
      </c>
      <c r="H285" s="36">
        <v>1</v>
      </c>
      <c r="I285" s="1"/>
      <c r="J285" s="6">
        <f t="shared" ref="J285:J291" si="20">ROUND(I285*H285,2)</f>
        <v>0</v>
      </c>
      <c r="K285" s="7" t="s">
        <v>1</v>
      </c>
      <c r="L285" s="4"/>
      <c r="M285" s="8" t="s">
        <v>1</v>
      </c>
      <c r="N285" s="9" t="s">
        <v>33</v>
      </c>
      <c r="O285" s="10">
        <v>0</v>
      </c>
      <c r="P285" s="10">
        <f t="shared" ref="P285:P291" si="21">O285*H285</f>
        <v>0</v>
      </c>
      <c r="Q285" s="10">
        <v>0</v>
      </c>
      <c r="R285" s="10">
        <f t="shared" ref="R285:R291" si="22">Q285*H285</f>
        <v>0</v>
      </c>
      <c r="S285" s="10">
        <v>0</v>
      </c>
      <c r="T285" s="11">
        <f t="shared" ref="T285:T291" si="23">S285*H285</f>
        <v>0</v>
      </c>
      <c r="U285" s="105"/>
      <c r="V285" s="105"/>
      <c r="W285" s="105"/>
      <c r="X285" s="105"/>
      <c r="Y285" s="105"/>
      <c r="Z285" s="105"/>
      <c r="AA285" s="105"/>
      <c r="AB285" s="105"/>
      <c r="AC285" s="105"/>
      <c r="AD285" s="105"/>
      <c r="AE285" s="105"/>
      <c r="AR285" s="12" t="s">
        <v>135</v>
      </c>
      <c r="AT285" s="12" t="s">
        <v>131</v>
      </c>
      <c r="AU285" s="12" t="s">
        <v>74</v>
      </c>
      <c r="AY285" s="13" t="s">
        <v>130</v>
      </c>
      <c r="BE285" s="14">
        <f t="shared" ref="BE285:BE291" si="24">IF(N285="základní",J285,0)</f>
        <v>0</v>
      </c>
      <c r="BF285" s="14">
        <f t="shared" ref="BF285:BF291" si="25">IF(N285="snížená",J285,0)</f>
        <v>0</v>
      </c>
      <c r="BG285" s="14">
        <f t="shared" ref="BG285:BG291" si="26">IF(N285="zákl. přenesená",J285,0)</f>
        <v>0</v>
      </c>
      <c r="BH285" s="14">
        <f t="shared" ref="BH285:BH291" si="27">IF(N285="sníž. přenesená",J285,0)</f>
        <v>0</v>
      </c>
      <c r="BI285" s="14">
        <f t="shared" ref="BI285:BI291" si="28">IF(N285="nulová",J285,0)</f>
        <v>0</v>
      </c>
      <c r="BJ285" s="13" t="s">
        <v>74</v>
      </c>
      <c r="BK285" s="14">
        <f t="shared" ref="BK285:BK291" si="29">ROUND(I285*H285,2)</f>
        <v>0</v>
      </c>
      <c r="BL285" s="13" t="s">
        <v>135</v>
      </c>
      <c r="BM285" s="12" t="s">
        <v>488</v>
      </c>
    </row>
    <row r="286" spans="1:65" s="5" customFormat="1" ht="16.5" customHeight="1" x14ac:dyDescent="0.2">
      <c r="A286" s="105"/>
      <c r="B286" s="4"/>
      <c r="C286" s="33" t="s">
        <v>266</v>
      </c>
      <c r="D286" s="33" t="s">
        <v>131</v>
      </c>
      <c r="E286" s="34" t="s">
        <v>489</v>
      </c>
      <c r="F286" s="7" t="s">
        <v>490</v>
      </c>
      <c r="G286" s="35" t="s">
        <v>157</v>
      </c>
      <c r="H286" s="36">
        <v>1</v>
      </c>
      <c r="I286" s="1"/>
      <c r="J286" s="6">
        <f t="shared" si="20"/>
        <v>0</v>
      </c>
      <c r="K286" s="7" t="s">
        <v>1</v>
      </c>
      <c r="L286" s="4"/>
      <c r="M286" s="8" t="s">
        <v>1</v>
      </c>
      <c r="N286" s="9" t="s">
        <v>33</v>
      </c>
      <c r="O286" s="10">
        <v>0</v>
      </c>
      <c r="P286" s="10">
        <f t="shared" si="21"/>
        <v>0</v>
      </c>
      <c r="Q286" s="10">
        <v>0</v>
      </c>
      <c r="R286" s="10">
        <f t="shared" si="22"/>
        <v>0</v>
      </c>
      <c r="S286" s="10">
        <v>0</v>
      </c>
      <c r="T286" s="11">
        <f t="shared" si="23"/>
        <v>0</v>
      </c>
      <c r="U286" s="105"/>
      <c r="V286" s="105"/>
      <c r="W286" s="105"/>
      <c r="X286" s="105"/>
      <c r="Y286" s="105"/>
      <c r="Z286" s="105"/>
      <c r="AA286" s="105"/>
      <c r="AB286" s="105"/>
      <c r="AC286" s="105"/>
      <c r="AD286" s="105"/>
      <c r="AE286" s="105"/>
      <c r="AR286" s="12" t="s">
        <v>135</v>
      </c>
      <c r="AT286" s="12" t="s">
        <v>131</v>
      </c>
      <c r="AU286" s="12" t="s">
        <v>74</v>
      </c>
      <c r="AY286" s="13" t="s">
        <v>130</v>
      </c>
      <c r="BE286" s="14">
        <f t="shared" si="24"/>
        <v>0</v>
      </c>
      <c r="BF286" s="14">
        <f t="shared" si="25"/>
        <v>0</v>
      </c>
      <c r="BG286" s="14">
        <f t="shared" si="26"/>
        <v>0</v>
      </c>
      <c r="BH286" s="14">
        <f t="shared" si="27"/>
        <v>0</v>
      </c>
      <c r="BI286" s="14">
        <f t="shared" si="28"/>
        <v>0</v>
      </c>
      <c r="BJ286" s="13" t="s">
        <v>74</v>
      </c>
      <c r="BK286" s="14">
        <f t="shared" si="29"/>
        <v>0</v>
      </c>
      <c r="BL286" s="13" t="s">
        <v>135</v>
      </c>
      <c r="BM286" s="12" t="s">
        <v>491</v>
      </c>
    </row>
    <row r="287" spans="1:65" s="5" customFormat="1" ht="16.5" customHeight="1" x14ac:dyDescent="0.2">
      <c r="A287" s="105"/>
      <c r="B287" s="4"/>
      <c r="C287" s="33" t="s">
        <v>492</v>
      </c>
      <c r="D287" s="33" t="s">
        <v>131</v>
      </c>
      <c r="E287" s="34" t="s">
        <v>493</v>
      </c>
      <c r="F287" s="7" t="s">
        <v>494</v>
      </c>
      <c r="G287" s="35" t="s">
        <v>157</v>
      </c>
      <c r="H287" s="36">
        <v>1</v>
      </c>
      <c r="I287" s="1"/>
      <c r="J287" s="6">
        <f t="shared" si="20"/>
        <v>0</v>
      </c>
      <c r="K287" s="7" t="s">
        <v>1</v>
      </c>
      <c r="L287" s="4"/>
      <c r="M287" s="8" t="s">
        <v>1</v>
      </c>
      <c r="N287" s="9" t="s">
        <v>33</v>
      </c>
      <c r="O287" s="10">
        <v>0</v>
      </c>
      <c r="P287" s="10">
        <f t="shared" si="21"/>
        <v>0</v>
      </c>
      <c r="Q287" s="10">
        <v>0</v>
      </c>
      <c r="R287" s="10">
        <f t="shared" si="22"/>
        <v>0</v>
      </c>
      <c r="S287" s="10">
        <v>0</v>
      </c>
      <c r="T287" s="11">
        <f t="shared" si="23"/>
        <v>0</v>
      </c>
      <c r="U287" s="105"/>
      <c r="V287" s="105"/>
      <c r="W287" s="105"/>
      <c r="X287" s="105"/>
      <c r="Y287" s="105"/>
      <c r="Z287" s="105"/>
      <c r="AA287" s="105"/>
      <c r="AB287" s="105"/>
      <c r="AC287" s="105"/>
      <c r="AD287" s="105"/>
      <c r="AE287" s="105"/>
      <c r="AR287" s="12" t="s">
        <v>135</v>
      </c>
      <c r="AT287" s="12" t="s">
        <v>131</v>
      </c>
      <c r="AU287" s="12" t="s">
        <v>74</v>
      </c>
      <c r="AY287" s="13" t="s">
        <v>130</v>
      </c>
      <c r="BE287" s="14">
        <f t="shared" si="24"/>
        <v>0</v>
      </c>
      <c r="BF287" s="14">
        <f t="shared" si="25"/>
        <v>0</v>
      </c>
      <c r="BG287" s="14">
        <f t="shared" si="26"/>
        <v>0</v>
      </c>
      <c r="BH287" s="14">
        <f t="shared" si="27"/>
        <v>0</v>
      </c>
      <c r="BI287" s="14">
        <f t="shared" si="28"/>
        <v>0</v>
      </c>
      <c r="BJ287" s="13" t="s">
        <v>74</v>
      </c>
      <c r="BK287" s="14">
        <f t="shared" si="29"/>
        <v>0</v>
      </c>
      <c r="BL287" s="13" t="s">
        <v>135</v>
      </c>
      <c r="BM287" s="12" t="s">
        <v>495</v>
      </c>
    </row>
    <row r="288" spans="1:65" s="5" customFormat="1" ht="16.5" customHeight="1" x14ac:dyDescent="0.2">
      <c r="A288" s="105"/>
      <c r="B288" s="4"/>
      <c r="C288" s="33" t="s">
        <v>269</v>
      </c>
      <c r="D288" s="33" t="s">
        <v>131</v>
      </c>
      <c r="E288" s="34" t="s">
        <v>496</v>
      </c>
      <c r="F288" s="7" t="s">
        <v>497</v>
      </c>
      <c r="G288" s="35" t="s">
        <v>157</v>
      </c>
      <c r="H288" s="36">
        <v>1</v>
      </c>
      <c r="I288" s="1"/>
      <c r="J288" s="6">
        <f t="shared" si="20"/>
        <v>0</v>
      </c>
      <c r="K288" s="7" t="s">
        <v>1</v>
      </c>
      <c r="L288" s="4"/>
      <c r="M288" s="8" t="s">
        <v>1</v>
      </c>
      <c r="N288" s="9" t="s">
        <v>33</v>
      </c>
      <c r="O288" s="10">
        <v>0</v>
      </c>
      <c r="P288" s="10">
        <f t="shared" si="21"/>
        <v>0</v>
      </c>
      <c r="Q288" s="10">
        <v>0</v>
      </c>
      <c r="R288" s="10">
        <f t="shared" si="22"/>
        <v>0</v>
      </c>
      <c r="S288" s="10">
        <v>0</v>
      </c>
      <c r="T288" s="11">
        <f t="shared" si="23"/>
        <v>0</v>
      </c>
      <c r="U288" s="105"/>
      <c r="V288" s="105"/>
      <c r="W288" s="105"/>
      <c r="X288" s="105"/>
      <c r="Y288" s="105"/>
      <c r="Z288" s="105"/>
      <c r="AA288" s="105"/>
      <c r="AB288" s="105"/>
      <c r="AC288" s="105"/>
      <c r="AD288" s="105"/>
      <c r="AE288" s="105"/>
      <c r="AR288" s="12" t="s">
        <v>135</v>
      </c>
      <c r="AT288" s="12" t="s">
        <v>131</v>
      </c>
      <c r="AU288" s="12" t="s">
        <v>74</v>
      </c>
      <c r="AY288" s="13" t="s">
        <v>130</v>
      </c>
      <c r="BE288" s="14">
        <f t="shared" si="24"/>
        <v>0</v>
      </c>
      <c r="BF288" s="14">
        <f t="shared" si="25"/>
        <v>0</v>
      </c>
      <c r="BG288" s="14">
        <f t="shared" si="26"/>
        <v>0</v>
      </c>
      <c r="BH288" s="14">
        <f t="shared" si="27"/>
        <v>0</v>
      </c>
      <c r="BI288" s="14">
        <f t="shared" si="28"/>
        <v>0</v>
      </c>
      <c r="BJ288" s="13" t="s">
        <v>74</v>
      </c>
      <c r="BK288" s="14">
        <f t="shared" si="29"/>
        <v>0</v>
      </c>
      <c r="BL288" s="13" t="s">
        <v>135</v>
      </c>
      <c r="BM288" s="12" t="s">
        <v>498</v>
      </c>
    </row>
    <row r="289" spans="1:65" s="5" customFormat="1" ht="16.5" customHeight="1" x14ac:dyDescent="0.2">
      <c r="A289" s="105"/>
      <c r="B289" s="4"/>
      <c r="C289" s="33" t="s">
        <v>499</v>
      </c>
      <c r="D289" s="33" t="s">
        <v>131</v>
      </c>
      <c r="E289" s="34" t="s">
        <v>362</v>
      </c>
      <c r="F289" s="7" t="s">
        <v>337</v>
      </c>
      <c r="G289" s="35" t="s">
        <v>157</v>
      </c>
      <c r="H289" s="36">
        <v>1</v>
      </c>
      <c r="I289" s="1"/>
      <c r="J289" s="6">
        <f t="shared" si="20"/>
        <v>0</v>
      </c>
      <c r="K289" s="7" t="s">
        <v>1</v>
      </c>
      <c r="L289" s="4"/>
      <c r="M289" s="8" t="s">
        <v>1</v>
      </c>
      <c r="N289" s="9" t="s">
        <v>33</v>
      </c>
      <c r="O289" s="10">
        <v>0</v>
      </c>
      <c r="P289" s="10">
        <f t="shared" si="21"/>
        <v>0</v>
      </c>
      <c r="Q289" s="10">
        <v>0</v>
      </c>
      <c r="R289" s="10">
        <f t="shared" si="22"/>
        <v>0</v>
      </c>
      <c r="S289" s="10">
        <v>0</v>
      </c>
      <c r="T289" s="11">
        <f t="shared" si="23"/>
        <v>0</v>
      </c>
      <c r="U289" s="105"/>
      <c r="V289" s="105"/>
      <c r="W289" s="105"/>
      <c r="X289" s="105"/>
      <c r="Y289" s="105"/>
      <c r="Z289" s="105"/>
      <c r="AA289" s="105"/>
      <c r="AB289" s="105"/>
      <c r="AC289" s="105"/>
      <c r="AD289" s="105"/>
      <c r="AE289" s="105"/>
      <c r="AR289" s="12" t="s">
        <v>135</v>
      </c>
      <c r="AT289" s="12" t="s">
        <v>131</v>
      </c>
      <c r="AU289" s="12" t="s">
        <v>74</v>
      </c>
      <c r="AY289" s="13" t="s">
        <v>130</v>
      </c>
      <c r="BE289" s="14">
        <f t="shared" si="24"/>
        <v>0</v>
      </c>
      <c r="BF289" s="14">
        <f t="shared" si="25"/>
        <v>0</v>
      </c>
      <c r="BG289" s="14">
        <f t="shared" si="26"/>
        <v>0</v>
      </c>
      <c r="BH289" s="14">
        <f t="shared" si="27"/>
        <v>0</v>
      </c>
      <c r="BI289" s="14">
        <f t="shared" si="28"/>
        <v>0</v>
      </c>
      <c r="BJ289" s="13" t="s">
        <v>74</v>
      </c>
      <c r="BK289" s="14">
        <f t="shared" si="29"/>
        <v>0</v>
      </c>
      <c r="BL289" s="13" t="s">
        <v>135</v>
      </c>
      <c r="BM289" s="12" t="s">
        <v>500</v>
      </c>
    </row>
    <row r="290" spans="1:65" s="5" customFormat="1" ht="16.5" customHeight="1" x14ac:dyDescent="0.2">
      <c r="A290" s="105"/>
      <c r="B290" s="4"/>
      <c r="C290" s="33" t="s">
        <v>274</v>
      </c>
      <c r="D290" s="33" t="s">
        <v>131</v>
      </c>
      <c r="E290" s="34" t="s">
        <v>357</v>
      </c>
      <c r="F290" s="7" t="s">
        <v>143</v>
      </c>
      <c r="G290" s="35" t="s">
        <v>134</v>
      </c>
      <c r="H290" s="36">
        <v>0.93500000000000005</v>
      </c>
      <c r="I290" s="1"/>
      <c r="J290" s="6">
        <f t="shared" si="20"/>
        <v>0</v>
      </c>
      <c r="K290" s="7" t="s">
        <v>1</v>
      </c>
      <c r="L290" s="4"/>
      <c r="M290" s="8" t="s">
        <v>1</v>
      </c>
      <c r="N290" s="9" t="s">
        <v>33</v>
      </c>
      <c r="O290" s="10">
        <v>0</v>
      </c>
      <c r="P290" s="10">
        <f t="shared" si="21"/>
        <v>0</v>
      </c>
      <c r="Q290" s="10">
        <v>0</v>
      </c>
      <c r="R290" s="10">
        <f t="shared" si="22"/>
        <v>0</v>
      </c>
      <c r="S290" s="10">
        <v>0</v>
      </c>
      <c r="T290" s="11">
        <f t="shared" si="23"/>
        <v>0</v>
      </c>
      <c r="U290" s="105"/>
      <c r="V290" s="105"/>
      <c r="W290" s="105"/>
      <c r="X290" s="105"/>
      <c r="Y290" s="105"/>
      <c r="Z290" s="105"/>
      <c r="AA290" s="105"/>
      <c r="AB290" s="105"/>
      <c r="AC290" s="105"/>
      <c r="AD290" s="105"/>
      <c r="AE290" s="105"/>
      <c r="AR290" s="12" t="s">
        <v>135</v>
      </c>
      <c r="AT290" s="12" t="s">
        <v>131</v>
      </c>
      <c r="AU290" s="12" t="s">
        <v>74</v>
      </c>
      <c r="AY290" s="13" t="s">
        <v>130</v>
      </c>
      <c r="BE290" s="14">
        <f t="shared" si="24"/>
        <v>0</v>
      </c>
      <c r="BF290" s="14">
        <f t="shared" si="25"/>
        <v>0</v>
      </c>
      <c r="BG290" s="14">
        <f t="shared" si="26"/>
        <v>0</v>
      </c>
      <c r="BH290" s="14">
        <f t="shared" si="27"/>
        <v>0</v>
      </c>
      <c r="BI290" s="14">
        <f t="shared" si="28"/>
        <v>0</v>
      </c>
      <c r="BJ290" s="13" t="s">
        <v>74</v>
      </c>
      <c r="BK290" s="14">
        <f t="shared" si="29"/>
        <v>0</v>
      </c>
      <c r="BL290" s="13" t="s">
        <v>135</v>
      </c>
      <c r="BM290" s="12" t="s">
        <v>501</v>
      </c>
    </row>
    <row r="291" spans="1:65" s="5" customFormat="1" ht="16.5" customHeight="1" x14ac:dyDescent="0.2">
      <c r="A291" s="105"/>
      <c r="B291" s="4"/>
      <c r="C291" s="33" t="s">
        <v>502</v>
      </c>
      <c r="D291" s="33" t="s">
        <v>131</v>
      </c>
      <c r="E291" s="34" t="s">
        <v>358</v>
      </c>
      <c r="F291" s="7" t="s">
        <v>359</v>
      </c>
      <c r="G291" s="35" t="s">
        <v>134</v>
      </c>
      <c r="H291" s="36">
        <v>0.93500000000000005</v>
      </c>
      <c r="I291" s="1"/>
      <c r="J291" s="6">
        <f t="shared" si="20"/>
        <v>0</v>
      </c>
      <c r="K291" s="7" t="s">
        <v>1</v>
      </c>
      <c r="L291" s="4"/>
      <c r="M291" s="8" t="s">
        <v>1</v>
      </c>
      <c r="N291" s="9" t="s">
        <v>33</v>
      </c>
      <c r="O291" s="10">
        <v>0</v>
      </c>
      <c r="P291" s="10">
        <f t="shared" si="21"/>
        <v>0</v>
      </c>
      <c r="Q291" s="10">
        <v>0</v>
      </c>
      <c r="R291" s="10">
        <f t="shared" si="22"/>
        <v>0</v>
      </c>
      <c r="S291" s="10">
        <v>0</v>
      </c>
      <c r="T291" s="11">
        <f t="shared" si="23"/>
        <v>0</v>
      </c>
      <c r="U291" s="105"/>
      <c r="V291" s="105"/>
      <c r="W291" s="105"/>
      <c r="X291" s="105"/>
      <c r="Y291" s="105"/>
      <c r="Z291" s="105"/>
      <c r="AA291" s="105"/>
      <c r="AB291" s="105"/>
      <c r="AC291" s="105"/>
      <c r="AD291" s="105"/>
      <c r="AE291" s="105"/>
      <c r="AR291" s="12" t="s">
        <v>135</v>
      </c>
      <c r="AT291" s="12" t="s">
        <v>131</v>
      </c>
      <c r="AU291" s="12" t="s">
        <v>74</v>
      </c>
      <c r="AY291" s="13" t="s">
        <v>130</v>
      </c>
      <c r="BE291" s="14">
        <f t="shared" si="24"/>
        <v>0</v>
      </c>
      <c r="BF291" s="14">
        <f t="shared" si="25"/>
        <v>0</v>
      </c>
      <c r="BG291" s="14">
        <f t="shared" si="26"/>
        <v>0</v>
      </c>
      <c r="BH291" s="14">
        <f t="shared" si="27"/>
        <v>0</v>
      </c>
      <c r="BI291" s="14">
        <f t="shared" si="28"/>
        <v>0</v>
      </c>
      <c r="BJ291" s="13" t="s">
        <v>74</v>
      </c>
      <c r="BK291" s="14">
        <f t="shared" si="29"/>
        <v>0</v>
      </c>
      <c r="BL291" s="13" t="s">
        <v>135</v>
      </c>
      <c r="BM291" s="12" t="s">
        <v>503</v>
      </c>
    </row>
    <row r="292" spans="1:65" s="20" customFormat="1" ht="25.9" customHeight="1" x14ac:dyDescent="0.2">
      <c r="B292" s="21"/>
      <c r="D292" s="26" t="s">
        <v>67</v>
      </c>
      <c r="E292" s="39" t="s">
        <v>256</v>
      </c>
      <c r="F292" s="39" t="s">
        <v>504</v>
      </c>
      <c r="J292" s="19">
        <f>BK292</f>
        <v>0</v>
      </c>
      <c r="L292" s="21"/>
      <c r="M292" s="22"/>
      <c r="N292" s="23"/>
      <c r="O292" s="23"/>
      <c r="P292" s="24">
        <f>SUM(P295:P299)</f>
        <v>0</v>
      </c>
      <c r="Q292" s="23"/>
      <c r="R292" s="24">
        <f>SUM(R295:R299)</f>
        <v>0</v>
      </c>
      <c r="S292" s="23"/>
      <c r="T292" s="25">
        <f>SUM(T295:T299)</f>
        <v>0</v>
      </c>
      <c r="AR292" s="26" t="s">
        <v>74</v>
      </c>
      <c r="AT292" s="27" t="s">
        <v>67</v>
      </c>
      <c r="AU292" s="27" t="s">
        <v>68</v>
      </c>
      <c r="AY292" s="26" t="s">
        <v>130</v>
      </c>
      <c r="BK292" s="28">
        <f>SUM(BK295:BK299)</f>
        <v>0</v>
      </c>
    </row>
    <row r="293" spans="1:65" s="5" customFormat="1" ht="19.5" x14ac:dyDescent="0.2">
      <c r="B293" s="45"/>
      <c r="D293" s="216" t="s">
        <v>340</v>
      </c>
      <c r="F293" s="217" t="s">
        <v>1175</v>
      </c>
      <c r="G293" s="117"/>
      <c r="K293" s="181"/>
      <c r="L293" s="94"/>
      <c r="M293" s="52"/>
      <c r="P293" s="126" t="s">
        <v>148</v>
      </c>
      <c r="Q293" s="126" t="s">
        <v>74</v>
      </c>
    </row>
    <row r="294" spans="1:65" s="5" customFormat="1" ht="10.15" customHeight="1" x14ac:dyDescent="0.2">
      <c r="B294" s="45"/>
      <c r="D294" s="216" t="s">
        <v>340</v>
      </c>
      <c r="F294" s="116" t="s">
        <v>1176</v>
      </c>
      <c r="H294" s="117">
        <f>12.38+(22*1.22*0.155)</f>
        <v>16.540199999999999</v>
      </c>
      <c r="K294" s="181"/>
      <c r="L294" s="94"/>
      <c r="M294" s="52"/>
      <c r="P294" s="126" t="s">
        <v>148</v>
      </c>
      <c r="Q294" s="126" t="s">
        <v>74</v>
      </c>
    </row>
    <row r="295" spans="1:65" s="5" customFormat="1" ht="16.5" customHeight="1" x14ac:dyDescent="0.2">
      <c r="A295" s="105"/>
      <c r="B295" s="4"/>
      <c r="C295" s="33" t="s">
        <v>275</v>
      </c>
      <c r="D295" s="33" t="s">
        <v>131</v>
      </c>
      <c r="E295" s="34" t="s">
        <v>419</v>
      </c>
      <c r="F295" s="7" t="s">
        <v>412</v>
      </c>
      <c r="G295" s="35" t="s">
        <v>333</v>
      </c>
      <c r="H295" s="36">
        <v>27.06</v>
      </c>
      <c r="I295" s="1"/>
      <c r="J295" s="6">
        <f>ROUND(I295*H295,2)</f>
        <v>0</v>
      </c>
      <c r="K295" s="7" t="s">
        <v>1</v>
      </c>
      <c r="L295" s="4"/>
      <c r="M295" s="8" t="s">
        <v>1</v>
      </c>
      <c r="N295" s="9" t="s">
        <v>33</v>
      </c>
      <c r="O295" s="10">
        <v>0</v>
      </c>
      <c r="P295" s="10">
        <f>O295*H295</f>
        <v>0</v>
      </c>
      <c r="Q295" s="10">
        <v>0</v>
      </c>
      <c r="R295" s="10">
        <f>Q295*H295</f>
        <v>0</v>
      </c>
      <c r="S295" s="10">
        <v>0</v>
      </c>
      <c r="T295" s="11">
        <f>S295*H295</f>
        <v>0</v>
      </c>
      <c r="U295" s="105"/>
      <c r="V295" s="105"/>
      <c r="W295" s="105"/>
      <c r="X295" s="105"/>
      <c r="Y295" s="105"/>
      <c r="Z295" s="105"/>
      <c r="AA295" s="105"/>
      <c r="AB295" s="105"/>
      <c r="AC295" s="105"/>
      <c r="AD295" s="105"/>
      <c r="AE295" s="105"/>
      <c r="AR295" s="12" t="s">
        <v>135</v>
      </c>
      <c r="AT295" s="12" t="s">
        <v>131</v>
      </c>
      <c r="AU295" s="12" t="s">
        <v>74</v>
      </c>
      <c r="AY295" s="13" t="s">
        <v>130</v>
      </c>
      <c r="BE295" s="14">
        <f>IF(N295="základní",J295,0)</f>
        <v>0</v>
      </c>
      <c r="BF295" s="14">
        <f>IF(N295="snížená",J295,0)</f>
        <v>0</v>
      </c>
      <c r="BG295" s="14">
        <f>IF(N295="zákl. přenesená",J295,0)</f>
        <v>0</v>
      </c>
      <c r="BH295" s="14">
        <f>IF(N295="sníž. přenesená",J295,0)</f>
        <v>0</v>
      </c>
      <c r="BI295" s="14">
        <f>IF(N295="nulová",J295,0)</f>
        <v>0</v>
      </c>
      <c r="BJ295" s="13" t="s">
        <v>74</v>
      </c>
      <c r="BK295" s="14">
        <f>ROUND(I295*H295,2)</f>
        <v>0</v>
      </c>
      <c r="BL295" s="13" t="s">
        <v>135</v>
      </c>
      <c r="BM295" s="12" t="s">
        <v>505</v>
      </c>
    </row>
    <row r="296" spans="1:65" s="5" customFormat="1" ht="16.5" customHeight="1" x14ac:dyDescent="0.2">
      <c r="A296" s="105"/>
      <c r="B296" s="4"/>
      <c r="C296" s="33" t="s">
        <v>506</v>
      </c>
      <c r="D296" s="33" t="s">
        <v>131</v>
      </c>
      <c r="E296" s="34" t="s">
        <v>422</v>
      </c>
      <c r="F296" s="7" t="s">
        <v>414</v>
      </c>
      <c r="G296" s="35" t="s">
        <v>333</v>
      </c>
      <c r="H296" s="36">
        <v>27.06</v>
      </c>
      <c r="I296" s="1"/>
      <c r="J296" s="6">
        <f>ROUND(I296*H296,2)</f>
        <v>0</v>
      </c>
      <c r="K296" s="7" t="s">
        <v>1</v>
      </c>
      <c r="L296" s="4"/>
      <c r="M296" s="8" t="s">
        <v>1</v>
      </c>
      <c r="N296" s="9" t="s">
        <v>33</v>
      </c>
      <c r="O296" s="10">
        <v>0</v>
      </c>
      <c r="P296" s="10">
        <f>O296*H296</f>
        <v>0</v>
      </c>
      <c r="Q296" s="10">
        <v>0</v>
      </c>
      <c r="R296" s="10">
        <f>Q296*H296</f>
        <v>0</v>
      </c>
      <c r="S296" s="10">
        <v>0</v>
      </c>
      <c r="T296" s="11">
        <f>S296*H296</f>
        <v>0</v>
      </c>
      <c r="U296" s="105"/>
      <c r="V296" s="105"/>
      <c r="W296" s="105"/>
      <c r="X296" s="105"/>
      <c r="Y296" s="105"/>
      <c r="Z296" s="105"/>
      <c r="AA296" s="105"/>
      <c r="AB296" s="105"/>
      <c r="AC296" s="105"/>
      <c r="AD296" s="105"/>
      <c r="AE296" s="105"/>
      <c r="AR296" s="12" t="s">
        <v>135</v>
      </c>
      <c r="AT296" s="12" t="s">
        <v>131</v>
      </c>
      <c r="AU296" s="12" t="s">
        <v>74</v>
      </c>
      <c r="AY296" s="13" t="s">
        <v>130</v>
      </c>
      <c r="BE296" s="14">
        <f>IF(N296="základní",J296,0)</f>
        <v>0</v>
      </c>
      <c r="BF296" s="14">
        <f>IF(N296="snížená",J296,0)</f>
        <v>0</v>
      </c>
      <c r="BG296" s="14">
        <f>IF(N296="zákl. přenesená",J296,0)</f>
        <v>0</v>
      </c>
      <c r="BH296" s="14">
        <f>IF(N296="sníž. přenesená",J296,0)</f>
        <v>0</v>
      </c>
      <c r="BI296" s="14">
        <f>IF(N296="nulová",J296,0)</f>
        <v>0</v>
      </c>
      <c r="BJ296" s="13" t="s">
        <v>74</v>
      </c>
      <c r="BK296" s="14">
        <f>ROUND(I296*H296,2)</f>
        <v>0</v>
      </c>
      <c r="BL296" s="13" t="s">
        <v>135</v>
      </c>
      <c r="BM296" s="12" t="s">
        <v>507</v>
      </c>
    </row>
    <row r="297" spans="1:65" s="5" customFormat="1" ht="16.5" customHeight="1" x14ac:dyDescent="0.2">
      <c r="A297" s="105"/>
      <c r="B297" s="4"/>
      <c r="C297" s="33" t="s">
        <v>279</v>
      </c>
      <c r="D297" s="33" t="s">
        <v>131</v>
      </c>
      <c r="E297" s="34" t="s">
        <v>424</v>
      </c>
      <c r="F297" s="7" t="s">
        <v>337</v>
      </c>
      <c r="G297" s="35" t="s">
        <v>333</v>
      </c>
      <c r="H297" s="36">
        <v>27.06</v>
      </c>
      <c r="I297" s="1"/>
      <c r="J297" s="6">
        <f>ROUND(I297*H297,2)</f>
        <v>0</v>
      </c>
      <c r="K297" s="7" t="s">
        <v>1</v>
      </c>
      <c r="L297" s="4"/>
      <c r="M297" s="8" t="s">
        <v>1</v>
      </c>
      <c r="N297" s="9" t="s">
        <v>33</v>
      </c>
      <c r="O297" s="10">
        <v>0</v>
      </c>
      <c r="P297" s="10">
        <f>O297*H297</f>
        <v>0</v>
      </c>
      <c r="Q297" s="10">
        <v>0</v>
      </c>
      <c r="R297" s="10">
        <f>Q297*H297</f>
        <v>0</v>
      </c>
      <c r="S297" s="10">
        <v>0</v>
      </c>
      <c r="T297" s="11">
        <f>S297*H297</f>
        <v>0</v>
      </c>
      <c r="U297" s="105"/>
      <c r="V297" s="105"/>
      <c r="W297" s="105"/>
      <c r="X297" s="105"/>
      <c r="Y297" s="105"/>
      <c r="Z297" s="105"/>
      <c r="AA297" s="105"/>
      <c r="AB297" s="105"/>
      <c r="AC297" s="105"/>
      <c r="AD297" s="105"/>
      <c r="AE297" s="105"/>
      <c r="AR297" s="12" t="s">
        <v>135</v>
      </c>
      <c r="AT297" s="12" t="s">
        <v>131</v>
      </c>
      <c r="AU297" s="12" t="s">
        <v>74</v>
      </c>
      <c r="AY297" s="13" t="s">
        <v>130</v>
      </c>
      <c r="BE297" s="14">
        <f>IF(N297="základní",J297,0)</f>
        <v>0</v>
      </c>
      <c r="BF297" s="14">
        <f>IF(N297="snížená",J297,0)</f>
        <v>0</v>
      </c>
      <c r="BG297" s="14">
        <f>IF(N297="zákl. přenesená",J297,0)</f>
        <v>0</v>
      </c>
      <c r="BH297" s="14">
        <f>IF(N297="sníž. přenesená",J297,0)</f>
        <v>0</v>
      </c>
      <c r="BI297" s="14">
        <f>IF(N297="nulová",J297,0)</f>
        <v>0</v>
      </c>
      <c r="BJ297" s="13" t="s">
        <v>74</v>
      </c>
      <c r="BK297" s="14">
        <f>ROUND(I297*H297,2)</f>
        <v>0</v>
      </c>
      <c r="BL297" s="13" t="s">
        <v>135</v>
      </c>
      <c r="BM297" s="12" t="s">
        <v>508</v>
      </c>
    </row>
    <row r="298" spans="1:65" s="5" customFormat="1" ht="16.5" customHeight="1" x14ac:dyDescent="0.2">
      <c r="A298" s="105"/>
      <c r="B298" s="4"/>
      <c r="C298" s="33" t="s">
        <v>509</v>
      </c>
      <c r="D298" s="33" t="s">
        <v>131</v>
      </c>
      <c r="E298" s="34" t="s">
        <v>142</v>
      </c>
      <c r="F298" s="7" t="s">
        <v>143</v>
      </c>
      <c r="G298" s="35" t="s">
        <v>134</v>
      </c>
      <c r="H298" s="36">
        <v>16.54</v>
      </c>
      <c r="I298" s="1"/>
      <c r="J298" s="6">
        <f>ROUND(I298*H298,2)</f>
        <v>0</v>
      </c>
      <c r="K298" s="7" t="s">
        <v>1</v>
      </c>
      <c r="L298" s="4"/>
      <c r="M298" s="8" t="s">
        <v>1</v>
      </c>
      <c r="N298" s="9" t="s">
        <v>33</v>
      </c>
      <c r="O298" s="10">
        <v>0</v>
      </c>
      <c r="P298" s="10">
        <f>O298*H298</f>
        <v>0</v>
      </c>
      <c r="Q298" s="10">
        <v>0</v>
      </c>
      <c r="R298" s="10">
        <f>Q298*H298</f>
        <v>0</v>
      </c>
      <c r="S298" s="10">
        <v>0</v>
      </c>
      <c r="T298" s="11">
        <f>S298*H298</f>
        <v>0</v>
      </c>
      <c r="U298" s="105"/>
      <c r="V298" s="105"/>
      <c r="W298" s="105"/>
      <c r="X298" s="105"/>
      <c r="Y298" s="105"/>
      <c r="Z298" s="105"/>
      <c r="AA298" s="105"/>
      <c r="AB298" s="105"/>
      <c r="AC298" s="105"/>
      <c r="AD298" s="105"/>
      <c r="AE298" s="105"/>
      <c r="AR298" s="12" t="s">
        <v>135</v>
      </c>
      <c r="AT298" s="12" t="s">
        <v>131</v>
      </c>
      <c r="AU298" s="12" t="s">
        <v>74</v>
      </c>
      <c r="AY298" s="13" t="s">
        <v>130</v>
      </c>
      <c r="BE298" s="14">
        <f>IF(N298="základní",J298,0)</f>
        <v>0</v>
      </c>
      <c r="BF298" s="14">
        <f>IF(N298="snížená",J298,0)</f>
        <v>0</v>
      </c>
      <c r="BG298" s="14">
        <f>IF(N298="zákl. přenesená",J298,0)</f>
        <v>0</v>
      </c>
      <c r="BH298" s="14">
        <f>IF(N298="sníž. přenesená",J298,0)</f>
        <v>0</v>
      </c>
      <c r="BI298" s="14">
        <f>IF(N298="nulová",J298,0)</f>
        <v>0</v>
      </c>
      <c r="BJ298" s="13" t="s">
        <v>74</v>
      </c>
      <c r="BK298" s="14">
        <f>ROUND(I298*H298,2)</f>
        <v>0</v>
      </c>
      <c r="BL298" s="13" t="s">
        <v>135</v>
      </c>
      <c r="BM298" s="12" t="s">
        <v>510</v>
      </c>
    </row>
    <row r="299" spans="1:65" s="5" customFormat="1" ht="16.5" customHeight="1" x14ac:dyDescent="0.2">
      <c r="A299" s="105"/>
      <c r="B299" s="4"/>
      <c r="C299" s="33" t="s">
        <v>282</v>
      </c>
      <c r="D299" s="33" t="s">
        <v>131</v>
      </c>
      <c r="E299" s="34" t="s">
        <v>428</v>
      </c>
      <c r="F299" s="7" t="s">
        <v>146</v>
      </c>
      <c r="G299" s="35" t="s">
        <v>134</v>
      </c>
      <c r="H299" s="36">
        <v>16.54</v>
      </c>
      <c r="I299" s="1"/>
      <c r="J299" s="6">
        <f>ROUND(I299*H299,2)</f>
        <v>0</v>
      </c>
      <c r="K299" s="7" t="s">
        <v>1</v>
      </c>
      <c r="L299" s="4"/>
      <c r="M299" s="8" t="s">
        <v>1</v>
      </c>
      <c r="N299" s="9" t="s">
        <v>33</v>
      </c>
      <c r="O299" s="10">
        <v>0</v>
      </c>
      <c r="P299" s="10">
        <f>O299*H299</f>
        <v>0</v>
      </c>
      <c r="Q299" s="10">
        <v>0</v>
      </c>
      <c r="R299" s="10">
        <f>Q299*H299</f>
        <v>0</v>
      </c>
      <c r="S299" s="10">
        <v>0</v>
      </c>
      <c r="T299" s="11">
        <f>S299*H299</f>
        <v>0</v>
      </c>
      <c r="U299" s="105"/>
      <c r="V299" s="105"/>
      <c r="W299" s="105"/>
      <c r="X299" s="105"/>
      <c r="Y299" s="105"/>
      <c r="Z299" s="105"/>
      <c r="AA299" s="105"/>
      <c r="AB299" s="105"/>
      <c r="AC299" s="105"/>
      <c r="AD299" s="105"/>
      <c r="AE299" s="105"/>
      <c r="AR299" s="12" t="s">
        <v>135</v>
      </c>
      <c r="AT299" s="12" t="s">
        <v>131</v>
      </c>
      <c r="AU299" s="12" t="s">
        <v>74</v>
      </c>
      <c r="AY299" s="13" t="s">
        <v>130</v>
      </c>
      <c r="BE299" s="14">
        <f>IF(N299="základní",J299,0)</f>
        <v>0</v>
      </c>
      <c r="BF299" s="14">
        <f>IF(N299="snížená",J299,0)</f>
        <v>0</v>
      </c>
      <c r="BG299" s="14">
        <f>IF(N299="zákl. přenesená",J299,0)</f>
        <v>0</v>
      </c>
      <c r="BH299" s="14">
        <f>IF(N299="sníž. přenesená",J299,0)</f>
        <v>0</v>
      </c>
      <c r="BI299" s="14">
        <f>IF(N299="nulová",J299,0)</f>
        <v>0</v>
      </c>
      <c r="BJ299" s="13" t="s">
        <v>74</v>
      </c>
      <c r="BK299" s="14">
        <f>ROUND(I299*H299,2)</f>
        <v>0</v>
      </c>
      <c r="BL299" s="13" t="s">
        <v>135</v>
      </c>
      <c r="BM299" s="12" t="s">
        <v>511</v>
      </c>
    </row>
    <row r="300" spans="1:65" s="20" customFormat="1" ht="25.9" customHeight="1" x14ac:dyDescent="0.2">
      <c r="B300" s="21"/>
      <c r="D300" s="26" t="s">
        <v>67</v>
      </c>
      <c r="E300" s="39" t="s">
        <v>263</v>
      </c>
      <c r="F300" s="39" t="s">
        <v>512</v>
      </c>
      <c r="J300" s="19">
        <f>BK300</f>
        <v>0</v>
      </c>
      <c r="L300" s="21"/>
      <c r="M300" s="22"/>
      <c r="N300" s="23"/>
      <c r="O300" s="23"/>
      <c r="P300" s="24">
        <f>SUM(P303:P306)</f>
        <v>0</v>
      </c>
      <c r="Q300" s="23"/>
      <c r="R300" s="24">
        <f>SUM(R303:R306)</f>
        <v>0</v>
      </c>
      <c r="S300" s="23"/>
      <c r="T300" s="25">
        <f>SUM(T303:T306)</f>
        <v>0</v>
      </c>
      <c r="AR300" s="26" t="s">
        <v>74</v>
      </c>
      <c r="AT300" s="27" t="s">
        <v>67</v>
      </c>
      <c r="AU300" s="27" t="s">
        <v>68</v>
      </c>
      <c r="AY300" s="26" t="s">
        <v>130</v>
      </c>
      <c r="BK300" s="28">
        <f>SUM(BK303:BK306)</f>
        <v>0</v>
      </c>
    </row>
    <row r="301" spans="1:65" s="5" customFormat="1" ht="10.15" customHeight="1" x14ac:dyDescent="0.2">
      <c r="B301" s="45"/>
      <c r="D301" s="216" t="s">
        <v>340</v>
      </c>
      <c r="F301" s="116" t="s">
        <v>1167</v>
      </c>
      <c r="G301" s="117"/>
      <c r="K301" s="181"/>
      <c r="L301" s="94"/>
      <c r="M301" s="52"/>
      <c r="P301" s="126" t="s">
        <v>148</v>
      </c>
      <c r="Q301" s="126" t="s">
        <v>74</v>
      </c>
    </row>
    <row r="302" spans="1:65" s="5" customFormat="1" ht="10.15" customHeight="1" x14ac:dyDescent="0.2">
      <c r="B302" s="45"/>
      <c r="D302" s="216" t="s">
        <v>340</v>
      </c>
      <c r="F302" s="116" t="s">
        <v>1168</v>
      </c>
      <c r="H302" s="117">
        <f>(1.1*0.38)+(1.1*0.025)</f>
        <v>0.44550000000000006</v>
      </c>
      <c r="K302" s="181"/>
      <c r="L302" s="94"/>
      <c r="M302" s="52"/>
      <c r="P302" s="126" t="s">
        <v>148</v>
      </c>
      <c r="Q302" s="126" t="s">
        <v>74</v>
      </c>
    </row>
    <row r="303" spans="1:65" s="5" customFormat="1" ht="16.5" customHeight="1" x14ac:dyDescent="0.2">
      <c r="A303" s="105"/>
      <c r="B303" s="4"/>
      <c r="C303" s="33" t="s">
        <v>513</v>
      </c>
      <c r="D303" s="33" t="s">
        <v>131</v>
      </c>
      <c r="E303" s="34" t="s">
        <v>454</v>
      </c>
      <c r="F303" s="7" t="s">
        <v>355</v>
      </c>
      <c r="G303" s="35" t="s">
        <v>157</v>
      </c>
      <c r="H303" s="36">
        <v>1</v>
      </c>
      <c r="I303" s="1"/>
      <c r="J303" s="6">
        <f>ROUND(I303*H303,2)</f>
        <v>0</v>
      </c>
      <c r="K303" s="7" t="s">
        <v>1</v>
      </c>
      <c r="L303" s="4"/>
      <c r="M303" s="8" t="s">
        <v>1</v>
      </c>
      <c r="N303" s="9" t="s">
        <v>33</v>
      </c>
      <c r="O303" s="10">
        <v>0</v>
      </c>
      <c r="P303" s="10">
        <f>O303*H303</f>
        <v>0</v>
      </c>
      <c r="Q303" s="10">
        <v>0</v>
      </c>
      <c r="R303" s="10">
        <f>Q303*H303</f>
        <v>0</v>
      </c>
      <c r="S303" s="10">
        <v>0</v>
      </c>
      <c r="T303" s="11">
        <f>S303*H303</f>
        <v>0</v>
      </c>
      <c r="U303" s="105"/>
      <c r="V303" s="105"/>
      <c r="W303" s="105"/>
      <c r="X303" s="105"/>
      <c r="Y303" s="105"/>
      <c r="Z303" s="105"/>
      <c r="AA303" s="105"/>
      <c r="AB303" s="105"/>
      <c r="AC303" s="105"/>
      <c r="AD303" s="105"/>
      <c r="AE303" s="105"/>
      <c r="AR303" s="12" t="s">
        <v>135</v>
      </c>
      <c r="AT303" s="12" t="s">
        <v>131</v>
      </c>
      <c r="AU303" s="12" t="s">
        <v>74</v>
      </c>
      <c r="AY303" s="13" t="s">
        <v>130</v>
      </c>
      <c r="BE303" s="14">
        <f>IF(N303="základní",J303,0)</f>
        <v>0</v>
      </c>
      <c r="BF303" s="14">
        <f>IF(N303="snížená",J303,0)</f>
        <v>0</v>
      </c>
      <c r="BG303" s="14">
        <f>IF(N303="zákl. přenesená",J303,0)</f>
        <v>0</v>
      </c>
      <c r="BH303" s="14">
        <f>IF(N303="sníž. přenesená",J303,0)</f>
        <v>0</v>
      </c>
      <c r="BI303" s="14">
        <f>IF(N303="nulová",J303,0)</f>
        <v>0</v>
      </c>
      <c r="BJ303" s="13" t="s">
        <v>74</v>
      </c>
      <c r="BK303" s="14">
        <f>ROUND(I303*H303,2)</f>
        <v>0</v>
      </c>
      <c r="BL303" s="13" t="s">
        <v>135</v>
      </c>
      <c r="BM303" s="12" t="s">
        <v>514</v>
      </c>
    </row>
    <row r="304" spans="1:65" s="5" customFormat="1" ht="16.5" customHeight="1" x14ac:dyDescent="0.2">
      <c r="A304" s="105"/>
      <c r="B304" s="4"/>
      <c r="C304" s="33" t="s">
        <v>286</v>
      </c>
      <c r="D304" s="33" t="s">
        <v>131</v>
      </c>
      <c r="E304" s="34" t="s">
        <v>457</v>
      </c>
      <c r="F304" s="7" t="s">
        <v>337</v>
      </c>
      <c r="G304" s="35" t="s">
        <v>157</v>
      </c>
      <c r="H304" s="36">
        <v>1</v>
      </c>
      <c r="I304" s="1"/>
      <c r="J304" s="6">
        <f>ROUND(I304*H304,2)</f>
        <v>0</v>
      </c>
      <c r="K304" s="7" t="s">
        <v>1</v>
      </c>
      <c r="L304" s="4"/>
      <c r="M304" s="8" t="s">
        <v>1</v>
      </c>
      <c r="N304" s="9" t="s">
        <v>33</v>
      </c>
      <c r="O304" s="10">
        <v>0</v>
      </c>
      <c r="P304" s="10">
        <f>O304*H304</f>
        <v>0</v>
      </c>
      <c r="Q304" s="10">
        <v>0</v>
      </c>
      <c r="R304" s="10">
        <f>Q304*H304</f>
        <v>0</v>
      </c>
      <c r="S304" s="10">
        <v>0</v>
      </c>
      <c r="T304" s="11">
        <f>S304*H304</f>
        <v>0</v>
      </c>
      <c r="U304" s="105"/>
      <c r="V304" s="105"/>
      <c r="W304" s="105"/>
      <c r="X304" s="105"/>
      <c r="Y304" s="105"/>
      <c r="Z304" s="105"/>
      <c r="AA304" s="105"/>
      <c r="AB304" s="105"/>
      <c r="AC304" s="105"/>
      <c r="AD304" s="105"/>
      <c r="AE304" s="105"/>
      <c r="AR304" s="12" t="s">
        <v>135</v>
      </c>
      <c r="AT304" s="12" t="s">
        <v>131</v>
      </c>
      <c r="AU304" s="12" t="s">
        <v>74</v>
      </c>
      <c r="AY304" s="13" t="s">
        <v>130</v>
      </c>
      <c r="BE304" s="14">
        <f>IF(N304="základní",J304,0)</f>
        <v>0</v>
      </c>
      <c r="BF304" s="14">
        <f>IF(N304="snížená",J304,0)</f>
        <v>0</v>
      </c>
      <c r="BG304" s="14">
        <f>IF(N304="zákl. přenesená",J304,0)</f>
        <v>0</v>
      </c>
      <c r="BH304" s="14">
        <f>IF(N304="sníž. přenesená",J304,0)</f>
        <v>0</v>
      </c>
      <c r="BI304" s="14">
        <f>IF(N304="nulová",J304,0)</f>
        <v>0</v>
      </c>
      <c r="BJ304" s="13" t="s">
        <v>74</v>
      </c>
      <c r="BK304" s="14">
        <f>ROUND(I304*H304,2)</f>
        <v>0</v>
      </c>
      <c r="BL304" s="13" t="s">
        <v>135</v>
      </c>
      <c r="BM304" s="12" t="s">
        <v>515</v>
      </c>
    </row>
    <row r="305" spans="1:65" s="5" customFormat="1" ht="16.5" customHeight="1" x14ac:dyDescent="0.2">
      <c r="A305" s="105"/>
      <c r="B305" s="4"/>
      <c r="C305" s="33" t="s">
        <v>516</v>
      </c>
      <c r="D305" s="33" t="s">
        <v>131</v>
      </c>
      <c r="E305" s="34" t="s">
        <v>142</v>
      </c>
      <c r="F305" s="7" t="s">
        <v>143</v>
      </c>
      <c r="G305" s="35" t="s">
        <v>134</v>
      </c>
      <c r="H305" s="36">
        <v>0.44600000000000001</v>
      </c>
      <c r="I305" s="1"/>
      <c r="J305" s="6">
        <f>ROUND(I305*H305,2)</f>
        <v>0</v>
      </c>
      <c r="K305" s="7" t="s">
        <v>1</v>
      </c>
      <c r="L305" s="4"/>
      <c r="M305" s="8" t="s">
        <v>1</v>
      </c>
      <c r="N305" s="9" t="s">
        <v>33</v>
      </c>
      <c r="O305" s="10">
        <v>0</v>
      </c>
      <c r="P305" s="10">
        <f>O305*H305</f>
        <v>0</v>
      </c>
      <c r="Q305" s="10">
        <v>0</v>
      </c>
      <c r="R305" s="10">
        <f>Q305*H305</f>
        <v>0</v>
      </c>
      <c r="S305" s="10">
        <v>0</v>
      </c>
      <c r="T305" s="11">
        <f>S305*H305</f>
        <v>0</v>
      </c>
      <c r="U305" s="105"/>
      <c r="V305" s="105"/>
      <c r="W305" s="105"/>
      <c r="X305" s="105"/>
      <c r="Y305" s="105"/>
      <c r="Z305" s="105"/>
      <c r="AA305" s="105"/>
      <c r="AB305" s="105"/>
      <c r="AC305" s="105"/>
      <c r="AD305" s="105"/>
      <c r="AE305" s="105"/>
      <c r="AR305" s="12" t="s">
        <v>135</v>
      </c>
      <c r="AT305" s="12" t="s">
        <v>131</v>
      </c>
      <c r="AU305" s="12" t="s">
        <v>74</v>
      </c>
      <c r="AY305" s="13" t="s">
        <v>130</v>
      </c>
      <c r="BE305" s="14">
        <f>IF(N305="základní",J305,0)</f>
        <v>0</v>
      </c>
      <c r="BF305" s="14">
        <f>IF(N305="snížená",J305,0)</f>
        <v>0</v>
      </c>
      <c r="BG305" s="14">
        <f>IF(N305="zákl. přenesená",J305,0)</f>
        <v>0</v>
      </c>
      <c r="BH305" s="14">
        <f>IF(N305="sníž. přenesená",J305,0)</f>
        <v>0</v>
      </c>
      <c r="BI305" s="14">
        <f>IF(N305="nulová",J305,0)</f>
        <v>0</v>
      </c>
      <c r="BJ305" s="13" t="s">
        <v>74</v>
      </c>
      <c r="BK305" s="14">
        <f>ROUND(I305*H305,2)</f>
        <v>0</v>
      </c>
      <c r="BL305" s="13" t="s">
        <v>135</v>
      </c>
      <c r="BM305" s="12" t="s">
        <v>517</v>
      </c>
    </row>
    <row r="306" spans="1:65" s="5" customFormat="1" ht="16.5" customHeight="1" x14ac:dyDescent="0.2">
      <c r="A306" s="105"/>
      <c r="B306" s="4"/>
      <c r="C306" s="33" t="s">
        <v>290</v>
      </c>
      <c r="D306" s="33" t="s">
        <v>131</v>
      </c>
      <c r="E306" s="34" t="s">
        <v>461</v>
      </c>
      <c r="F306" s="7" t="s">
        <v>359</v>
      </c>
      <c r="G306" s="35" t="s">
        <v>134</v>
      </c>
      <c r="H306" s="36">
        <v>0.44600000000000001</v>
      </c>
      <c r="I306" s="1"/>
      <c r="J306" s="6">
        <f>ROUND(I306*H306,2)</f>
        <v>0</v>
      </c>
      <c r="K306" s="7" t="s">
        <v>1</v>
      </c>
      <c r="L306" s="4"/>
      <c r="M306" s="8" t="s">
        <v>1</v>
      </c>
      <c r="N306" s="9" t="s">
        <v>33</v>
      </c>
      <c r="O306" s="10">
        <v>0</v>
      </c>
      <c r="P306" s="10">
        <f>O306*H306</f>
        <v>0</v>
      </c>
      <c r="Q306" s="10">
        <v>0</v>
      </c>
      <c r="R306" s="10">
        <f>Q306*H306</f>
        <v>0</v>
      </c>
      <c r="S306" s="10">
        <v>0</v>
      </c>
      <c r="T306" s="11">
        <f>S306*H306</f>
        <v>0</v>
      </c>
      <c r="U306" s="105"/>
      <c r="V306" s="105"/>
      <c r="W306" s="105"/>
      <c r="X306" s="105"/>
      <c r="Y306" s="105"/>
      <c r="Z306" s="105"/>
      <c r="AA306" s="105"/>
      <c r="AB306" s="105"/>
      <c r="AC306" s="105"/>
      <c r="AD306" s="105"/>
      <c r="AE306" s="105"/>
      <c r="AR306" s="12" t="s">
        <v>135</v>
      </c>
      <c r="AT306" s="12" t="s">
        <v>131</v>
      </c>
      <c r="AU306" s="12" t="s">
        <v>74</v>
      </c>
      <c r="AY306" s="13" t="s">
        <v>130</v>
      </c>
      <c r="BE306" s="14">
        <f>IF(N306="základní",J306,0)</f>
        <v>0</v>
      </c>
      <c r="BF306" s="14">
        <f>IF(N306="snížená",J306,0)</f>
        <v>0</v>
      </c>
      <c r="BG306" s="14">
        <f>IF(N306="zákl. přenesená",J306,0)</f>
        <v>0</v>
      </c>
      <c r="BH306" s="14">
        <f>IF(N306="sníž. přenesená",J306,0)</f>
        <v>0</v>
      </c>
      <c r="BI306" s="14">
        <f>IF(N306="nulová",J306,0)</f>
        <v>0</v>
      </c>
      <c r="BJ306" s="13" t="s">
        <v>74</v>
      </c>
      <c r="BK306" s="14">
        <f>ROUND(I306*H306,2)</f>
        <v>0</v>
      </c>
      <c r="BL306" s="13" t="s">
        <v>135</v>
      </c>
      <c r="BM306" s="12" t="s">
        <v>518</v>
      </c>
    </row>
    <row r="307" spans="1:65" s="20" customFormat="1" ht="25.9" customHeight="1" x14ac:dyDescent="0.2">
      <c r="B307" s="21"/>
      <c r="D307" s="26" t="s">
        <v>67</v>
      </c>
      <c r="E307" s="39" t="s">
        <v>271</v>
      </c>
      <c r="F307" s="39" t="s">
        <v>519</v>
      </c>
      <c r="J307" s="19">
        <f>BK307</f>
        <v>0</v>
      </c>
      <c r="L307" s="21"/>
      <c r="M307" s="22"/>
      <c r="N307" s="23"/>
      <c r="O307" s="23"/>
      <c r="P307" s="24">
        <f>SUM(P310:P313)</f>
        <v>0</v>
      </c>
      <c r="Q307" s="23"/>
      <c r="R307" s="24">
        <f>SUM(R310:R313)</f>
        <v>0</v>
      </c>
      <c r="S307" s="23"/>
      <c r="T307" s="25">
        <f>SUM(T310:T313)</f>
        <v>0</v>
      </c>
      <c r="AR307" s="26" t="s">
        <v>74</v>
      </c>
      <c r="AT307" s="27" t="s">
        <v>67</v>
      </c>
      <c r="AU307" s="27" t="s">
        <v>68</v>
      </c>
      <c r="AY307" s="26" t="s">
        <v>130</v>
      </c>
      <c r="BK307" s="28">
        <f>SUM(BK310:BK313)</f>
        <v>0</v>
      </c>
    </row>
    <row r="308" spans="1:65" s="5" customFormat="1" ht="10.15" customHeight="1" x14ac:dyDescent="0.2">
      <c r="B308" s="45"/>
      <c r="D308" s="216" t="s">
        <v>340</v>
      </c>
      <c r="F308" s="116" t="s">
        <v>1177</v>
      </c>
      <c r="G308" s="117"/>
      <c r="K308" s="181"/>
      <c r="L308" s="94"/>
      <c r="M308" s="52"/>
      <c r="P308" s="126" t="s">
        <v>148</v>
      </c>
      <c r="Q308" s="126" t="s">
        <v>74</v>
      </c>
    </row>
    <row r="309" spans="1:65" s="5" customFormat="1" ht="10.15" customHeight="1" x14ac:dyDescent="0.2">
      <c r="B309" s="45"/>
      <c r="D309" s="216" t="s">
        <v>340</v>
      </c>
      <c r="F309" s="116" t="s">
        <v>1178</v>
      </c>
      <c r="H309" s="117">
        <f>(1.1*0.44)+(1.1*0.025)</f>
        <v>0.51150000000000007</v>
      </c>
      <c r="K309" s="181"/>
      <c r="L309" s="94"/>
      <c r="M309" s="52"/>
      <c r="P309" s="126" t="s">
        <v>148</v>
      </c>
      <c r="Q309" s="126" t="s">
        <v>74</v>
      </c>
    </row>
    <row r="310" spans="1:65" s="5" customFormat="1" ht="16.5" customHeight="1" x14ac:dyDescent="0.2">
      <c r="A310" s="105"/>
      <c r="B310" s="4"/>
      <c r="C310" s="33" t="s">
        <v>520</v>
      </c>
      <c r="D310" s="33" t="s">
        <v>131</v>
      </c>
      <c r="E310" s="34" t="s">
        <v>454</v>
      </c>
      <c r="F310" s="7" t="s">
        <v>355</v>
      </c>
      <c r="G310" s="35" t="s">
        <v>157</v>
      </c>
      <c r="H310" s="36">
        <v>1</v>
      </c>
      <c r="I310" s="1"/>
      <c r="J310" s="6">
        <f>ROUND(I310*H310,2)</f>
        <v>0</v>
      </c>
      <c r="K310" s="7" t="s">
        <v>1</v>
      </c>
      <c r="L310" s="4"/>
      <c r="M310" s="8" t="s">
        <v>1</v>
      </c>
      <c r="N310" s="9" t="s">
        <v>33</v>
      </c>
      <c r="O310" s="10">
        <v>0</v>
      </c>
      <c r="P310" s="10">
        <f>O310*H310</f>
        <v>0</v>
      </c>
      <c r="Q310" s="10">
        <v>0</v>
      </c>
      <c r="R310" s="10">
        <f>Q310*H310</f>
        <v>0</v>
      </c>
      <c r="S310" s="10">
        <v>0</v>
      </c>
      <c r="T310" s="11">
        <f>S310*H310</f>
        <v>0</v>
      </c>
      <c r="U310" s="105"/>
      <c r="V310" s="105"/>
      <c r="W310" s="105"/>
      <c r="X310" s="105"/>
      <c r="Y310" s="105"/>
      <c r="Z310" s="105"/>
      <c r="AA310" s="105"/>
      <c r="AB310" s="105"/>
      <c r="AC310" s="105"/>
      <c r="AD310" s="105"/>
      <c r="AE310" s="105"/>
      <c r="AR310" s="12" t="s">
        <v>135</v>
      </c>
      <c r="AT310" s="12" t="s">
        <v>131</v>
      </c>
      <c r="AU310" s="12" t="s">
        <v>74</v>
      </c>
      <c r="AY310" s="13" t="s">
        <v>130</v>
      </c>
      <c r="BE310" s="14">
        <f>IF(N310="základní",J310,0)</f>
        <v>0</v>
      </c>
      <c r="BF310" s="14">
        <f>IF(N310="snížená",J310,0)</f>
        <v>0</v>
      </c>
      <c r="BG310" s="14">
        <f>IF(N310="zákl. přenesená",J310,0)</f>
        <v>0</v>
      </c>
      <c r="BH310" s="14">
        <f>IF(N310="sníž. přenesená",J310,0)</f>
        <v>0</v>
      </c>
      <c r="BI310" s="14">
        <f>IF(N310="nulová",J310,0)</f>
        <v>0</v>
      </c>
      <c r="BJ310" s="13" t="s">
        <v>74</v>
      </c>
      <c r="BK310" s="14">
        <f>ROUND(I310*H310,2)</f>
        <v>0</v>
      </c>
      <c r="BL310" s="13" t="s">
        <v>135</v>
      </c>
      <c r="BM310" s="12" t="s">
        <v>521</v>
      </c>
    </row>
    <row r="311" spans="1:65" s="5" customFormat="1" ht="16.5" customHeight="1" x14ac:dyDescent="0.2">
      <c r="A311" s="105"/>
      <c r="B311" s="4"/>
      <c r="C311" s="33" t="s">
        <v>292</v>
      </c>
      <c r="D311" s="33" t="s">
        <v>131</v>
      </c>
      <c r="E311" s="34" t="s">
        <v>457</v>
      </c>
      <c r="F311" s="7" t="s">
        <v>337</v>
      </c>
      <c r="G311" s="35" t="s">
        <v>157</v>
      </c>
      <c r="H311" s="36">
        <v>1</v>
      </c>
      <c r="I311" s="1"/>
      <c r="J311" s="6">
        <f>ROUND(I311*H311,2)</f>
        <v>0</v>
      </c>
      <c r="K311" s="7" t="s">
        <v>1</v>
      </c>
      <c r="L311" s="4"/>
      <c r="M311" s="8" t="s">
        <v>1</v>
      </c>
      <c r="N311" s="9" t="s">
        <v>33</v>
      </c>
      <c r="O311" s="10">
        <v>0</v>
      </c>
      <c r="P311" s="10">
        <f>O311*H311</f>
        <v>0</v>
      </c>
      <c r="Q311" s="10">
        <v>0</v>
      </c>
      <c r="R311" s="10">
        <f>Q311*H311</f>
        <v>0</v>
      </c>
      <c r="S311" s="10">
        <v>0</v>
      </c>
      <c r="T311" s="11">
        <f>S311*H311</f>
        <v>0</v>
      </c>
      <c r="U311" s="105"/>
      <c r="V311" s="105"/>
      <c r="W311" s="105"/>
      <c r="X311" s="105"/>
      <c r="Y311" s="105"/>
      <c r="Z311" s="105"/>
      <c r="AA311" s="105"/>
      <c r="AB311" s="105"/>
      <c r="AC311" s="105"/>
      <c r="AD311" s="105"/>
      <c r="AE311" s="105"/>
      <c r="AR311" s="12" t="s">
        <v>135</v>
      </c>
      <c r="AT311" s="12" t="s">
        <v>131</v>
      </c>
      <c r="AU311" s="12" t="s">
        <v>74</v>
      </c>
      <c r="AY311" s="13" t="s">
        <v>130</v>
      </c>
      <c r="BE311" s="14">
        <f>IF(N311="základní",J311,0)</f>
        <v>0</v>
      </c>
      <c r="BF311" s="14">
        <f>IF(N311="snížená",J311,0)</f>
        <v>0</v>
      </c>
      <c r="BG311" s="14">
        <f>IF(N311="zákl. přenesená",J311,0)</f>
        <v>0</v>
      </c>
      <c r="BH311" s="14">
        <f>IF(N311="sníž. přenesená",J311,0)</f>
        <v>0</v>
      </c>
      <c r="BI311" s="14">
        <f>IF(N311="nulová",J311,0)</f>
        <v>0</v>
      </c>
      <c r="BJ311" s="13" t="s">
        <v>74</v>
      </c>
      <c r="BK311" s="14">
        <f>ROUND(I311*H311,2)</f>
        <v>0</v>
      </c>
      <c r="BL311" s="13" t="s">
        <v>135</v>
      </c>
      <c r="BM311" s="12" t="s">
        <v>522</v>
      </c>
    </row>
    <row r="312" spans="1:65" s="5" customFormat="1" ht="16.5" customHeight="1" x14ac:dyDescent="0.2">
      <c r="A312" s="105"/>
      <c r="B312" s="4"/>
      <c r="C312" s="33" t="s">
        <v>523</v>
      </c>
      <c r="D312" s="33" t="s">
        <v>131</v>
      </c>
      <c r="E312" s="34" t="s">
        <v>142</v>
      </c>
      <c r="F312" s="7" t="s">
        <v>143</v>
      </c>
      <c r="G312" s="35" t="s">
        <v>134</v>
      </c>
      <c r="H312" s="36">
        <v>0.51200000000000001</v>
      </c>
      <c r="I312" s="1"/>
      <c r="J312" s="6">
        <f>ROUND(I312*H312,2)</f>
        <v>0</v>
      </c>
      <c r="K312" s="7" t="s">
        <v>1</v>
      </c>
      <c r="L312" s="4"/>
      <c r="M312" s="8" t="s">
        <v>1</v>
      </c>
      <c r="N312" s="9" t="s">
        <v>33</v>
      </c>
      <c r="O312" s="10">
        <v>0</v>
      </c>
      <c r="P312" s="10">
        <f>O312*H312</f>
        <v>0</v>
      </c>
      <c r="Q312" s="10">
        <v>0</v>
      </c>
      <c r="R312" s="10">
        <f>Q312*H312</f>
        <v>0</v>
      </c>
      <c r="S312" s="10">
        <v>0</v>
      </c>
      <c r="T312" s="11">
        <f>S312*H312</f>
        <v>0</v>
      </c>
      <c r="U312" s="105"/>
      <c r="V312" s="105"/>
      <c r="W312" s="105"/>
      <c r="X312" s="105"/>
      <c r="Y312" s="105"/>
      <c r="Z312" s="105"/>
      <c r="AA312" s="105"/>
      <c r="AB312" s="105"/>
      <c r="AC312" s="105"/>
      <c r="AD312" s="105"/>
      <c r="AE312" s="105"/>
      <c r="AR312" s="12" t="s">
        <v>135</v>
      </c>
      <c r="AT312" s="12" t="s">
        <v>131</v>
      </c>
      <c r="AU312" s="12" t="s">
        <v>74</v>
      </c>
      <c r="AY312" s="13" t="s">
        <v>130</v>
      </c>
      <c r="BE312" s="14">
        <f>IF(N312="základní",J312,0)</f>
        <v>0</v>
      </c>
      <c r="BF312" s="14">
        <f>IF(N312="snížená",J312,0)</f>
        <v>0</v>
      </c>
      <c r="BG312" s="14">
        <f>IF(N312="zákl. přenesená",J312,0)</f>
        <v>0</v>
      </c>
      <c r="BH312" s="14">
        <f>IF(N312="sníž. přenesená",J312,0)</f>
        <v>0</v>
      </c>
      <c r="BI312" s="14">
        <f>IF(N312="nulová",J312,0)</f>
        <v>0</v>
      </c>
      <c r="BJ312" s="13" t="s">
        <v>74</v>
      </c>
      <c r="BK312" s="14">
        <f>ROUND(I312*H312,2)</f>
        <v>0</v>
      </c>
      <c r="BL312" s="13" t="s">
        <v>135</v>
      </c>
      <c r="BM312" s="12" t="s">
        <v>524</v>
      </c>
    </row>
    <row r="313" spans="1:65" s="5" customFormat="1" ht="16.5" customHeight="1" x14ac:dyDescent="0.2">
      <c r="A313" s="105"/>
      <c r="B313" s="4"/>
      <c r="C313" s="33" t="s">
        <v>297</v>
      </c>
      <c r="D313" s="33" t="s">
        <v>131</v>
      </c>
      <c r="E313" s="34" t="s">
        <v>461</v>
      </c>
      <c r="F313" s="7" t="s">
        <v>359</v>
      </c>
      <c r="G313" s="35" t="s">
        <v>134</v>
      </c>
      <c r="H313" s="36">
        <v>0.51200000000000001</v>
      </c>
      <c r="I313" s="1"/>
      <c r="J313" s="6">
        <f>ROUND(I313*H313,2)</f>
        <v>0</v>
      </c>
      <c r="K313" s="7" t="s">
        <v>1</v>
      </c>
      <c r="L313" s="4"/>
      <c r="M313" s="8" t="s">
        <v>1</v>
      </c>
      <c r="N313" s="9" t="s">
        <v>33</v>
      </c>
      <c r="O313" s="10">
        <v>0</v>
      </c>
      <c r="P313" s="10">
        <f>O313*H313</f>
        <v>0</v>
      </c>
      <c r="Q313" s="10">
        <v>0</v>
      </c>
      <c r="R313" s="10">
        <f>Q313*H313</f>
        <v>0</v>
      </c>
      <c r="S313" s="10">
        <v>0</v>
      </c>
      <c r="T313" s="11">
        <f>S313*H313</f>
        <v>0</v>
      </c>
      <c r="U313" s="105"/>
      <c r="V313" s="105"/>
      <c r="W313" s="105"/>
      <c r="X313" s="105"/>
      <c r="Y313" s="105"/>
      <c r="Z313" s="105"/>
      <c r="AA313" s="105"/>
      <c r="AB313" s="105"/>
      <c r="AC313" s="105"/>
      <c r="AD313" s="105"/>
      <c r="AE313" s="105"/>
      <c r="AR313" s="12" t="s">
        <v>135</v>
      </c>
      <c r="AT313" s="12" t="s">
        <v>131</v>
      </c>
      <c r="AU313" s="12" t="s">
        <v>74</v>
      </c>
      <c r="AY313" s="13" t="s">
        <v>130</v>
      </c>
      <c r="BE313" s="14">
        <f>IF(N313="základní",J313,0)</f>
        <v>0</v>
      </c>
      <c r="BF313" s="14">
        <f>IF(N313="snížená",J313,0)</f>
        <v>0</v>
      </c>
      <c r="BG313" s="14">
        <f>IF(N313="zákl. přenesená",J313,0)</f>
        <v>0</v>
      </c>
      <c r="BH313" s="14">
        <f>IF(N313="sníž. přenesená",J313,0)</f>
        <v>0</v>
      </c>
      <c r="BI313" s="14">
        <f>IF(N313="nulová",J313,0)</f>
        <v>0</v>
      </c>
      <c r="BJ313" s="13" t="s">
        <v>74</v>
      </c>
      <c r="BK313" s="14">
        <f>ROUND(I313*H313,2)</f>
        <v>0</v>
      </c>
      <c r="BL313" s="13" t="s">
        <v>135</v>
      </c>
      <c r="BM313" s="12" t="s">
        <v>525</v>
      </c>
    </row>
    <row r="314" spans="1:65" s="20" customFormat="1" ht="25.9" customHeight="1" x14ac:dyDescent="0.2">
      <c r="B314" s="21"/>
      <c r="D314" s="26" t="s">
        <v>67</v>
      </c>
      <c r="E314" s="39" t="s">
        <v>280</v>
      </c>
      <c r="F314" s="39" t="s">
        <v>526</v>
      </c>
      <c r="J314" s="19">
        <f>BK314</f>
        <v>0</v>
      </c>
      <c r="L314" s="21"/>
      <c r="M314" s="22"/>
      <c r="N314" s="23"/>
      <c r="O314" s="23"/>
      <c r="P314" s="24">
        <f>SUM(P317:P320)</f>
        <v>0</v>
      </c>
      <c r="Q314" s="23"/>
      <c r="R314" s="24">
        <f>SUM(R317:R320)</f>
        <v>0</v>
      </c>
      <c r="S314" s="23"/>
      <c r="T314" s="25">
        <f>SUM(T317:T320)</f>
        <v>0</v>
      </c>
      <c r="AR314" s="26" t="s">
        <v>74</v>
      </c>
      <c r="AT314" s="27" t="s">
        <v>67</v>
      </c>
      <c r="AU314" s="27" t="s">
        <v>68</v>
      </c>
      <c r="AY314" s="26" t="s">
        <v>130</v>
      </c>
      <c r="BK314" s="28">
        <f>SUM(BK317:BK320)</f>
        <v>0</v>
      </c>
    </row>
    <row r="315" spans="1:65" s="5" customFormat="1" ht="10.15" customHeight="1" x14ac:dyDescent="0.2">
      <c r="B315" s="45"/>
      <c r="D315" s="216" t="s">
        <v>340</v>
      </c>
      <c r="F315" s="116" t="s">
        <v>1179</v>
      </c>
      <c r="G315" s="117"/>
      <c r="K315" s="181"/>
      <c r="L315" s="94"/>
      <c r="M315" s="52"/>
      <c r="P315" s="126" t="s">
        <v>148</v>
      </c>
      <c r="Q315" s="126" t="s">
        <v>74</v>
      </c>
    </row>
    <row r="316" spans="1:65" s="5" customFormat="1" ht="10.15" customHeight="1" x14ac:dyDescent="0.2">
      <c r="B316" s="45"/>
      <c r="D316" s="216" t="s">
        <v>340</v>
      </c>
      <c r="F316" s="116" t="s">
        <v>1180</v>
      </c>
      <c r="H316" s="117">
        <f>(1.34*0.36)+(1.34*0.025)</f>
        <v>0.51590000000000003</v>
      </c>
      <c r="K316" s="181"/>
      <c r="L316" s="94"/>
      <c r="M316" s="52"/>
      <c r="P316" s="126" t="s">
        <v>148</v>
      </c>
      <c r="Q316" s="126" t="s">
        <v>74</v>
      </c>
    </row>
    <row r="317" spans="1:65" s="5" customFormat="1" ht="16.5" customHeight="1" x14ac:dyDescent="0.2">
      <c r="A317" s="105"/>
      <c r="B317" s="4"/>
      <c r="C317" s="33" t="s">
        <v>527</v>
      </c>
      <c r="D317" s="33" t="s">
        <v>131</v>
      </c>
      <c r="E317" s="34" t="s">
        <v>454</v>
      </c>
      <c r="F317" s="7" t="s">
        <v>355</v>
      </c>
      <c r="G317" s="35" t="s">
        <v>157</v>
      </c>
      <c r="H317" s="36">
        <v>1</v>
      </c>
      <c r="I317" s="1"/>
      <c r="J317" s="6">
        <f>ROUND(I317*H317,2)</f>
        <v>0</v>
      </c>
      <c r="K317" s="7" t="s">
        <v>1</v>
      </c>
      <c r="L317" s="4"/>
      <c r="M317" s="8" t="s">
        <v>1</v>
      </c>
      <c r="N317" s="9" t="s">
        <v>33</v>
      </c>
      <c r="O317" s="10">
        <v>0</v>
      </c>
      <c r="P317" s="10">
        <f>O317*H317</f>
        <v>0</v>
      </c>
      <c r="Q317" s="10">
        <v>0</v>
      </c>
      <c r="R317" s="10">
        <f>Q317*H317</f>
        <v>0</v>
      </c>
      <c r="S317" s="10">
        <v>0</v>
      </c>
      <c r="T317" s="11">
        <f>S317*H317</f>
        <v>0</v>
      </c>
      <c r="U317" s="105"/>
      <c r="V317" s="105"/>
      <c r="W317" s="105"/>
      <c r="X317" s="105"/>
      <c r="Y317" s="105"/>
      <c r="Z317" s="105"/>
      <c r="AA317" s="105"/>
      <c r="AB317" s="105"/>
      <c r="AC317" s="105"/>
      <c r="AD317" s="105"/>
      <c r="AE317" s="105"/>
      <c r="AR317" s="12" t="s">
        <v>135</v>
      </c>
      <c r="AT317" s="12" t="s">
        <v>131</v>
      </c>
      <c r="AU317" s="12" t="s">
        <v>74</v>
      </c>
      <c r="AY317" s="13" t="s">
        <v>130</v>
      </c>
      <c r="BE317" s="14">
        <f>IF(N317="základní",J317,0)</f>
        <v>0</v>
      </c>
      <c r="BF317" s="14">
        <f>IF(N317="snížená",J317,0)</f>
        <v>0</v>
      </c>
      <c r="BG317" s="14">
        <f>IF(N317="zákl. přenesená",J317,0)</f>
        <v>0</v>
      </c>
      <c r="BH317" s="14">
        <f>IF(N317="sníž. přenesená",J317,0)</f>
        <v>0</v>
      </c>
      <c r="BI317" s="14">
        <f>IF(N317="nulová",J317,0)</f>
        <v>0</v>
      </c>
      <c r="BJ317" s="13" t="s">
        <v>74</v>
      </c>
      <c r="BK317" s="14">
        <f>ROUND(I317*H317,2)</f>
        <v>0</v>
      </c>
      <c r="BL317" s="13" t="s">
        <v>135</v>
      </c>
      <c r="BM317" s="12" t="s">
        <v>528</v>
      </c>
    </row>
    <row r="318" spans="1:65" s="5" customFormat="1" ht="16.5" customHeight="1" x14ac:dyDescent="0.2">
      <c r="A318" s="105"/>
      <c r="B318" s="4"/>
      <c r="C318" s="33" t="s">
        <v>301</v>
      </c>
      <c r="D318" s="33" t="s">
        <v>131</v>
      </c>
      <c r="E318" s="34" t="s">
        <v>457</v>
      </c>
      <c r="F318" s="7" t="s">
        <v>337</v>
      </c>
      <c r="G318" s="35" t="s">
        <v>157</v>
      </c>
      <c r="H318" s="36">
        <v>1</v>
      </c>
      <c r="I318" s="1"/>
      <c r="J318" s="6">
        <f>ROUND(I318*H318,2)</f>
        <v>0</v>
      </c>
      <c r="K318" s="7" t="s">
        <v>1</v>
      </c>
      <c r="L318" s="4"/>
      <c r="M318" s="8" t="s">
        <v>1</v>
      </c>
      <c r="N318" s="9" t="s">
        <v>33</v>
      </c>
      <c r="O318" s="10">
        <v>0</v>
      </c>
      <c r="P318" s="10">
        <f>O318*H318</f>
        <v>0</v>
      </c>
      <c r="Q318" s="10">
        <v>0</v>
      </c>
      <c r="R318" s="10">
        <f>Q318*H318</f>
        <v>0</v>
      </c>
      <c r="S318" s="10">
        <v>0</v>
      </c>
      <c r="T318" s="11">
        <f>S318*H318</f>
        <v>0</v>
      </c>
      <c r="U318" s="105"/>
      <c r="V318" s="105"/>
      <c r="W318" s="105"/>
      <c r="X318" s="105"/>
      <c r="Y318" s="105"/>
      <c r="Z318" s="105"/>
      <c r="AA318" s="105"/>
      <c r="AB318" s="105"/>
      <c r="AC318" s="105"/>
      <c r="AD318" s="105"/>
      <c r="AE318" s="105"/>
      <c r="AR318" s="12" t="s">
        <v>135</v>
      </c>
      <c r="AT318" s="12" t="s">
        <v>131</v>
      </c>
      <c r="AU318" s="12" t="s">
        <v>74</v>
      </c>
      <c r="AY318" s="13" t="s">
        <v>130</v>
      </c>
      <c r="BE318" s="14">
        <f>IF(N318="základní",J318,0)</f>
        <v>0</v>
      </c>
      <c r="BF318" s="14">
        <f>IF(N318="snížená",J318,0)</f>
        <v>0</v>
      </c>
      <c r="BG318" s="14">
        <f>IF(N318="zákl. přenesená",J318,0)</f>
        <v>0</v>
      </c>
      <c r="BH318" s="14">
        <f>IF(N318="sníž. přenesená",J318,0)</f>
        <v>0</v>
      </c>
      <c r="BI318" s="14">
        <f>IF(N318="nulová",J318,0)</f>
        <v>0</v>
      </c>
      <c r="BJ318" s="13" t="s">
        <v>74</v>
      </c>
      <c r="BK318" s="14">
        <f>ROUND(I318*H318,2)</f>
        <v>0</v>
      </c>
      <c r="BL318" s="13" t="s">
        <v>135</v>
      </c>
      <c r="BM318" s="12" t="s">
        <v>529</v>
      </c>
    </row>
    <row r="319" spans="1:65" s="5" customFormat="1" ht="16.5" customHeight="1" x14ac:dyDescent="0.2">
      <c r="A319" s="105"/>
      <c r="B319" s="4"/>
      <c r="C319" s="33" t="s">
        <v>530</v>
      </c>
      <c r="D319" s="33" t="s">
        <v>131</v>
      </c>
      <c r="E319" s="34" t="s">
        <v>142</v>
      </c>
      <c r="F319" s="7" t="s">
        <v>143</v>
      </c>
      <c r="G319" s="35" t="s">
        <v>134</v>
      </c>
      <c r="H319" s="36">
        <v>0.51600000000000001</v>
      </c>
      <c r="I319" s="1"/>
      <c r="J319" s="6">
        <f>ROUND(I319*H319,2)</f>
        <v>0</v>
      </c>
      <c r="K319" s="7" t="s">
        <v>1</v>
      </c>
      <c r="L319" s="4"/>
      <c r="M319" s="8" t="s">
        <v>1</v>
      </c>
      <c r="N319" s="9" t="s">
        <v>33</v>
      </c>
      <c r="O319" s="10">
        <v>0</v>
      </c>
      <c r="P319" s="10">
        <f>O319*H319</f>
        <v>0</v>
      </c>
      <c r="Q319" s="10">
        <v>0</v>
      </c>
      <c r="R319" s="10">
        <f>Q319*H319</f>
        <v>0</v>
      </c>
      <c r="S319" s="10">
        <v>0</v>
      </c>
      <c r="T319" s="11">
        <f>S319*H319</f>
        <v>0</v>
      </c>
      <c r="U319" s="105"/>
      <c r="V319" s="105"/>
      <c r="W319" s="105"/>
      <c r="X319" s="105"/>
      <c r="Y319" s="105"/>
      <c r="Z319" s="105"/>
      <c r="AA319" s="105"/>
      <c r="AB319" s="105"/>
      <c r="AC319" s="105"/>
      <c r="AD319" s="105"/>
      <c r="AE319" s="105"/>
      <c r="AR319" s="12" t="s">
        <v>135</v>
      </c>
      <c r="AT319" s="12" t="s">
        <v>131</v>
      </c>
      <c r="AU319" s="12" t="s">
        <v>74</v>
      </c>
      <c r="AY319" s="13" t="s">
        <v>130</v>
      </c>
      <c r="BE319" s="14">
        <f>IF(N319="základní",J319,0)</f>
        <v>0</v>
      </c>
      <c r="BF319" s="14">
        <f>IF(N319="snížená",J319,0)</f>
        <v>0</v>
      </c>
      <c r="BG319" s="14">
        <f>IF(N319="zákl. přenesená",J319,0)</f>
        <v>0</v>
      </c>
      <c r="BH319" s="14">
        <f>IF(N319="sníž. přenesená",J319,0)</f>
        <v>0</v>
      </c>
      <c r="BI319" s="14">
        <f>IF(N319="nulová",J319,0)</f>
        <v>0</v>
      </c>
      <c r="BJ319" s="13" t="s">
        <v>74</v>
      </c>
      <c r="BK319" s="14">
        <f>ROUND(I319*H319,2)</f>
        <v>0</v>
      </c>
      <c r="BL319" s="13" t="s">
        <v>135</v>
      </c>
      <c r="BM319" s="12" t="s">
        <v>531</v>
      </c>
    </row>
    <row r="320" spans="1:65" s="5" customFormat="1" ht="16.5" customHeight="1" x14ac:dyDescent="0.2">
      <c r="A320" s="105"/>
      <c r="B320" s="4"/>
      <c r="C320" s="33" t="s">
        <v>417</v>
      </c>
      <c r="D320" s="33" t="s">
        <v>131</v>
      </c>
      <c r="E320" s="34" t="s">
        <v>461</v>
      </c>
      <c r="F320" s="7" t="s">
        <v>359</v>
      </c>
      <c r="G320" s="35" t="s">
        <v>134</v>
      </c>
      <c r="H320" s="36">
        <v>0.51600000000000001</v>
      </c>
      <c r="I320" s="1"/>
      <c r="J320" s="6">
        <f>ROUND(I320*H320,2)</f>
        <v>0</v>
      </c>
      <c r="K320" s="7" t="s">
        <v>1</v>
      </c>
      <c r="L320" s="4"/>
      <c r="M320" s="8" t="s">
        <v>1</v>
      </c>
      <c r="N320" s="9" t="s">
        <v>33</v>
      </c>
      <c r="O320" s="10">
        <v>0</v>
      </c>
      <c r="P320" s="10">
        <f>O320*H320</f>
        <v>0</v>
      </c>
      <c r="Q320" s="10">
        <v>0</v>
      </c>
      <c r="R320" s="10">
        <f>Q320*H320</f>
        <v>0</v>
      </c>
      <c r="S320" s="10">
        <v>0</v>
      </c>
      <c r="T320" s="11">
        <f>S320*H320</f>
        <v>0</v>
      </c>
      <c r="U320" s="105"/>
      <c r="V320" s="105"/>
      <c r="W320" s="105"/>
      <c r="X320" s="105"/>
      <c r="Y320" s="105"/>
      <c r="Z320" s="105"/>
      <c r="AA320" s="105"/>
      <c r="AB320" s="105"/>
      <c r="AC320" s="105"/>
      <c r="AD320" s="105"/>
      <c r="AE320" s="105"/>
      <c r="AR320" s="12" t="s">
        <v>135</v>
      </c>
      <c r="AT320" s="12" t="s">
        <v>131</v>
      </c>
      <c r="AU320" s="12" t="s">
        <v>74</v>
      </c>
      <c r="AY320" s="13" t="s">
        <v>130</v>
      </c>
      <c r="BE320" s="14">
        <f>IF(N320="základní",J320,0)</f>
        <v>0</v>
      </c>
      <c r="BF320" s="14">
        <f>IF(N320="snížená",J320,0)</f>
        <v>0</v>
      </c>
      <c r="BG320" s="14">
        <f>IF(N320="zákl. přenesená",J320,0)</f>
        <v>0</v>
      </c>
      <c r="BH320" s="14">
        <f>IF(N320="sníž. přenesená",J320,0)</f>
        <v>0</v>
      </c>
      <c r="BI320" s="14">
        <f>IF(N320="nulová",J320,0)</f>
        <v>0</v>
      </c>
      <c r="BJ320" s="13" t="s">
        <v>74</v>
      </c>
      <c r="BK320" s="14">
        <f>ROUND(I320*H320,2)</f>
        <v>0</v>
      </c>
      <c r="BL320" s="13" t="s">
        <v>135</v>
      </c>
      <c r="BM320" s="12" t="s">
        <v>532</v>
      </c>
    </row>
    <row r="321" spans="1:65" s="20" customFormat="1" ht="25.9" customHeight="1" x14ac:dyDescent="0.2">
      <c r="B321" s="21"/>
      <c r="D321" s="26" t="s">
        <v>67</v>
      </c>
      <c r="E321" s="39" t="s">
        <v>288</v>
      </c>
      <c r="F321" s="39" t="s">
        <v>533</v>
      </c>
      <c r="J321" s="19">
        <f>BK321</f>
        <v>0</v>
      </c>
      <c r="L321" s="21"/>
      <c r="M321" s="22"/>
      <c r="N321" s="23"/>
      <c r="O321" s="23"/>
      <c r="P321" s="24">
        <f>SUM(P324:P327)</f>
        <v>0</v>
      </c>
      <c r="Q321" s="23"/>
      <c r="R321" s="24">
        <f>SUM(R324:R327)</f>
        <v>0</v>
      </c>
      <c r="S321" s="23"/>
      <c r="T321" s="25">
        <f>SUM(T324:T327)</f>
        <v>0</v>
      </c>
      <c r="AR321" s="26" t="s">
        <v>74</v>
      </c>
      <c r="AT321" s="27" t="s">
        <v>67</v>
      </c>
      <c r="AU321" s="27" t="s">
        <v>68</v>
      </c>
      <c r="AY321" s="26" t="s">
        <v>130</v>
      </c>
      <c r="BK321" s="28">
        <f>SUM(BK324:BK327)</f>
        <v>0</v>
      </c>
    </row>
    <row r="322" spans="1:65" s="5" customFormat="1" ht="10.15" customHeight="1" x14ac:dyDescent="0.2">
      <c r="B322" s="45"/>
      <c r="D322" s="216" t="s">
        <v>340</v>
      </c>
      <c r="F322" s="116" t="s">
        <v>1181</v>
      </c>
      <c r="G322" s="117"/>
      <c r="K322" s="181"/>
      <c r="L322" s="94"/>
      <c r="M322" s="52"/>
      <c r="P322" s="126" t="s">
        <v>148</v>
      </c>
      <c r="Q322" s="126" t="s">
        <v>74</v>
      </c>
    </row>
    <row r="323" spans="1:65" s="5" customFormat="1" ht="10.15" customHeight="1" x14ac:dyDescent="0.2">
      <c r="B323" s="45"/>
      <c r="D323" s="216" t="s">
        <v>340</v>
      </c>
      <c r="F323" s="116" t="s">
        <v>1182</v>
      </c>
      <c r="H323" s="117">
        <f>(0.98*0.22)+(0.98*0.025)</f>
        <v>0.24009999999999998</v>
      </c>
      <c r="K323" s="181"/>
      <c r="L323" s="94"/>
      <c r="M323" s="52"/>
      <c r="P323" s="126" t="s">
        <v>148</v>
      </c>
      <c r="Q323" s="126" t="s">
        <v>74</v>
      </c>
    </row>
    <row r="324" spans="1:65" s="5" customFormat="1" ht="16.5" customHeight="1" x14ac:dyDescent="0.2">
      <c r="A324" s="105"/>
      <c r="B324" s="4"/>
      <c r="C324" s="33" t="s">
        <v>534</v>
      </c>
      <c r="D324" s="33" t="s">
        <v>131</v>
      </c>
      <c r="E324" s="34" t="s">
        <v>454</v>
      </c>
      <c r="F324" s="7" t="s">
        <v>355</v>
      </c>
      <c r="G324" s="35" t="s">
        <v>157</v>
      </c>
      <c r="H324" s="36">
        <v>1</v>
      </c>
      <c r="I324" s="1"/>
      <c r="J324" s="6">
        <f>ROUND(I324*H324,2)</f>
        <v>0</v>
      </c>
      <c r="K324" s="7" t="s">
        <v>1</v>
      </c>
      <c r="L324" s="4"/>
      <c r="M324" s="8" t="s">
        <v>1</v>
      </c>
      <c r="N324" s="9" t="s">
        <v>33</v>
      </c>
      <c r="O324" s="10">
        <v>0</v>
      </c>
      <c r="P324" s="10">
        <f>O324*H324</f>
        <v>0</v>
      </c>
      <c r="Q324" s="10">
        <v>0</v>
      </c>
      <c r="R324" s="10">
        <f>Q324*H324</f>
        <v>0</v>
      </c>
      <c r="S324" s="10">
        <v>0</v>
      </c>
      <c r="T324" s="11">
        <f>S324*H324</f>
        <v>0</v>
      </c>
      <c r="U324" s="105"/>
      <c r="V324" s="105"/>
      <c r="W324" s="105"/>
      <c r="X324" s="105"/>
      <c r="Y324" s="105"/>
      <c r="Z324" s="105"/>
      <c r="AA324" s="105"/>
      <c r="AB324" s="105"/>
      <c r="AC324" s="105"/>
      <c r="AD324" s="105"/>
      <c r="AE324" s="105"/>
      <c r="AR324" s="12" t="s">
        <v>135</v>
      </c>
      <c r="AT324" s="12" t="s">
        <v>131</v>
      </c>
      <c r="AU324" s="12" t="s">
        <v>74</v>
      </c>
      <c r="AY324" s="13" t="s">
        <v>130</v>
      </c>
      <c r="BE324" s="14">
        <f>IF(N324="základní",J324,0)</f>
        <v>0</v>
      </c>
      <c r="BF324" s="14">
        <f>IF(N324="snížená",J324,0)</f>
        <v>0</v>
      </c>
      <c r="BG324" s="14">
        <f>IF(N324="zákl. přenesená",J324,0)</f>
        <v>0</v>
      </c>
      <c r="BH324" s="14">
        <f>IF(N324="sníž. přenesená",J324,0)</f>
        <v>0</v>
      </c>
      <c r="BI324" s="14">
        <f>IF(N324="nulová",J324,0)</f>
        <v>0</v>
      </c>
      <c r="BJ324" s="13" t="s">
        <v>74</v>
      </c>
      <c r="BK324" s="14">
        <f>ROUND(I324*H324,2)</f>
        <v>0</v>
      </c>
      <c r="BL324" s="13" t="s">
        <v>135</v>
      </c>
      <c r="BM324" s="12" t="s">
        <v>535</v>
      </c>
    </row>
    <row r="325" spans="1:65" s="5" customFormat="1" ht="16.5" customHeight="1" x14ac:dyDescent="0.2">
      <c r="A325" s="105"/>
      <c r="B325" s="4"/>
      <c r="C325" s="33" t="s">
        <v>420</v>
      </c>
      <c r="D325" s="33" t="s">
        <v>131</v>
      </c>
      <c r="E325" s="34" t="s">
        <v>457</v>
      </c>
      <c r="F325" s="7" t="s">
        <v>337</v>
      </c>
      <c r="G325" s="35" t="s">
        <v>157</v>
      </c>
      <c r="H325" s="36">
        <v>1</v>
      </c>
      <c r="I325" s="1"/>
      <c r="J325" s="6">
        <f>ROUND(I325*H325,2)</f>
        <v>0</v>
      </c>
      <c r="K325" s="7" t="s">
        <v>1</v>
      </c>
      <c r="L325" s="4"/>
      <c r="M325" s="8" t="s">
        <v>1</v>
      </c>
      <c r="N325" s="9" t="s">
        <v>33</v>
      </c>
      <c r="O325" s="10">
        <v>0</v>
      </c>
      <c r="P325" s="10">
        <f>O325*H325</f>
        <v>0</v>
      </c>
      <c r="Q325" s="10">
        <v>0</v>
      </c>
      <c r="R325" s="10">
        <f>Q325*H325</f>
        <v>0</v>
      </c>
      <c r="S325" s="10">
        <v>0</v>
      </c>
      <c r="T325" s="11">
        <f>S325*H325</f>
        <v>0</v>
      </c>
      <c r="U325" s="105"/>
      <c r="V325" s="105"/>
      <c r="W325" s="105"/>
      <c r="X325" s="105"/>
      <c r="Y325" s="105"/>
      <c r="Z325" s="105"/>
      <c r="AA325" s="105"/>
      <c r="AB325" s="105"/>
      <c r="AC325" s="105"/>
      <c r="AD325" s="105"/>
      <c r="AE325" s="105"/>
      <c r="AR325" s="12" t="s">
        <v>135</v>
      </c>
      <c r="AT325" s="12" t="s">
        <v>131</v>
      </c>
      <c r="AU325" s="12" t="s">
        <v>74</v>
      </c>
      <c r="AY325" s="13" t="s">
        <v>130</v>
      </c>
      <c r="BE325" s="14">
        <f>IF(N325="základní",J325,0)</f>
        <v>0</v>
      </c>
      <c r="BF325" s="14">
        <f>IF(N325="snížená",J325,0)</f>
        <v>0</v>
      </c>
      <c r="BG325" s="14">
        <f>IF(N325="zákl. přenesená",J325,0)</f>
        <v>0</v>
      </c>
      <c r="BH325" s="14">
        <f>IF(N325="sníž. přenesená",J325,0)</f>
        <v>0</v>
      </c>
      <c r="BI325" s="14">
        <f>IF(N325="nulová",J325,0)</f>
        <v>0</v>
      </c>
      <c r="BJ325" s="13" t="s">
        <v>74</v>
      </c>
      <c r="BK325" s="14">
        <f>ROUND(I325*H325,2)</f>
        <v>0</v>
      </c>
      <c r="BL325" s="13" t="s">
        <v>135</v>
      </c>
      <c r="BM325" s="12" t="s">
        <v>536</v>
      </c>
    </row>
    <row r="326" spans="1:65" s="5" customFormat="1" ht="16.5" customHeight="1" x14ac:dyDescent="0.2">
      <c r="A326" s="105"/>
      <c r="B326" s="4"/>
      <c r="C326" s="33" t="s">
        <v>537</v>
      </c>
      <c r="D326" s="33" t="s">
        <v>131</v>
      </c>
      <c r="E326" s="34" t="s">
        <v>142</v>
      </c>
      <c r="F326" s="7" t="s">
        <v>143</v>
      </c>
      <c r="G326" s="35" t="s">
        <v>134</v>
      </c>
      <c r="H326" s="36">
        <v>0.24</v>
      </c>
      <c r="I326" s="1"/>
      <c r="J326" s="6">
        <f>ROUND(I326*H326,2)</f>
        <v>0</v>
      </c>
      <c r="K326" s="7" t="s">
        <v>1</v>
      </c>
      <c r="L326" s="4"/>
      <c r="M326" s="8" t="s">
        <v>1</v>
      </c>
      <c r="N326" s="9" t="s">
        <v>33</v>
      </c>
      <c r="O326" s="10">
        <v>0</v>
      </c>
      <c r="P326" s="10">
        <f>O326*H326</f>
        <v>0</v>
      </c>
      <c r="Q326" s="10">
        <v>0</v>
      </c>
      <c r="R326" s="10">
        <f>Q326*H326</f>
        <v>0</v>
      </c>
      <c r="S326" s="10">
        <v>0</v>
      </c>
      <c r="T326" s="11">
        <f>S326*H326</f>
        <v>0</v>
      </c>
      <c r="U326" s="105"/>
      <c r="V326" s="105"/>
      <c r="W326" s="105"/>
      <c r="X326" s="105"/>
      <c r="Y326" s="105"/>
      <c r="Z326" s="105"/>
      <c r="AA326" s="105"/>
      <c r="AB326" s="105"/>
      <c r="AC326" s="105"/>
      <c r="AD326" s="105"/>
      <c r="AE326" s="105"/>
      <c r="AR326" s="12" t="s">
        <v>135</v>
      </c>
      <c r="AT326" s="12" t="s">
        <v>131</v>
      </c>
      <c r="AU326" s="12" t="s">
        <v>74</v>
      </c>
      <c r="AY326" s="13" t="s">
        <v>130</v>
      </c>
      <c r="BE326" s="14">
        <f>IF(N326="základní",J326,0)</f>
        <v>0</v>
      </c>
      <c r="BF326" s="14">
        <f>IF(N326="snížená",J326,0)</f>
        <v>0</v>
      </c>
      <c r="BG326" s="14">
        <f>IF(N326="zákl. přenesená",J326,0)</f>
        <v>0</v>
      </c>
      <c r="BH326" s="14">
        <f>IF(N326="sníž. přenesená",J326,0)</f>
        <v>0</v>
      </c>
      <c r="BI326" s="14">
        <f>IF(N326="nulová",J326,0)</f>
        <v>0</v>
      </c>
      <c r="BJ326" s="13" t="s">
        <v>74</v>
      </c>
      <c r="BK326" s="14">
        <f>ROUND(I326*H326,2)</f>
        <v>0</v>
      </c>
      <c r="BL326" s="13" t="s">
        <v>135</v>
      </c>
      <c r="BM326" s="12" t="s">
        <v>538</v>
      </c>
    </row>
    <row r="327" spans="1:65" s="5" customFormat="1" ht="16.5" customHeight="1" x14ac:dyDescent="0.2">
      <c r="A327" s="105"/>
      <c r="B327" s="4"/>
      <c r="C327" s="33" t="s">
        <v>423</v>
      </c>
      <c r="D327" s="33" t="s">
        <v>131</v>
      </c>
      <c r="E327" s="34" t="s">
        <v>461</v>
      </c>
      <c r="F327" s="7" t="s">
        <v>359</v>
      </c>
      <c r="G327" s="35" t="s">
        <v>134</v>
      </c>
      <c r="H327" s="36">
        <v>0.24</v>
      </c>
      <c r="I327" s="1"/>
      <c r="J327" s="6">
        <f>ROUND(I327*H327,2)</f>
        <v>0</v>
      </c>
      <c r="K327" s="7" t="s">
        <v>1</v>
      </c>
      <c r="L327" s="4"/>
      <c r="M327" s="8" t="s">
        <v>1</v>
      </c>
      <c r="N327" s="9" t="s">
        <v>33</v>
      </c>
      <c r="O327" s="10">
        <v>0</v>
      </c>
      <c r="P327" s="10">
        <f>O327*H327</f>
        <v>0</v>
      </c>
      <c r="Q327" s="10">
        <v>0</v>
      </c>
      <c r="R327" s="10">
        <f>Q327*H327</f>
        <v>0</v>
      </c>
      <c r="S327" s="10">
        <v>0</v>
      </c>
      <c r="T327" s="11">
        <f>S327*H327</f>
        <v>0</v>
      </c>
      <c r="U327" s="105"/>
      <c r="V327" s="105"/>
      <c r="W327" s="105"/>
      <c r="X327" s="105"/>
      <c r="Y327" s="105"/>
      <c r="Z327" s="105"/>
      <c r="AA327" s="105"/>
      <c r="AB327" s="105"/>
      <c r="AC327" s="105"/>
      <c r="AD327" s="105"/>
      <c r="AE327" s="105"/>
      <c r="AR327" s="12" t="s">
        <v>135</v>
      </c>
      <c r="AT327" s="12" t="s">
        <v>131</v>
      </c>
      <c r="AU327" s="12" t="s">
        <v>74</v>
      </c>
      <c r="AY327" s="13" t="s">
        <v>130</v>
      </c>
      <c r="BE327" s="14">
        <f>IF(N327="základní",J327,0)</f>
        <v>0</v>
      </c>
      <c r="BF327" s="14">
        <f>IF(N327="snížená",J327,0)</f>
        <v>0</v>
      </c>
      <c r="BG327" s="14">
        <f>IF(N327="zákl. přenesená",J327,0)</f>
        <v>0</v>
      </c>
      <c r="BH327" s="14">
        <f>IF(N327="sníž. přenesená",J327,0)</f>
        <v>0</v>
      </c>
      <c r="BI327" s="14">
        <f>IF(N327="nulová",J327,0)</f>
        <v>0</v>
      </c>
      <c r="BJ327" s="13" t="s">
        <v>74</v>
      </c>
      <c r="BK327" s="14">
        <f>ROUND(I327*H327,2)</f>
        <v>0</v>
      </c>
      <c r="BL327" s="13" t="s">
        <v>135</v>
      </c>
      <c r="BM327" s="12" t="s">
        <v>539</v>
      </c>
    </row>
    <row r="328" spans="1:65" s="20" customFormat="1" ht="25.9" customHeight="1" x14ac:dyDescent="0.2">
      <c r="B328" s="21"/>
      <c r="D328" s="26" t="s">
        <v>67</v>
      </c>
      <c r="E328" s="39" t="s">
        <v>293</v>
      </c>
      <c r="F328" s="39" t="s">
        <v>540</v>
      </c>
      <c r="J328" s="19">
        <f>BK328</f>
        <v>0</v>
      </c>
      <c r="L328" s="21"/>
      <c r="M328" s="22"/>
      <c r="N328" s="23"/>
      <c r="O328" s="23"/>
      <c r="P328" s="24">
        <f>SUM(P331:P341)</f>
        <v>0</v>
      </c>
      <c r="Q328" s="23"/>
      <c r="R328" s="24">
        <f>SUM(R331:R341)</f>
        <v>0</v>
      </c>
      <c r="S328" s="23"/>
      <c r="T328" s="25">
        <f>SUM(T331:T341)</f>
        <v>0</v>
      </c>
      <c r="AR328" s="26" t="s">
        <v>74</v>
      </c>
      <c r="AT328" s="27" t="s">
        <v>67</v>
      </c>
      <c r="AU328" s="27" t="s">
        <v>68</v>
      </c>
      <c r="AY328" s="26" t="s">
        <v>130</v>
      </c>
      <c r="BK328" s="28">
        <f>SUM(BK331:BK341)</f>
        <v>0</v>
      </c>
    </row>
    <row r="329" spans="1:65" s="5" customFormat="1" ht="10.15" customHeight="1" x14ac:dyDescent="0.2">
      <c r="B329" s="45"/>
      <c r="D329" s="216" t="s">
        <v>340</v>
      </c>
      <c r="F329" s="116" t="s">
        <v>1183</v>
      </c>
      <c r="G329" s="117"/>
      <c r="K329" s="181"/>
      <c r="L329" s="94"/>
      <c r="M329" s="52"/>
      <c r="P329" s="126" t="s">
        <v>148</v>
      </c>
      <c r="Q329" s="126" t="s">
        <v>74</v>
      </c>
    </row>
    <row r="330" spans="1:65" s="5" customFormat="1" ht="10.15" customHeight="1" x14ac:dyDescent="0.2">
      <c r="B330" s="45"/>
      <c r="D330" s="216" t="s">
        <v>340</v>
      </c>
      <c r="F330" s="116" t="s">
        <v>1184</v>
      </c>
      <c r="H330" s="117">
        <f>11.29+(28*1.51*0.15)</f>
        <v>17.631999999999998</v>
      </c>
      <c r="K330" s="181"/>
      <c r="L330" s="94"/>
      <c r="M330" s="52"/>
      <c r="P330" s="126" t="s">
        <v>148</v>
      </c>
      <c r="Q330" s="126" t="s">
        <v>74</v>
      </c>
    </row>
    <row r="331" spans="1:65" s="5" customFormat="1" ht="16.5" customHeight="1" x14ac:dyDescent="0.2">
      <c r="A331" s="105"/>
      <c r="B331" s="4"/>
      <c r="C331" s="33" t="s">
        <v>541</v>
      </c>
      <c r="D331" s="33" t="s">
        <v>131</v>
      </c>
      <c r="E331" s="34" t="s">
        <v>419</v>
      </c>
      <c r="F331" s="7" t="s">
        <v>412</v>
      </c>
      <c r="G331" s="35" t="s">
        <v>333</v>
      </c>
      <c r="H331" s="36">
        <v>50.94</v>
      </c>
      <c r="I331" s="1"/>
      <c r="J331" s="6">
        <f>ROUND(I331*H331,2)</f>
        <v>0</v>
      </c>
      <c r="K331" s="7" t="s">
        <v>1</v>
      </c>
      <c r="L331" s="4"/>
      <c r="M331" s="8" t="s">
        <v>1</v>
      </c>
      <c r="N331" s="9" t="s">
        <v>33</v>
      </c>
      <c r="O331" s="10">
        <v>0</v>
      </c>
      <c r="P331" s="10">
        <f>O331*H331</f>
        <v>0</v>
      </c>
      <c r="Q331" s="10">
        <v>0</v>
      </c>
      <c r="R331" s="10">
        <f>Q331*H331</f>
        <v>0</v>
      </c>
      <c r="S331" s="10">
        <v>0</v>
      </c>
      <c r="T331" s="11">
        <f>S331*H331</f>
        <v>0</v>
      </c>
      <c r="U331" s="105"/>
      <c r="V331" s="105"/>
      <c r="W331" s="105"/>
      <c r="X331" s="105"/>
      <c r="Y331" s="105"/>
      <c r="Z331" s="105"/>
      <c r="AA331" s="105"/>
      <c r="AB331" s="105"/>
      <c r="AC331" s="105"/>
      <c r="AD331" s="105"/>
      <c r="AE331" s="105"/>
      <c r="AR331" s="12" t="s">
        <v>135</v>
      </c>
      <c r="AT331" s="12" t="s">
        <v>131</v>
      </c>
      <c r="AU331" s="12" t="s">
        <v>74</v>
      </c>
      <c r="AY331" s="13" t="s">
        <v>130</v>
      </c>
      <c r="BE331" s="14">
        <f>IF(N331="základní",J331,0)</f>
        <v>0</v>
      </c>
      <c r="BF331" s="14">
        <f>IF(N331="snížená",J331,0)</f>
        <v>0</v>
      </c>
      <c r="BG331" s="14">
        <f>IF(N331="zákl. přenesená",J331,0)</f>
        <v>0</v>
      </c>
      <c r="BH331" s="14">
        <f>IF(N331="sníž. přenesená",J331,0)</f>
        <v>0</v>
      </c>
      <c r="BI331" s="14">
        <f>IF(N331="nulová",J331,0)</f>
        <v>0</v>
      </c>
      <c r="BJ331" s="13" t="s">
        <v>74</v>
      </c>
      <c r="BK331" s="14">
        <f>ROUND(I331*H331,2)</f>
        <v>0</v>
      </c>
      <c r="BL331" s="13" t="s">
        <v>135</v>
      </c>
      <c r="BM331" s="12" t="s">
        <v>542</v>
      </c>
    </row>
    <row r="332" spans="1:65" s="5" customFormat="1" ht="16.5" customHeight="1" x14ac:dyDescent="0.2">
      <c r="A332" s="105"/>
      <c r="B332" s="4"/>
      <c r="C332" s="33" t="s">
        <v>425</v>
      </c>
      <c r="D332" s="33" t="s">
        <v>131</v>
      </c>
      <c r="E332" s="34" t="s">
        <v>422</v>
      </c>
      <c r="F332" s="7" t="s">
        <v>414</v>
      </c>
      <c r="G332" s="35" t="s">
        <v>333</v>
      </c>
      <c r="H332" s="36">
        <v>50.94</v>
      </c>
      <c r="I332" s="1"/>
      <c r="J332" s="6">
        <f>ROUND(I332*H332,2)</f>
        <v>0</v>
      </c>
      <c r="K332" s="7" t="s">
        <v>1</v>
      </c>
      <c r="L332" s="4"/>
      <c r="M332" s="8" t="s">
        <v>1</v>
      </c>
      <c r="N332" s="9" t="s">
        <v>33</v>
      </c>
      <c r="O332" s="10">
        <v>0</v>
      </c>
      <c r="P332" s="10">
        <f>O332*H332</f>
        <v>0</v>
      </c>
      <c r="Q332" s="10">
        <v>0</v>
      </c>
      <c r="R332" s="10">
        <f>Q332*H332</f>
        <v>0</v>
      </c>
      <c r="S332" s="10">
        <v>0</v>
      </c>
      <c r="T332" s="11">
        <f>S332*H332</f>
        <v>0</v>
      </c>
      <c r="U332" s="105"/>
      <c r="V332" s="105"/>
      <c r="W332" s="105"/>
      <c r="X332" s="105"/>
      <c r="Y332" s="105"/>
      <c r="Z332" s="105"/>
      <c r="AA332" s="105"/>
      <c r="AB332" s="105"/>
      <c r="AC332" s="105"/>
      <c r="AD332" s="105"/>
      <c r="AE332" s="105"/>
      <c r="AR332" s="12" t="s">
        <v>135</v>
      </c>
      <c r="AT332" s="12" t="s">
        <v>131</v>
      </c>
      <c r="AU332" s="12" t="s">
        <v>74</v>
      </c>
      <c r="AY332" s="13" t="s">
        <v>130</v>
      </c>
      <c r="BE332" s="14">
        <f>IF(N332="základní",J332,0)</f>
        <v>0</v>
      </c>
      <c r="BF332" s="14">
        <f>IF(N332="snížená",J332,0)</f>
        <v>0</v>
      </c>
      <c r="BG332" s="14">
        <f>IF(N332="zákl. přenesená",J332,0)</f>
        <v>0</v>
      </c>
      <c r="BH332" s="14">
        <f>IF(N332="sníž. přenesená",J332,0)</f>
        <v>0</v>
      </c>
      <c r="BI332" s="14">
        <f>IF(N332="nulová",J332,0)</f>
        <v>0</v>
      </c>
      <c r="BJ332" s="13" t="s">
        <v>74</v>
      </c>
      <c r="BK332" s="14">
        <f>ROUND(I332*H332,2)</f>
        <v>0</v>
      </c>
      <c r="BL332" s="13" t="s">
        <v>135</v>
      </c>
      <c r="BM332" s="12" t="s">
        <v>543</v>
      </c>
    </row>
    <row r="333" spans="1:65" s="5" customFormat="1" ht="16.5" customHeight="1" x14ac:dyDescent="0.2">
      <c r="A333" s="105"/>
      <c r="B333" s="4"/>
      <c r="C333" s="33" t="s">
        <v>544</v>
      </c>
      <c r="D333" s="33" t="s">
        <v>131</v>
      </c>
      <c r="E333" s="34" t="s">
        <v>424</v>
      </c>
      <c r="F333" s="7" t="s">
        <v>337</v>
      </c>
      <c r="G333" s="35" t="s">
        <v>333</v>
      </c>
      <c r="H333" s="36">
        <v>50.94</v>
      </c>
      <c r="I333" s="1"/>
      <c r="J333" s="6">
        <f>ROUND(I333*H333,2)</f>
        <v>0</v>
      </c>
      <c r="K333" s="7" t="s">
        <v>1</v>
      </c>
      <c r="L333" s="4"/>
      <c r="M333" s="8" t="s">
        <v>1</v>
      </c>
      <c r="N333" s="9" t="s">
        <v>33</v>
      </c>
      <c r="O333" s="10">
        <v>0</v>
      </c>
      <c r="P333" s="10">
        <f>O333*H333</f>
        <v>0</v>
      </c>
      <c r="Q333" s="10">
        <v>0</v>
      </c>
      <c r="R333" s="10">
        <f>Q333*H333</f>
        <v>0</v>
      </c>
      <c r="S333" s="10">
        <v>0</v>
      </c>
      <c r="T333" s="11">
        <f>S333*H333</f>
        <v>0</v>
      </c>
      <c r="U333" s="105"/>
      <c r="V333" s="105"/>
      <c r="W333" s="105"/>
      <c r="X333" s="105"/>
      <c r="Y333" s="105"/>
      <c r="Z333" s="105"/>
      <c r="AA333" s="105"/>
      <c r="AB333" s="105"/>
      <c r="AC333" s="105"/>
      <c r="AD333" s="105"/>
      <c r="AE333" s="105"/>
      <c r="AR333" s="12" t="s">
        <v>135</v>
      </c>
      <c r="AT333" s="12" t="s">
        <v>131</v>
      </c>
      <c r="AU333" s="12" t="s">
        <v>74</v>
      </c>
      <c r="AY333" s="13" t="s">
        <v>130</v>
      </c>
      <c r="BE333" s="14">
        <f>IF(N333="základní",J333,0)</f>
        <v>0</v>
      </c>
      <c r="BF333" s="14">
        <f>IF(N333="snížená",J333,0)</f>
        <v>0</v>
      </c>
      <c r="BG333" s="14">
        <f>IF(N333="zákl. přenesená",J333,0)</f>
        <v>0</v>
      </c>
      <c r="BH333" s="14">
        <f>IF(N333="sníž. přenesená",J333,0)</f>
        <v>0</v>
      </c>
      <c r="BI333" s="14">
        <f>IF(N333="nulová",J333,0)</f>
        <v>0</v>
      </c>
      <c r="BJ333" s="13" t="s">
        <v>74</v>
      </c>
      <c r="BK333" s="14">
        <f>ROUND(I333*H333,2)</f>
        <v>0</v>
      </c>
      <c r="BL333" s="13" t="s">
        <v>135</v>
      </c>
      <c r="BM333" s="12" t="s">
        <v>545</v>
      </c>
    </row>
    <row r="334" spans="1:65" s="5" customFormat="1" ht="16.5" customHeight="1" x14ac:dyDescent="0.2">
      <c r="A334" s="105"/>
      <c r="B334" s="4"/>
      <c r="C334" s="33" t="s">
        <v>427</v>
      </c>
      <c r="D334" s="33" t="s">
        <v>131</v>
      </c>
      <c r="E334" s="34" t="s">
        <v>546</v>
      </c>
      <c r="F334" s="7" t="s">
        <v>547</v>
      </c>
      <c r="G334" s="35" t="s">
        <v>134</v>
      </c>
      <c r="H334" s="36">
        <v>14.212</v>
      </c>
      <c r="I334" s="1"/>
      <c r="J334" s="6">
        <f>ROUND(I334*H334,2)</f>
        <v>0</v>
      </c>
      <c r="K334" s="7" t="s">
        <v>1</v>
      </c>
      <c r="L334" s="4"/>
      <c r="M334" s="8" t="s">
        <v>1</v>
      </c>
      <c r="N334" s="9" t="s">
        <v>33</v>
      </c>
      <c r="O334" s="10">
        <v>0</v>
      </c>
      <c r="P334" s="10">
        <f>O334*H334</f>
        <v>0</v>
      </c>
      <c r="Q334" s="10">
        <v>0</v>
      </c>
      <c r="R334" s="10">
        <f>Q334*H334</f>
        <v>0</v>
      </c>
      <c r="S334" s="10">
        <v>0</v>
      </c>
      <c r="T334" s="11">
        <f>S334*H334</f>
        <v>0</v>
      </c>
      <c r="U334" s="105"/>
      <c r="V334" s="105"/>
      <c r="W334" s="105"/>
      <c r="X334" s="105"/>
      <c r="Y334" s="105"/>
      <c r="Z334" s="105"/>
      <c r="AA334" s="105"/>
      <c r="AB334" s="105"/>
      <c r="AC334" s="105"/>
      <c r="AD334" s="105"/>
      <c r="AE334" s="105"/>
      <c r="AR334" s="12" t="s">
        <v>135</v>
      </c>
      <c r="AT334" s="12" t="s">
        <v>131</v>
      </c>
      <c r="AU334" s="12" t="s">
        <v>74</v>
      </c>
      <c r="AY334" s="13" t="s">
        <v>130</v>
      </c>
      <c r="BE334" s="14">
        <f>IF(N334="základní",J334,0)</f>
        <v>0</v>
      </c>
      <c r="BF334" s="14">
        <f>IF(N334="snížená",J334,0)</f>
        <v>0</v>
      </c>
      <c r="BG334" s="14">
        <f>IF(N334="zákl. přenesená",J334,0)</f>
        <v>0</v>
      </c>
      <c r="BH334" s="14">
        <f>IF(N334="sníž. přenesená",J334,0)</f>
        <v>0</v>
      </c>
      <c r="BI334" s="14">
        <f>IF(N334="nulová",J334,0)</f>
        <v>0</v>
      </c>
      <c r="BJ334" s="13" t="s">
        <v>74</v>
      </c>
      <c r="BK334" s="14">
        <f>ROUND(I334*H334,2)</f>
        <v>0</v>
      </c>
      <c r="BL334" s="13" t="s">
        <v>135</v>
      </c>
      <c r="BM334" s="12" t="s">
        <v>548</v>
      </c>
    </row>
    <row r="335" spans="1:65" s="152" customFormat="1" x14ac:dyDescent="0.2">
      <c r="B335" s="210"/>
      <c r="D335" s="37" t="s">
        <v>340</v>
      </c>
      <c r="E335" s="161" t="s">
        <v>1</v>
      </c>
      <c r="F335" s="211" t="s">
        <v>549</v>
      </c>
      <c r="H335" s="212"/>
      <c r="L335" s="210"/>
      <c r="M335" s="159"/>
      <c r="N335" s="154"/>
      <c r="O335" s="154"/>
      <c r="P335" s="154"/>
      <c r="Q335" s="154"/>
      <c r="R335" s="154"/>
      <c r="S335" s="154"/>
      <c r="T335" s="160"/>
      <c r="AT335" s="161" t="s">
        <v>340</v>
      </c>
      <c r="AU335" s="161" t="s">
        <v>74</v>
      </c>
      <c r="AV335" s="152" t="s">
        <v>76</v>
      </c>
      <c r="AW335" s="152" t="s">
        <v>25</v>
      </c>
      <c r="AX335" s="152" t="s">
        <v>68</v>
      </c>
      <c r="AY335" s="161" t="s">
        <v>130</v>
      </c>
    </row>
    <row r="336" spans="1:65" s="162" customFormat="1" x14ac:dyDescent="0.2">
      <c r="B336" s="213"/>
      <c r="D336" s="37" t="s">
        <v>340</v>
      </c>
      <c r="E336" s="171" t="s">
        <v>1</v>
      </c>
      <c r="F336" s="214" t="s">
        <v>342</v>
      </c>
      <c r="H336" s="215">
        <v>14.212</v>
      </c>
      <c r="L336" s="213"/>
      <c r="M336" s="169"/>
      <c r="N336" s="164"/>
      <c r="O336" s="164"/>
      <c r="P336" s="164"/>
      <c r="Q336" s="164"/>
      <c r="R336" s="164"/>
      <c r="S336" s="164"/>
      <c r="T336" s="170"/>
      <c r="AT336" s="171" t="s">
        <v>340</v>
      </c>
      <c r="AU336" s="171" t="s">
        <v>74</v>
      </c>
      <c r="AV336" s="162" t="s">
        <v>135</v>
      </c>
      <c r="AW336" s="162" t="s">
        <v>25</v>
      </c>
      <c r="AX336" s="162" t="s">
        <v>74</v>
      </c>
      <c r="AY336" s="171" t="s">
        <v>130</v>
      </c>
    </row>
    <row r="337" spans="1:65" s="5" customFormat="1" ht="16.5" customHeight="1" x14ac:dyDescent="0.2">
      <c r="A337" s="105"/>
      <c r="B337" s="4"/>
      <c r="C337" s="33" t="s">
        <v>550</v>
      </c>
      <c r="D337" s="33" t="s">
        <v>131</v>
      </c>
      <c r="E337" s="34" t="s">
        <v>551</v>
      </c>
      <c r="F337" s="7" t="s">
        <v>552</v>
      </c>
      <c r="G337" s="35" t="s">
        <v>134</v>
      </c>
      <c r="H337" s="36">
        <v>14.212</v>
      </c>
      <c r="I337" s="1"/>
      <c r="J337" s="6">
        <f>ROUND(I337*H337,2)</f>
        <v>0</v>
      </c>
      <c r="K337" s="7" t="s">
        <v>1</v>
      </c>
      <c r="L337" s="4"/>
      <c r="M337" s="8" t="s">
        <v>1</v>
      </c>
      <c r="N337" s="9" t="s">
        <v>33</v>
      </c>
      <c r="O337" s="10">
        <v>0</v>
      </c>
      <c r="P337" s="10">
        <f>O337*H337</f>
        <v>0</v>
      </c>
      <c r="Q337" s="10">
        <v>0</v>
      </c>
      <c r="R337" s="10">
        <f>Q337*H337</f>
        <v>0</v>
      </c>
      <c r="S337" s="10">
        <v>0</v>
      </c>
      <c r="T337" s="11">
        <f>S337*H337</f>
        <v>0</v>
      </c>
      <c r="U337" s="105"/>
      <c r="V337" s="105"/>
      <c r="W337" s="105"/>
      <c r="X337" s="105"/>
      <c r="Y337" s="105"/>
      <c r="Z337" s="105"/>
      <c r="AA337" s="105"/>
      <c r="AB337" s="105"/>
      <c r="AC337" s="105"/>
      <c r="AD337" s="105"/>
      <c r="AE337" s="105"/>
      <c r="AR337" s="12" t="s">
        <v>135</v>
      </c>
      <c r="AT337" s="12" t="s">
        <v>131</v>
      </c>
      <c r="AU337" s="12" t="s">
        <v>74</v>
      </c>
      <c r="AY337" s="13" t="s">
        <v>130</v>
      </c>
      <c r="BE337" s="14">
        <f>IF(N337="základní",J337,0)</f>
        <v>0</v>
      </c>
      <c r="BF337" s="14">
        <f>IF(N337="snížená",J337,0)</f>
        <v>0</v>
      </c>
      <c r="BG337" s="14">
        <f>IF(N337="zákl. přenesená",J337,0)</f>
        <v>0</v>
      </c>
      <c r="BH337" s="14">
        <f>IF(N337="sníž. přenesená",J337,0)</f>
        <v>0</v>
      </c>
      <c r="BI337" s="14">
        <f>IF(N337="nulová",J337,0)</f>
        <v>0</v>
      </c>
      <c r="BJ337" s="13" t="s">
        <v>74</v>
      </c>
      <c r="BK337" s="14">
        <f>ROUND(I337*H337,2)</f>
        <v>0</v>
      </c>
      <c r="BL337" s="13" t="s">
        <v>135</v>
      </c>
      <c r="BM337" s="12" t="s">
        <v>553</v>
      </c>
    </row>
    <row r="338" spans="1:65" s="5" customFormat="1" ht="16.5" customHeight="1" x14ac:dyDescent="0.2">
      <c r="A338" s="105"/>
      <c r="B338" s="4"/>
      <c r="C338" s="33" t="s">
        <v>429</v>
      </c>
      <c r="D338" s="33" t="s">
        <v>131</v>
      </c>
      <c r="E338" s="34" t="s">
        <v>447</v>
      </c>
      <c r="F338" s="7" t="s">
        <v>346</v>
      </c>
      <c r="G338" s="35" t="s">
        <v>134</v>
      </c>
      <c r="H338" s="36">
        <v>31.844000000000001</v>
      </c>
      <c r="I338" s="1"/>
      <c r="J338" s="6">
        <f>ROUND(I338*H338,2)</f>
        <v>0</v>
      </c>
      <c r="K338" s="7" t="s">
        <v>1</v>
      </c>
      <c r="L338" s="4"/>
      <c r="M338" s="8" t="s">
        <v>1</v>
      </c>
      <c r="N338" s="9" t="s">
        <v>33</v>
      </c>
      <c r="O338" s="10">
        <v>0</v>
      </c>
      <c r="P338" s="10">
        <f>O338*H338</f>
        <v>0</v>
      </c>
      <c r="Q338" s="10">
        <v>0</v>
      </c>
      <c r="R338" s="10">
        <f>Q338*H338</f>
        <v>0</v>
      </c>
      <c r="S338" s="10">
        <v>0</v>
      </c>
      <c r="T338" s="11">
        <f>S338*H338</f>
        <v>0</v>
      </c>
      <c r="U338" s="105"/>
      <c r="V338" s="105"/>
      <c r="W338" s="105"/>
      <c r="X338" s="105"/>
      <c r="Y338" s="105"/>
      <c r="Z338" s="105"/>
      <c r="AA338" s="105"/>
      <c r="AB338" s="105"/>
      <c r="AC338" s="105"/>
      <c r="AD338" s="105"/>
      <c r="AE338" s="105"/>
      <c r="AR338" s="12" t="s">
        <v>135</v>
      </c>
      <c r="AT338" s="12" t="s">
        <v>131</v>
      </c>
      <c r="AU338" s="12" t="s">
        <v>74</v>
      </c>
      <c r="AY338" s="13" t="s">
        <v>130</v>
      </c>
      <c r="BE338" s="14">
        <f>IF(N338="základní",J338,0)</f>
        <v>0</v>
      </c>
      <c r="BF338" s="14">
        <f>IF(N338="snížená",J338,0)</f>
        <v>0</v>
      </c>
      <c r="BG338" s="14">
        <f>IF(N338="zákl. přenesená",J338,0)</f>
        <v>0</v>
      </c>
      <c r="BH338" s="14">
        <f>IF(N338="sníž. přenesená",J338,0)</f>
        <v>0</v>
      </c>
      <c r="BI338" s="14">
        <f>IF(N338="nulová",J338,0)</f>
        <v>0</v>
      </c>
      <c r="BJ338" s="13" t="s">
        <v>74</v>
      </c>
      <c r="BK338" s="14">
        <f>ROUND(I338*H338,2)</f>
        <v>0</v>
      </c>
      <c r="BL338" s="13" t="s">
        <v>135</v>
      </c>
      <c r="BM338" s="12" t="s">
        <v>554</v>
      </c>
    </row>
    <row r="339" spans="1:65" s="152" customFormat="1" x14ac:dyDescent="0.2">
      <c r="B339" s="210"/>
      <c r="D339" s="37" t="s">
        <v>340</v>
      </c>
      <c r="E339" s="161" t="s">
        <v>1</v>
      </c>
      <c r="F339" s="211" t="s">
        <v>555</v>
      </c>
      <c r="H339" s="212"/>
      <c r="L339" s="210"/>
      <c r="M339" s="159"/>
      <c r="N339" s="154"/>
      <c r="O339" s="154"/>
      <c r="P339" s="154"/>
      <c r="Q339" s="154"/>
      <c r="R339" s="154"/>
      <c r="S339" s="154"/>
      <c r="T339" s="160"/>
      <c r="AT339" s="161" t="s">
        <v>340</v>
      </c>
      <c r="AU339" s="161" t="s">
        <v>74</v>
      </c>
      <c r="AV339" s="152" t="s">
        <v>76</v>
      </c>
      <c r="AW339" s="152" t="s">
        <v>25</v>
      </c>
      <c r="AX339" s="152" t="s">
        <v>68</v>
      </c>
      <c r="AY339" s="161" t="s">
        <v>130</v>
      </c>
    </row>
    <row r="340" spans="1:65" s="162" customFormat="1" x14ac:dyDescent="0.2">
      <c r="B340" s="213"/>
      <c r="D340" s="37" t="s">
        <v>340</v>
      </c>
      <c r="E340" s="171" t="s">
        <v>1</v>
      </c>
      <c r="F340" s="214" t="s">
        <v>342</v>
      </c>
      <c r="H340" s="215">
        <v>31.844000000000001</v>
      </c>
      <c r="L340" s="213"/>
      <c r="M340" s="169"/>
      <c r="N340" s="164"/>
      <c r="O340" s="164"/>
      <c r="P340" s="164"/>
      <c r="Q340" s="164"/>
      <c r="R340" s="164"/>
      <c r="S340" s="164"/>
      <c r="T340" s="170"/>
      <c r="AT340" s="171" t="s">
        <v>340</v>
      </c>
      <c r="AU340" s="171" t="s">
        <v>74</v>
      </c>
      <c r="AV340" s="162" t="s">
        <v>135</v>
      </c>
      <c r="AW340" s="162" t="s">
        <v>25</v>
      </c>
      <c r="AX340" s="162" t="s">
        <v>74</v>
      </c>
      <c r="AY340" s="171" t="s">
        <v>130</v>
      </c>
    </row>
    <row r="341" spans="1:65" s="5" customFormat="1" ht="16.5" customHeight="1" x14ac:dyDescent="0.2">
      <c r="A341" s="105"/>
      <c r="B341" s="4"/>
      <c r="C341" s="33" t="s">
        <v>556</v>
      </c>
      <c r="D341" s="33" t="s">
        <v>131</v>
      </c>
      <c r="E341" s="34" t="s">
        <v>451</v>
      </c>
      <c r="F341" s="7" t="s">
        <v>349</v>
      </c>
      <c r="G341" s="35" t="s">
        <v>134</v>
      </c>
      <c r="H341" s="36">
        <v>31.844000000000001</v>
      </c>
      <c r="I341" s="1"/>
      <c r="J341" s="6">
        <f>ROUND(I341*H341,2)</f>
        <v>0</v>
      </c>
      <c r="K341" s="7" t="s">
        <v>1</v>
      </c>
      <c r="L341" s="4"/>
      <c r="M341" s="8" t="s">
        <v>1</v>
      </c>
      <c r="N341" s="9" t="s">
        <v>33</v>
      </c>
      <c r="O341" s="10">
        <v>0</v>
      </c>
      <c r="P341" s="10">
        <f>O341*H341</f>
        <v>0</v>
      </c>
      <c r="Q341" s="10">
        <v>0</v>
      </c>
      <c r="R341" s="10">
        <f>Q341*H341</f>
        <v>0</v>
      </c>
      <c r="S341" s="10">
        <v>0</v>
      </c>
      <c r="T341" s="11">
        <f>S341*H341</f>
        <v>0</v>
      </c>
      <c r="U341" s="105"/>
      <c r="V341" s="105"/>
      <c r="W341" s="105"/>
      <c r="X341" s="105"/>
      <c r="Y341" s="105"/>
      <c r="Z341" s="105"/>
      <c r="AA341" s="105"/>
      <c r="AB341" s="105"/>
      <c r="AC341" s="105"/>
      <c r="AD341" s="105"/>
      <c r="AE341" s="105"/>
      <c r="AR341" s="12" t="s">
        <v>135</v>
      </c>
      <c r="AT341" s="12" t="s">
        <v>131</v>
      </c>
      <c r="AU341" s="12" t="s">
        <v>74</v>
      </c>
      <c r="AY341" s="13" t="s">
        <v>130</v>
      </c>
      <c r="BE341" s="14">
        <f>IF(N341="základní",J341,0)</f>
        <v>0</v>
      </c>
      <c r="BF341" s="14">
        <f>IF(N341="snížená",J341,0)</f>
        <v>0</v>
      </c>
      <c r="BG341" s="14">
        <f>IF(N341="zákl. přenesená",J341,0)</f>
        <v>0</v>
      </c>
      <c r="BH341" s="14">
        <f>IF(N341="sníž. přenesená",J341,0)</f>
        <v>0</v>
      </c>
      <c r="BI341" s="14">
        <f>IF(N341="nulová",J341,0)</f>
        <v>0</v>
      </c>
      <c r="BJ341" s="13" t="s">
        <v>74</v>
      </c>
      <c r="BK341" s="14">
        <f>ROUND(I341*H341,2)</f>
        <v>0</v>
      </c>
      <c r="BL341" s="13" t="s">
        <v>135</v>
      </c>
      <c r="BM341" s="12" t="s">
        <v>557</v>
      </c>
    </row>
    <row r="342" spans="1:65" s="20" customFormat="1" ht="25.9" customHeight="1" x14ac:dyDescent="0.2">
      <c r="B342" s="21"/>
      <c r="D342" s="26" t="s">
        <v>67</v>
      </c>
      <c r="E342" s="39" t="s">
        <v>558</v>
      </c>
      <c r="F342" s="39" t="s">
        <v>559</v>
      </c>
      <c r="J342" s="19">
        <f>BK342</f>
        <v>0</v>
      </c>
      <c r="L342" s="21"/>
      <c r="M342" s="22"/>
      <c r="N342" s="23"/>
      <c r="O342" s="23"/>
      <c r="P342" s="24">
        <f>SUM(P345:P351)</f>
        <v>0</v>
      </c>
      <c r="Q342" s="23"/>
      <c r="R342" s="24">
        <f>SUM(R345:R351)</f>
        <v>0</v>
      </c>
      <c r="S342" s="23"/>
      <c r="T342" s="25">
        <f>SUM(T345:T351)</f>
        <v>0</v>
      </c>
      <c r="AR342" s="26" t="s">
        <v>74</v>
      </c>
      <c r="AT342" s="27" t="s">
        <v>67</v>
      </c>
      <c r="AU342" s="27" t="s">
        <v>68</v>
      </c>
      <c r="AY342" s="26" t="s">
        <v>130</v>
      </c>
      <c r="BK342" s="28">
        <f>SUM(BK345:BK351)</f>
        <v>0</v>
      </c>
    </row>
    <row r="343" spans="1:65" s="5" customFormat="1" ht="10.15" customHeight="1" x14ac:dyDescent="0.2">
      <c r="B343" s="45"/>
      <c r="D343" s="216" t="s">
        <v>340</v>
      </c>
      <c r="F343" s="116" t="s">
        <v>1185</v>
      </c>
      <c r="G343" s="117"/>
      <c r="K343" s="181"/>
      <c r="L343" s="94"/>
      <c r="M343" s="52"/>
      <c r="P343" s="126" t="s">
        <v>148</v>
      </c>
      <c r="Q343" s="126" t="s">
        <v>74</v>
      </c>
    </row>
    <row r="344" spans="1:65" s="5" customFormat="1" ht="10.15" customHeight="1" x14ac:dyDescent="0.2">
      <c r="B344" s="45"/>
      <c r="D344" s="216" t="s">
        <v>340</v>
      </c>
      <c r="F344" s="116" t="s">
        <v>1186</v>
      </c>
      <c r="H344" s="117">
        <f>(1.07*0.83)+(1.07*0.04)</f>
        <v>0.93090000000000006</v>
      </c>
      <c r="K344" s="181"/>
      <c r="L344" s="94"/>
      <c r="M344" s="52"/>
      <c r="P344" s="126" t="s">
        <v>148</v>
      </c>
      <c r="Q344" s="126" t="s">
        <v>74</v>
      </c>
    </row>
    <row r="345" spans="1:65" s="5" customFormat="1" ht="16.5" customHeight="1" x14ac:dyDescent="0.2">
      <c r="A345" s="105"/>
      <c r="B345" s="4"/>
      <c r="C345" s="33" t="s">
        <v>434</v>
      </c>
      <c r="D345" s="33" t="s">
        <v>131</v>
      </c>
      <c r="E345" s="34" t="s">
        <v>560</v>
      </c>
      <c r="F345" s="7" t="s">
        <v>487</v>
      </c>
      <c r="G345" s="35" t="s">
        <v>157</v>
      </c>
      <c r="H345" s="36">
        <v>1</v>
      </c>
      <c r="I345" s="1"/>
      <c r="J345" s="6">
        <f t="shared" ref="J345:J351" si="30">ROUND(I345*H345,2)</f>
        <v>0</v>
      </c>
      <c r="K345" s="7" t="s">
        <v>1</v>
      </c>
      <c r="L345" s="4"/>
      <c r="M345" s="8" t="s">
        <v>1</v>
      </c>
      <c r="N345" s="9" t="s">
        <v>33</v>
      </c>
      <c r="O345" s="10">
        <v>0</v>
      </c>
      <c r="P345" s="10">
        <f t="shared" ref="P345:P351" si="31">O345*H345</f>
        <v>0</v>
      </c>
      <c r="Q345" s="10">
        <v>0</v>
      </c>
      <c r="R345" s="10">
        <f t="shared" ref="R345:R351" si="32">Q345*H345</f>
        <v>0</v>
      </c>
      <c r="S345" s="10">
        <v>0</v>
      </c>
      <c r="T345" s="11">
        <f t="shared" ref="T345:T351" si="33">S345*H345</f>
        <v>0</v>
      </c>
      <c r="U345" s="105"/>
      <c r="V345" s="105"/>
      <c r="W345" s="105"/>
      <c r="X345" s="105"/>
      <c r="Y345" s="105"/>
      <c r="Z345" s="105"/>
      <c r="AA345" s="105"/>
      <c r="AB345" s="105"/>
      <c r="AC345" s="105"/>
      <c r="AD345" s="105"/>
      <c r="AE345" s="105"/>
      <c r="AR345" s="12" t="s">
        <v>135</v>
      </c>
      <c r="AT345" s="12" t="s">
        <v>131</v>
      </c>
      <c r="AU345" s="12" t="s">
        <v>74</v>
      </c>
      <c r="AY345" s="13" t="s">
        <v>130</v>
      </c>
      <c r="BE345" s="14">
        <f t="shared" ref="BE345:BE351" si="34">IF(N345="základní",J345,0)</f>
        <v>0</v>
      </c>
      <c r="BF345" s="14">
        <f t="shared" ref="BF345:BF351" si="35">IF(N345="snížená",J345,0)</f>
        <v>0</v>
      </c>
      <c r="BG345" s="14">
        <f t="shared" ref="BG345:BG351" si="36">IF(N345="zákl. přenesená",J345,0)</f>
        <v>0</v>
      </c>
      <c r="BH345" s="14">
        <f t="shared" ref="BH345:BH351" si="37">IF(N345="sníž. přenesená",J345,0)</f>
        <v>0</v>
      </c>
      <c r="BI345" s="14">
        <f t="shared" ref="BI345:BI351" si="38">IF(N345="nulová",J345,0)</f>
        <v>0</v>
      </c>
      <c r="BJ345" s="13" t="s">
        <v>74</v>
      </c>
      <c r="BK345" s="14">
        <f t="shared" ref="BK345:BK351" si="39">ROUND(I345*H345,2)</f>
        <v>0</v>
      </c>
      <c r="BL345" s="13" t="s">
        <v>135</v>
      </c>
      <c r="BM345" s="12" t="s">
        <v>561</v>
      </c>
    </row>
    <row r="346" spans="1:65" s="5" customFormat="1" ht="16.5" customHeight="1" x14ac:dyDescent="0.2">
      <c r="A346" s="105"/>
      <c r="B346" s="4"/>
      <c r="C346" s="33" t="s">
        <v>562</v>
      </c>
      <c r="D346" s="33" t="s">
        <v>131</v>
      </c>
      <c r="E346" s="34" t="s">
        <v>563</v>
      </c>
      <c r="F346" s="7" t="s">
        <v>564</v>
      </c>
      <c r="G346" s="35" t="s">
        <v>157</v>
      </c>
      <c r="H346" s="36">
        <v>1</v>
      </c>
      <c r="I346" s="1"/>
      <c r="J346" s="6">
        <f t="shared" si="30"/>
        <v>0</v>
      </c>
      <c r="K346" s="7" t="s">
        <v>1</v>
      </c>
      <c r="L346" s="4"/>
      <c r="M346" s="8" t="s">
        <v>1</v>
      </c>
      <c r="N346" s="9" t="s">
        <v>33</v>
      </c>
      <c r="O346" s="10">
        <v>0</v>
      </c>
      <c r="P346" s="10">
        <f t="shared" si="31"/>
        <v>0</v>
      </c>
      <c r="Q346" s="10">
        <v>0</v>
      </c>
      <c r="R346" s="10">
        <f t="shared" si="32"/>
        <v>0</v>
      </c>
      <c r="S346" s="10">
        <v>0</v>
      </c>
      <c r="T346" s="11">
        <f t="shared" si="33"/>
        <v>0</v>
      </c>
      <c r="U346" s="105"/>
      <c r="V346" s="105"/>
      <c r="W346" s="105"/>
      <c r="X346" s="105"/>
      <c r="Y346" s="105"/>
      <c r="Z346" s="105"/>
      <c r="AA346" s="105"/>
      <c r="AB346" s="105"/>
      <c r="AC346" s="105"/>
      <c r="AD346" s="105"/>
      <c r="AE346" s="105"/>
      <c r="AR346" s="12" t="s">
        <v>135</v>
      </c>
      <c r="AT346" s="12" t="s">
        <v>131</v>
      </c>
      <c r="AU346" s="12" t="s">
        <v>74</v>
      </c>
      <c r="AY346" s="13" t="s">
        <v>130</v>
      </c>
      <c r="BE346" s="14">
        <f t="shared" si="34"/>
        <v>0</v>
      </c>
      <c r="BF346" s="14">
        <f t="shared" si="35"/>
        <v>0</v>
      </c>
      <c r="BG346" s="14">
        <f t="shared" si="36"/>
        <v>0</v>
      </c>
      <c r="BH346" s="14">
        <f t="shared" si="37"/>
        <v>0</v>
      </c>
      <c r="BI346" s="14">
        <f t="shared" si="38"/>
        <v>0</v>
      </c>
      <c r="BJ346" s="13" t="s">
        <v>74</v>
      </c>
      <c r="BK346" s="14">
        <f t="shared" si="39"/>
        <v>0</v>
      </c>
      <c r="BL346" s="13" t="s">
        <v>135</v>
      </c>
      <c r="BM346" s="12" t="s">
        <v>565</v>
      </c>
    </row>
    <row r="347" spans="1:65" s="5" customFormat="1" ht="16.5" customHeight="1" x14ac:dyDescent="0.2">
      <c r="A347" s="105"/>
      <c r="B347" s="4"/>
      <c r="C347" s="33" t="s">
        <v>436</v>
      </c>
      <c r="D347" s="33" t="s">
        <v>131</v>
      </c>
      <c r="E347" s="34" t="s">
        <v>566</v>
      </c>
      <c r="F347" s="7" t="s">
        <v>494</v>
      </c>
      <c r="G347" s="35" t="s">
        <v>157</v>
      </c>
      <c r="H347" s="36">
        <v>1</v>
      </c>
      <c r="I347" s="1"/>
      <c r="J347" s="6">
        <f t="shared" si="30"/>
        <v>0</v>
      </c>
      <c r="K347" s="7" t="s">
        <v>1</v>
      </c>
      <c r="L347" s="4"/>
      <c r="M347" s="8" t="s">
        <v>1</v>
      </c>
      <c r="N347" s="9" t="s">
        <v>33</v>
      </c>
      <c r="O347" s="10">
        <v>0</v>
      </c>
      <c r="P347" s="10">
        <f t="shared" si="31"/>
        <v>0</v>
      </c>
      <c r="Q347" s="10">
        <v>0</v>
      </c>
      <c r="R347" s="10">
        <f t="shared" si="32"/>
        <v>0</v>
      </c>
      <c r="S347" s="10">
        <v>0</v>
      </c>
      <c r="T347" s="11">
        <f t="shared" si="33"/>
        <v>0</v>
      </c>
      <c r="U347" s="105"/>
      <c r="V347" s="105"/>
      <c r="W347" s="105"/>
      <c r="X347" s="105"/>
      <c r="Y347" s="105"/>
      <c r="Z347" s="105"/>
      <c r="AA347" s="105"/>
      <c r="AB347" s="105"/>
      <c r="AC347" s="105"/>
      <c r="AD347" s="105"/>
      <c r="AE347" s="105"/>
      <c r="AR347" s="12" t="s">
        <v>135</v>
      </c>
      <c r="AT347" s="12" t="s">
        <v>131</v>
      </c>
      <c r="AU347" s="12" t="s">
        <v>74</v>
      </c>
      <c r="AY347" s="13" t="s">
        <v>130</v>
      </c>
      <c r="BE347" s="14">
        <f t="shared" si="34"/>
        <v>0</v>
      </c>
      <c r="BF347" s="14">
        <f t="shared" si="35"/>
        <v>0</v>
      </c>
      <c r="BG347" s="14">
        <f t="shared" si="36"/>
        <v>0</v>
      </c>
      <c r="BH347" s="14">
        <f t="shared" si="37"/>
        <v>0</v>
      </c>
      <c r="BI347" s="14">
        <f t="shared" si="38"/>
        <v>0</v>
      </c>
      <c r="BJ347" s="13" t="s">
        <v>74</v>
      </c>
      <c r="BK347" s="14">
        <f t="shared" si="39"/>
        <v>0</v>
      </c>
      <c r="BL347" s="13" t="s">
        <v>135</v>
      </c>
      <c r="BM347" s="12" t="s">
        <v>567</v>
      </c>
    </row>
    <row r="348" spans="1:65" s="5" customFormat="1" ht="16.5" customHeight="1" x14ac:dyDescent="0.2">
      <c r="A348" s="105"/>
      <c r="B348" s="4"/>
      <c r="C348" s="33" t="s">
        <v>568</v>
      </c>
      <c r="D348" s="33" t="s">
        <v>131</v>
      </c>
      <c r="E348" s="34" t="s">
        <v>569</v>
      </c>
      <c r="F348" s="7" t="s">
        <v>497</v>
      </c>
      <c r="G348" s="35" t="s">
        <v>157</v>
      </c>
      <c r="H348" s="36">
        <v>1</v>
      </c>
      <c r="I348" s="1"/>
      <c r="J348" s="6">
        <f t="shared" si="30"/>
        <v>0</v>
      </c>
      <c r="K348" s="7" t="s">
        <v>1</v>
      </c>
      <c r="L348" s="4"/>
      <c r="M348" s="8" t="s">
        <v>1</v>
      </c>
      <c r="N348" s="9" t="s">
        <v>33</v>
      </c>
      <c r="O348" s="10">
        <v>0</v>
      </c>
      <c r="P348" s="10">
        <f t="shared" si="31"/>
        <v>0</v>
      </c>
      <c r="Q348" s="10">
        <v>0</v>
      </c>
      <c r="R348" s="10">
        <f t="shared" si="32"/>
        <v>0</v>
      </c>
      <c r="S348" s="10">
        <v>0</v>
      </c>
      <c r="T348" s="11">
        <f t="shared" si="33"/>
        <v>0</v>
      </c>
      <c r="U348" s="105"/>
      <c r="V348" s="105"/>
      <c r="W348" s="105"/>
      <c r="X348" s="105"/>
      <c r="Y348" s="105"/>
      <c r="Z348" s="105"/>
      <c r="AA348" s="105"/>
      <c r="AB348" s="105"/>
      <c r="AC348" s="105"/>
      <c r="AD348" s="105"/>
      <c r="AE348" s="105"/>
      <c r="AR348" s="12" t="s">
        <v>135</v>
      </c>
      <c r="AT348" s="12" t="s">
        <v>131</v>
      </c>
      <c r="AU348" s="12" t="s">
        <v>74</v>
      </c>
      <c r="AY348" s="13" t="s">
        <v>130</v>
      </c>
      <c r="BE348" s="14">
        <f t="shared" si="34"/>
        <v>0</v>
      </c>
      <c r="BF348" s="14">
        <f t="shared" si="35"/>
        <v>0</v>
      </c>
      <c r="BG348" s="14">
        <f t="shared" si="36"/>
        <v>0</v>
      </c>
      <c r="BH348" s="14">
        <f t="shared" si="37"/>
        <v>0</v>
      </c>
      <c r="BI348" s="14">
        <f t="shared" si="38"/>
        <v>0</v>
      </c>
      <c r="BJ348" s="13" t="s">
        <v>74</v>
      </c>
      <c r="BK348" s="14">
        <f t="shared" si="39"/>
        <v>0</v>
      </c>
      <c r="BL348" s="13" t="s">
        <v>135</v>
      </c>
      <c r="BM348" s="12" t="s">
        <v>570</v>
      </c>
    </row>
    <row r="349" spans="1:65" s="5" customFormat="1" ht="16.5" customHeight="1" x14ac:dyDescent="0.2">
      <c r="A349" s="105"/>
      <c r="B349" s="4"/>
      <c r="C349" s="33" t="s">
        <v>438</v>
      </c>
      <c r="D349" s="33" t="s">
        <v>131</v>
      </c>
      <c r="E349" s="34" t="s">
        <v>457</v>
      </c>
      <c r="F349" s="7" t="s">
        <v>337</v>
      </c>
      <c r="G349" s="35" t="s">
        <v>157</v>
      </c>
      <c r="H349" s="36">
        <v>1</v>
      </c>
      <c r="I349" s="1"/>
      <c r="J349" s="6">
        <f t="shared" si="30"/>
        <v>0</v>
      </c>
      <c r="K349" s="7" t="s">
        <v>1</v>
      </c>
      <c r="L349" s="4"/>
      <c r="M349" s="8" t="s">
        <v>1</v>
      </c>
      <c r="N349" s="9" t="s">
        <v>33</v>
      </c>
      <c r="O349" s="10">
        <v>0</v>
      </c>
      <c r="P349" s="10">
        <f t="shared" si="31"/>
        <v>0</v>
      </c>
      <c r="Q349" s="10">
        <v>0</v>
      </c>
      <c r="R349" s="10">
        <f t="shared" si="32"/>
        <v>0</v>
      </c>
      <c r="S349" s="10">
        <v>0</v>
      </c>
      <c r="T349" s="11">
        <f t="shared" si="33"/>
        <v>0</v>
      </c>
      <c r="U349" s="105"/>
      <c r="V349" s="105"/>
      <c r="W349" s="105"/>
      <c r="X349" s="105"/>
      <c r="Y349" s="105"/>
      <c r="Z349" s="105"/>
      <c r="AA349" s="105"/>
      <c r="AB349" s="105"/>
      <c r="AC349" s="105"/>
      <c r="AD349" s="105"/>
      <c r="AE349" s="105"/>
      <c r="AR349" s="12" t="s">
        <v>135</v>
      </c>
      <c r="AT349" s="12" t="s">
        <v>131</v>
      </c>
      <c r="AU349" s="12" t="s">
        <v>74</v>
      </c>
      <c r="AY349" s="13" t="s">
        <v>130</v>
      </c>
      <c r="BE349" s="14">
        <f t="shared" si="34"/>
        <v>0</v>
      </c>
      <c r="BF349" s="14">
        <f t="shared" si="35"/>
        <v>0</v>
      </c>
      <c r="BG349" s="14">
        <f t="shared" si="36"/>
        <v>0</v>
      </c>
      <c r="BH349" s="14">
        <f t="shared" si="37"/>
        <v>0</v>
      </c>
      <c r="BI349" s="14">
        <f t="shared" si="38"/>
        <v>0</v>
      </c>
      <c r="BJ349" s="13" t="s">
        <v>74</v>
      </c>
      <c r="BK349" s="14">
        <f t="shared" si="39"/>
        <v>0</v>
      </c>
      <c r="BL349" s="13" t="s">
        <v>135</v>
      </c>
      <c r="BM349" s="12" t="s">
        <v>571</v>
      </c>
    </row>
    <row r="350" spans="1:65" s="5" customFormat="1" ht="16.5" customHeight="1" x14ac:dyDescent="0.2">
      <c r="A350" s="105"/>
      <c r="B350" s="4"/>
      <c r="C350" s="33" t="s">
        <v>572</v>
      </c>
      <c r="D350" s="33" t="s">
        <v>131</v>
      </c>
      <c r="E350" s="34" t="s">
        <v>142</v>
      </c>
      <c r="F350" s="7" t="s">
        <v>143</v>
      </c>
      <c r="G350" s="35" t="s">
        <v>134</v>
      </c>
      <c r="H350" s="36">
        <v>0.93100000000000005</v>
      </c>
      <c r="I350" s="1"/>
      <c r="J350" s="6">
        <f t="shared" si="30"/>
        <v>0</v>
      </c>
      <c r="K350" s="7" t="s">
        <v>1</v>
      </c>
      <c r="L350" s="4"/>
      <c r="M350" s="8" t="s">
        <v>1</v>
      </c>
      <c r="N350" s="9" t="s">
        <v>33</v>
      </c>
      <c r="O350" s="10">
        <v>0</v>
      </c>
      <c r="P350" s="10">
        <f t="shared" si="31"/>
        <v>0</v>
      </c>
      <c r="Q350" s="10">
        <v>0</v>
      </c>
      <c r="R350" s="10">
        <f t="shared" si="32"/>
        <v>0</v>
      </c>
      <c r="S350" s="10">
        <v>0</v>
      </c>
      <c r="T350" s="11">
        <f t="shared" si="33"/>
        <v>0</v>
      </c>
      <c r="U350" s="105"/>
      <c r="V350" s="105"/>
      <c r="W350" s="105"/>
      <c r="X350" s="105"/>
      <c r="Y350" s="105"/>
      <c r="Z350" s="105"/>
      <c r="AA350" s="105"/>
      <c r="AB350" s="105"/>
      <c r="AC350" s="105"/>
      <c r="AD350" s="105"/>
      <c r="AE350" s="105"/>
      <c r="AR350" s="12" t="s">
        <v>135</v>
      </c>
      <c r="AT350" s="12" t="s">
        <v>131</v>
      </c>
      <c r="AU350" s="12" t="s">
        <v>74</v>
      </c>
      <c r="AY350" s="13" t="s">
        <v>130</v>
      </c>
      <c r="BE350" s="14">
        <f t="shared" si="34"/>
        <v>0</v>
      </c>
      <c r="BF350" s="14">
        <f t="shared" si="35"/>
        <v>0</v>
      </c>
      <c r="BG350" s="14">
        <f t="shared" si="36"/>
        <v>0</v>
      </c>
      <c r="BH350" s="14">
        <f t="shared" si="37"/>
        <v>0</v>
      </c>
      <c r="BI350" s="14">
        <f t="shared" si="38"/>
        <v>0</v>
      </c>
      <c r="BJ350" s="13" t="s">
        <v>74</v>
      </c>
      <c r="BK350" s="14">
        <f t="shared" si="39"/>
        <v>0</v>
      </c>
      <c r="BL350" s="13" t="s">
        <v>135</v>
      </c>
      <c r="BM350" s="12" t="s">
        <v>573</v>
      </c>
    </row>
    <row r="351" spans="1:65" s="5" customFormat="1" ht="16.5" customHeight="1" x14ac:dyDescent="0.2">
      <c r="A351" s="105"/>
      <c r="B351" s="4"/>
      <c r="C351" s="33" t="s">
        <v>441</v>
      </c>
      <c r="D351" s="33" t="s">
        <v>131</v>
      </c>
      <c r="E351" s="34" t="s">
        <v>461</v>
      </c>
      <c r="F351" s="7" t="s">
        <v>359</v>
      </c>
      <c r="G351" s="35" t="s">
        <v>134</v>
      </c>
      <c r="H351" s="36">
        <v>0.93100000000000005</v>
      </c>
      <c r="I351" s="1"/>
      <c r="J351" s="6">
        <f t="shared" si="30"/>
        <v>0</v>
      </c>
      <c r="K351" s="7" t="s">
        <v>1</v>
      </c>
      <c r="L351" s="4"/>
      <c r="M351" s="8" t="s">
        <v>1</v>
      </c>
      <c r="N351" s="9" t="s">
        <v>33</v>
      </c>
      <c r="O351" s="10">
        <v>0</v>
      </c>
      <c r="P351" s="10">
        <f t="shared" si="31"/>
        <v>0</v>
      </c>
      <c r="Q351" s="10">
        <v>0</v>
      </c>
      <c r="R351" s="10">
        <f t="shared" si="32"/>
        <v>0</v>
      </c>
      <c r="S351" s="10">
        <v>0</v>
      </c>
      <c r="T351" s="11">
        <f t="shared" si="33"/>
        <v>0</v>
      </c>
      <c r="U351" s="105"/>
      <c r="V351" s="105"/>
      <c r="W351" s="105"/>
      <c r="X351" s="105"/>
      <c r="Y351" s="105"/>
      <c r="Z351" s="105"/>
      <c r="AA351" s="105"/>
      <c r="AB351" s="105"/>
      <c r="AC351" s="105"/>
      <c r="AD351" s="105"/>
      <c r="AE351" s="105"/>
      <c r="AR351" s="12" t="s">
        <v>135</v>
      </c>
      <c r="AT351" s="12" t="s">
        <v>131</v>
      </c>
      <c r="AU351" s="12" t="s">
        <v>74</v>
      </c>
      <c r="AY351" s="13" t="s">
        <v>130</v>
      </c>
      <c r="BE351" s="14">
        <f t="shared" si="34"/>
        <v>0</v>
      </c>
      <c r="BF351" s="14">
        <f t="shared" si="35"/>
        <v>0</v>
      </c>
      <c r="BG351" s="14">
        <f t="shared" si="36"/>
        <v>0</v>
      </c>
      <c r="BH351" s="14">
        <f t="shared" si="37"/>
        <v>0</v>
      </c>
      <c r="BI351" s="14">
        <f t="shared" si="38"/>
        <v>0</v>
      </c>
      <c r="BJ351" s="13" t="s">
        <v>74</v>
      </c>
      <c r="BK351" s="14">
        <f t="shared" si="39"/>
        <v>0</v>
      </c>
      <c r="BL351" s="13" t="s">
        <v>135</v>
      </c>
      <c r="BM351" s="12" t="s">
        <v>574</v>
      </c>
    </row>
    <row r="352" spans="1:65" s="20" customFormat="1" ht="25.9" customHeight="1" x14ac:dyDescent="0.2">
      <c r="B352" s="21"/>
      <c r="D352" s="26" t="s">
        <v>67</v>
      </c>
      <c r="E352" s="39" t="s">
        <v>575</v>
      </c>
      <c r="F352" s="39" t="s">
        <v>576</v>
      </c>
      <c r="J352" s="19">
        <f>BK352</f>
        <v>0</v>
      </c>
      <c r="L352" s="21"/>
      <c r="M352" s="22"/>
      <c r="N352" s="23"/>
      <c r="O352" s="23"/>
      <c r="P352" s="24">
        <f>SUM(P355:P359)</f>
        <v>0</v>
      </c>
      <c r="Q352" s="23"/>
      <c r="R352" s="24">
        <f>SUM(R355:R359)</f>
        <v>0</v>
      </c>
      <c r="S352" s="23"/>
      <c r="T352" s="25">
        <f>SUM(T355:T359)</f>
        <v>0</v>
      </c>
      <c r="AR352" s="26" t="s">
        <v>74</v>
      </c>
      <c r="AT352" s="27" t="s">
        <v>67</v>
      </c>
      <c r="AU352" s="27" t="s">
        <v>68</v>
      </c>
      <c r="AY352" s="26" t="s">
        <v>130</v>
      </c>
      <c r="BK352" s="28">
        <f>SUM(BK355:BK359)</f>
        <v>0</v>
      </c>
    </row>
    <row r="353" spans="1:65" s="5" customFormat="1" ht="19.5" x14ac:dyDescent="0.2">
      <c r="B353" s="45"/>
      <c r="D353" s="216" t="s">
        <v>340</v>
      </c>
      <c r="F353" s="217" t="s">
        <v>1187</v>
      </c>
      <c r="G353" s="117"/>
      <c r="K353" s="181"/>
      <c r="L353" s="94"/>
      <c r="M353" s="52"/>
      <c r="P353" s="126" t="s">
        <v>148</v>
      </c>
      <c r="Q353" s="126" t="s">
        <v>74</v>
      </c>
    </row>
    <row r="354" spans="1:65" s="5" customFormat="1" ht="10.15" customHeight="1" x14ac:dyDescent="0.2">
      <c r="B354" s="45"/>
      <c r="D354" s="216" t="s">
        <v>340</v>
      </c>
      <c r="F354" s="116" t="s">
        <v>1188</v>
      </c>
      <c r="H354" s="117">
        <f>12.42+(22*1.22*0.155)</f>
        <v>16.580199999999998</v>
      </c>
      <c r="K354" s="181"/>
      <c r="L354" s="94"/>
      <c r="M354" s="52"/>
      <c r="P354" s="126" t="s">
        <v>148</v>
      </c>
      <c r="Q354" s="126" t="s">
        <v>74</v>
      </c>
    </row>
    <row r="355" spans="1:65" s="5" customFormat="1" ht="16.5" customHeight="1" x14ac:dyDescent="0.2">
      <c r="A355" s="105"/>
      <c r="B355" s="4"/>
      <c r="C355" s="33" t="s">
        <v>577</v>
      </c>
      <c r="D355" s="33" t="s">
        <v>131</v>
      </c>
      <c r="E355" s="34" t="s">
        <v>419</v>
      </c>
      <c r="F355" s="7" t="s">
        <v>412</v>
      </c>
      <c r="G355" s="35" t="s">
        <v>333</v>
      </c>
      <c r="H355" s="36">
        <v>27.06</v>
      </c>
      <c r="I355" s="1"/>
      <c r="J355" s="6">
        <f>ROUND(I355*H355,2)</f>
        <v>0</v>
      </c>
      <c r="K355" s="7" t="s">
        <v>1</v>
      </c>
      <c r="L355" s="4"/>
      <c r="M355" s="8" t="s">
        <v>1</v>
      </c>
      <c r="N355" s="9" t="s">
        <v>33</v>
      </c>
      <c r="O355" s="10">
        <v>0</v>
      </c>
      <c r="P355" s="10">
        <f>O355*H355</f>
        <v>0</v>
      </c>
      <c r="Q355" s="10">
        <v>0</v>
      </c>
      <c r="R355" s="10">
        <f>Q355*H355</f>
        <v>0</v>
      </c>
      <c r="S355" s="10">
        <v>0</v>
      </c>
      <c r="T355" s="11">
        <f>S355*H355</f>
        <v>0</v>
      </c>
      <c r="U355" s="105"/>
      <c r="V355" s="105"/>
      <c r="W355" s="105"/>
      <c r="X355" s="105"/>
      <c r="Y355" s="105"/>
      <c r="Z355" s="105"/>
      <c r="AA355" s="105"/>
      <c r="AB355" s="105"/>
      <c r="AC355" s="105"/>
      <c r="AD355" s="105"/>
      <c r="AE355" s="105"/>
      <c r="AR355" s="12" t="s">
        <v>135</v>
      </c>
      <c r="AT355" s="12" t="s">
        <v>131</v>
      </c>
      <c r="AU355" s="12" t="s">
        <v>74</v>
      </c>
      <c r="AY355" s="13" t="s">
        <v>130</v>
      </c>
      <c r="BE355" s="14">
        <f>IF(N355="základní",J355,0)</f>
        <v>0</v>
      </c>
      <c r="BF355" s="14">
        <f>IF(N355="snížená",J355,0)</f>
        <v>0</v>
      </c>
      <c r="BG355" s="14">
        <f>IF(N355="zákl. přenesená",J355,0)</f>
        <v>0</v>
      </c>
      <c r="BH355" s="14">
        <f>IF(N355="sníž. přenesená",J355,0)</f>
        <v>0</v>
      </c>
      <c r="BI355" s="14">
        <f>IF(N355="nulová",J355,0)</f>
        <v>0</v>
      </c>
      <c r="BJ355" s="13" t="s">
        <v>74</v>
      </c>
      <c r="BK355" s="14">
        <f>ROUND(I355*H355,2)</f>
        <v>0</v>
      </c>
      <c r="BL355" s="13" t="s">
        <v>135</v>
      </c>
      <c r="BM355" s="12" t="s">
        <v>578</v>
      </c>
    </row>
    <row r="356" spans="1:65" s="5" customFormat="1" ht="16.5" customHeight="1" x14ac:dyDescent="0.2">
      <c r="A356" s="105"/>
      <c r="B356" s="4"/>
      <c r="C356" s="33" t="s">
        <v>446</v>
      </c>
      <c r="D356" s="33" t="s">
        <v>131</v>
      </c>
      <c r="E356" s="34" t="s">
        <v>422</v>
      </c>
      <c r="F356" s="7" t="s">
        <v>414</v>
      </c>
      <c r="G356" s="35" t="s">
        <v>333</v>
      </c>
      <c r="H356" s="36">
        <v>27.06</v>
      </c>
      <c r="I356" s="1"/>
      <c r="J356" s="6">
        <f>ROUND(I356*H356,2)</f>
        <v>0</v>
      </c>
      <c r="K356" s="7" t="s">
        <v>1</v>
      </c>
      <c r="L356" s="4"/>
      <c r="M356" s="8" t="s">
        <v>1</v>
      </c>
      <c r="N356" s="9" t="s">
        <v>33</v>
      </c>
      <c r="O356" s="10">
        <v>0</v>
      </c>
      <c r="P356" s="10">
        <f>O356*H356</f>
        <v>0</v>
      </c>
      <c r="Q356" s="10">
        <v>0</v>
      </c>
      <c r="R356" s="10">
        <f>Q356*H356</f>
        <v>0</v>
      </c>
      <c r="S356" s="10">
        <v>0</v>
      </c>
      <c r="T356" s="11">
        <f>S356*H356</f>
        <v>0</v>
      </c>
      <c r="U356" s="105"/>
      <c r="V356" s="105"/>
      <c r="W356" s="105"/>
      <c r="X356" s="105"/>
      <c r="Y356" s="105"/>
      <c r="Z356" s="105"/>
      <c r="AA356" s="105"/>
      <c r="AB356" s="105"/>
      <c r="AC356" s="105"/>
      <c r="AD356" s="105"/>
      <c r="AE356" s="105"/>
      <c r="AR356" s="12" t="s">
        <v>135</v>
      </c>
      <c r="AT356" s="12" t="s">
        <v>131</v>
      </c>
      <c r="AU356" s="12" t="s">
        <v>74</v>
      </c>
      <c r="AY356" s="13" t="s">
        <v>130</v>
      </c>
      <c r="BE356" s="14">
        <f>IF(N356="základní",J356,0)</f>
        <v>0</v>
      </c>
      <c r="BF356" s="14">
        <f>IF(N356="snížená",J356,0)</f>
        <v>0</v>
      </c>
      <c r="BG356" s="14">
        <f>IF(N356="zákl. přenesená",J356,0)</f>
        <v>0</v>
      </c>
      <c r="BH356" s="14">
        <f>IF(N356="sníž. přenesená",J356,0)</f>
        <v>0</v>
      </c>
      <c r="BI356" s="14">
        <f>IF(N356="nulová",J356,0)</f>
        <v>0</v>
      </c>
      <c r="BJ356" s="13" t="s">
        <v>74</v>
      </c>
      <c r="BK356" s="14">
        <f>ROUND(I356*H356,2)</f>
        <v>0</v>
      </c>
      <c r="BL356" s="13" t="s">
        <v>135</v>
      </c>
      <c r="BM356" s="12" t="s">
        <v>579</v>
      </c>
    </row>
    <row r="357" spans="1:65" s="5" customFormat="1" ht="16.5" customHeight="1" x14ac:dyDescent="0.2">
      <c r="A357" s="105"/>
      <c r="B357" s="4"/>
      <c r="C357" s="33" t="s">
        <v>580</v>
      </c>
      <c r="D357" s="33" t="s">
        <v>131</v>
      </c>
      <c r="E357" s="34" t="s">
        <v>424</v>
      </c>
      <c r="F357" s="7" t="s">
        <v>337</v>
      </c>
      <c r="G357" s="35" t="s">
        <v>333</v>
      </c>
      <c r="H357" s="36">
        <v>27.06</v>
      </c>
      <c r="I357" s="1"/>
      <c r="J357" s="6">
        <f>ROUND(I357*H357,2)</f>
        <v>0</v>
      </c>
      <c r="K357" s="7" t="s">
        <v>1</v>
      </c>
      <c r="L357" s="4"/>
      <c r="M357" s="8" t="s">
        <v>1</v>
      </c>
      <c r="N357" s="9" t="s">
        <v>33</v>
      </c>
      <c r="O357" s="10">
        <v>0</v>
      </c>
      <c r="P357" s="10">
        <f>O357*H357</f>
        <v>0</v>
      </c>
      <c r="Q357" s="10">
        <v>0</v>
      </c>
      <c r="R357" s="10">
        <f>Q357*H357</f>
        <v>0</v>
      </c>
      <c r="S357" s="10">
        <v>0</v>
      </c>
      <c r="T357" s="11">
        <f>S357*H357</f>
        <v>0</v>
      </c>
      <c r="U357" s="105"/>
      <c r="V357" s="105"/>
      <c r="W357" s="105"/>
      <c r="X357" s="105"/>
      <c r="Y357" s="105"/>
      <c r="Z357" s="105"/>
      <c r="AA357" s="105"/>
      <c r="AB357" s="105"/>
      <c r="AC357" s="105"/>
      <c r="AD357" s="105"/>
      <c r="AE357" s="105"/>
      <c r="AR357" s="12" t="s">
        <v>135</v>
      </c>
      <c r="AT357" s="12" t="s">
        <v>131</v>
      </c>
      <c r="AU357" s="12" t="s">
        <v>74</v>
      </c>
      <c r="AY357" s="13" t="s">
        <v>130</v>
      </c>
      <c r="BE357" s="14">
        <f>IF(N357="základní",J357,0)</f>
        <v>0</v>
      </c>
      <c r="BF357" s="14">
        <f>IF(N357="snížená",J357,0)</f>
        <v>0</v>
      </c>
      <c r="BG357" s="14">
        <f>IF(N357="zákl. přenesená",J357,0)</f>
        <v>0</v>
      </c>
      <c r="BH357" s="14">
        <f>IF(N357="sníž. přenesená",J357,0)</f>
        <v>0</v>
      </c>
      <c r="BI357" s="14">
        <f>IF(N357="nulová",J357,0)</f>
        <v>0</v>
      </c>
      <c r="BJ357" s="13" t="s">
        <v>74</v>
      </c>
      <c r="BK357" s="14">
        <f>ROUND(I357*H357,2)</f>
        <v>0</v>
      </c>
      <c r="BL357" s="13" t="s">
        <v>135</v>
      </c>
      <c r="BM357" s="12" t="s">
        <v>581</v>
      </c>
    </row>
    <row r="358" spans="1:65" s="5" customFormat="1" ht="16.5" customHeight="1" x14ac:dyDescent="0.2">
      <c r="A358" s="105"/>
      <c r="B358" s="4"/>
      <c r="C358" s="33" t="s">
        <v>448</v>
      </c>
      <c r="D358" s="33" t="s">
        <v>131</v>
      </c>
      <c r="E358" s="34" t="s">
        <v>142</v>
      </c>
      <c r="F358" s="7" t="s">
        <v>143</v>
      </c>
      <c r="G358" s="35" t="s">
        <v>134</v>
      </c>
      <c r="H358" s="36">
        <v>16.579999999999998</v>
      </c>
      <c r="I358" s="1"/>
      <c r="J358" s="6">
        <f>ROUND(I358*H358,2)</f>
        <v>0</v>
      </c>
      <c r="K358" s="7" t="s">
        <v>1</v>
      </c>
      <c r="L358" s="4"/>
      <c r="M358" s="8" t="s">
        <v>1</v>
      </c>
      <c r="N358" s="9" t="s">
        <v>33</v>
      </c>
      <c r="O358" s="10">
        <v>0</v>
      </c>
      <c r="P358" s="10">
        <f>O358*H358</f>
        <v>0</v>
      </c>
      <c r="Q358" s="10">
        <v>0</v>
      </c>
      <c r="R358" s="10">
        <f>Q358*H358</f>
        <v>0</v>
      </c>
      <c r="S358" s="10">
        <v>0</v>
      </c>
      <c r="T358" s="11">
        <f>S358*H358</f>
        <v>0</v>
      </c>
      <c r="U358" s="105"/>
      <c r="V358" s="105"/>
      <c r="W358" s="105"/>
      <c r="X358" s="105"/>
      <c r="Y358" s="105"/>
      <c r="Z358" s="105"/>
      <c r="AA358" s="105"/>
      <c r="AB358" s="105"/>
      <c r="AC358" s="105"/>
      <c r="AD358" s="105"/>
      <c r="AE358" s="105"/>
      <c r="AR358" s="12" t="s">
        <v>135</v>
      </c>
      <c r="AT358" s="12" t="s">
        <v>131</v>
      </c>
      <c r="AU358" s="12" t="s">
        <v>74</v>
      </c>
      <c r="AY358" s="13" t="s">
        <v>130</v>
      </c>
      <c r="BE358" s="14">
        <f>IF(N358="základní",J358,0)</f>
        <v>0</v>
      </c>
      <c r="BF358" s="14">
        <f>IF(N358="snížená",J358,0)</f>
        <v>0</v>
      </c>
      <c r="BG358" s="14">
        <f>IF(N358="zákl. přenesená",J358,0)</f>
        <v>0</v>
      </c>
      <c r="BH358" s="14">
        <f>IF(N358="sníž. přenesená",J358,0)</f>
        <v>0</v>
      </c>
      <c r="BI358" s="14">
        <f>IF(N358="nulová",J358,0)</f>
        <v>0</v>
      </c>
      <c r="BJ358" s="13" t="s">
        <v>74</v>
      </c>
      <c r="BK358" s="14">
        <f>ROUND(I358*H358,2)</f>
        <v>0</v>
      </c>
      <c r="BL358" s="13" t="s">
        <v>135</v>
      </c>
      <c r="BM358" s="12" t="s">
        <v>582</v>
      </c>
    </row>
    <row r="359" spans="1:65" s="5" customFormat="1" ht="16.5" customHeight="1" x14ac:dyDescent="0.2">
      <c r="A359" s="105"/>
      <c r="B359" s="4"/>
      <c r="C359" s="33" t="s">
        <v>583</v>
      </c>
      <c r="D359" s="33" t="s">
        <v>131</v>
      </c>
      <c r="E359" s="34" t="s">
        <v>428</v>
      </c>
      <c r="F359" s="7" t="s">
        <v>146</v>
      </c>
      <c r="G359" s="35" t="s">
        <v>134</v>
      </c>
      <c r="H359" s="36">
        <v>16.579999999999998</v>
      </c>
      <c r="I359" s="1"/>
      <c r="J359" s="6">
        <f>ROUND(I359*H359,2)</f>
        <v>0</v>
      </c>
      <c r="K359" s="7" t="s">
        <v>1</v>
      </c>
      <c r="L359" s="4"/>
      <c r="M359" s="8" t="s">
        <v>1</v>
      </c>
      <c r="N359" s="9" t="s">
        <v>33</v>
      </c>
      <c r="O359" s="10">
        <v>0</v>
      </c>
      <c r="P359" s="10">
        <f>O359*H359</f>
        <v>0</v>
      </c>
      <c r="Q359" s="10">
        <v>0</v>
      </c>
      <c r="R359" s="10">
        <f>Q359*H359</f>
        <v>0</v>
      </c>
      <c r="S359" s="10">
        <v>0</v>
      </c>
      <c r="T359" s="11">
        <f>S359*H359</f>
        <v>0</v>
      </c>
      <c r="U359" s="105"/>
      <c r="V359" s="105"/>
      <c r="W359" s="105"/>
      <c r="X359" s="105"/>
      <c r="Y359" s="105"/>
      <c r="Z359" s="105"/>
      <c r="AA359" s="105"/>
      <c r="AB359" s="105"/>
      <c r="AC359" s="105"/>
      <c r="AD359" s="105"/>
      <c r="AE359" s="105"/>
      <c r="AR359" s="12" t="s">
        <v>135</v>
      </c>
      <c r="AT359" s="12" t="s">
        <v>131</v>
      </c>
      <c r="AU359" s="12" t="s">
        <v>74</v>
      </c>
      <c r="AY359" s="13" t="s">
        <v>130</v>
      </c>
      <c r="BE359" s="14">
        <f>IF(N359="základní",J359,0)</f>
        <v>0</v>
      </c>
      <c r="BF359" s="14">
        <f>IF(N359="snížená",J359,0)</f>
        <v>0</v>
      </c>
      <c r="BG359" s="14">
        <f>IF(N359="zákl. přenesená",J359,0)</f>
        <v>0</v>
      </c>
      <c r="BH359" s="14">
        <f>IF(N359="sníž. přenesená",J359,0)</f>
        <v>0</v>
      </c>
      <c r="BI359" s="14">
        <f>IF(N359="nulová",J359,0)</f>
        <v>0</v>
      </c>
      <c r="BJ359" s="13" t="s">
        <v>74</v>
      </c>
      <c r="BK359" s="14">
        <f>ROUND(I359*H359,2)</f>
        <v>0</v>
      </c>
      <c r="BL359" s="13" t="s">
        <v>135</v>
      </c>
      <c r="BM359" s="12" t="s">
        <v>584</v>
      </c>
    </row>
    <row r="360" spans="1:65" s="20" customFormat="1" ht="25.9" customHeight="1" x14ac:dyDescent="0.2">
      <c r="B360" s="21"/>
      <c r="D360" s="26" t="s">
        <v>67</v>
      </c>
      <c r="E360" s="39" t="s">
        <v>585</v>
      </c>
      <c r="F360" s="39" t="s">
        <v>586</v>
      </c>
      <c r="J360" s="19">
        <f>BK360</f>
        <v>0</v>
      </c>
      <c r="L360" s="21"/>
      <c r="M360" s="22"/>
      <c r="N360" s="23"/>
      <c r="O360" s="23"/>
      <c r="P360" s="24">
        <f>SUM(P361:P367)</f>
        <v>0</v>
      </c>
      <c r="Q360" s="23"/>
      <c r="R360" s="24">
        <f>SUM(R361:R367)</f>
        <v>0</v>
      </c>
      <c r="S360" s="23"/>
      <c r="T360" s="25">
        <f>SUM(T361:T367)</f>
        <v>0</v>
      </c>
      <c r="AR360" s="26" t="s">
        <v>74</v>
      </c>
      <c r="AT360" s="27" t="s">
        <v>67</v>
      </c>
      <c r="AU360" s="27" t="s">
        <v>68</v>
      </c>
      <c r="AY360" s="26" t="s">
        <v>130</v>
      </c>
      <c r="BK360" s="28">
        <f>SUM(BK361:BK367)</f>
        <v>0</v>
      </c>
    </row>
    <row r="361" spans="1:65" s="5" customFormat="1" ht="16.5" customHeight="1" x14ac:dyDescent="0.2">
      <c r="A361" s="105"/>
      <c r="B361" s="4"/>
      <c r="C361" s="33" t="s">
        <v>452</v>
      </c>
      <c r="D361" s="33" t="s">
        <v>131</v>
      </c>
      <c r="E361" s="34" t="s">
        <v>587</v>
      </c>
      <c r="F361" s="7" t="s">
        <v>487</v>
      </c>
      <c r="G361" s="35" t="s">
        <v>157</v>
      </c>
      <c r="H361" s="36">
        <v>1</v>
      </c>
      <c r="I361" s="1"/>
      <c r="J361" s="6">
        <f t="shared" ref="J361:J367" si="40">ROUND(I361*H361,2)</f>
        <v>0</v>
      </c>
      <c r="K361" s="7" t="s">
        <v>1</v>
      </c>
      <c r="L361" s="4"/>
      <c r="M361" s="8" t="s">
        <v>1</v>
      </c>
      <c r="N361" s="9" t="s">
        <v>33</v>
      </c>
      <c r="O361" s="10">
        <v>0</v>
      </c>
      <c r="P361" s="10">
        <f t="shared" ref="P361:P367" si="41">O361*H361</f>
        <v>0</v>
      </c>
      <c r="Q361" s="10">
        <v>0</v>
      </c>
      <c r="R361" s="10">
        <f t="shared" ref="R361:R367" si="42">Q361*H361</f>
        <v>0</v>
      </c>
      <c r="S361" s="10">
        <v>0</v>
      </c>
      <c r="T361" s="11">
        <f t="shared" ref="T361:T367" si="43">S361*H361</f>
        <v>0</v>
      </c>
      <c r="U361" s="105"/>
      <c r="V361" s="105"/>
      <c r="W361" s="105"/>
      <c r="X361" s="105"/>
      <c r="Y361" s="105"/>
      <c r="Z361" s="105"/>
      <c r="AA361" s="105"/>
      <c r="AB361" s="105"/>
      <c r="AC361" s="105"/>
      <c r="AD361" s="105"/>
      <c r="AE361" s="105"/>
      <c r="AR361" s="12" t="s">
        <v>135</v>
      </c>
      <c r="AT361" s="12" t="s">
        <v>131</v>
      </c>
      <c r="AU361" s="12" t="s">
        <v>74</v>
      </c>
      <c r="AY361" s="13" t="s">
        <v>130</v>
      </c>
      <c r="BE361" s="14">
        <f t="shared" ref="BE361:BE367" si="44">IF(N361="základní",J361,0)</f>
        <v>0</v>
      </c>
      <c r="BF361" s="14">
        <f t="shared" ref="BF361:BF367" si="45">IF(N361="snížená",J361,0)</f>
        <v>0</v>
      </c>
      <c r="BG361" s="14">
        <f t="shared" ref="BG361:BG367" si="46">IF(N361="zákl. přenesená",J361,0)</f>
        <v>0</v>
      </c>
      <c r="BH361" s="14">
        <f t="shared" ref="BH361:BH367" si="47">IF(N361="sníž. přenesená",J361,0)</f>
        <v>0</v>
      </c>
      <c r="BI361" s="14">
        <f t="shared" ref="BI361:BI367" si="48">IF(N361="nulová",J361,0)</f>
        <v>0</v>
      </c>
      <c r="BJ361" s="13" t="s">
        <v>74</v>
      </c>
      <c r="BK361" s="14">
        <f t="shared" ref="BK361:BK367" si="49">ROUND(I361*H361,2)</f>
        <v>0</v>
      </c>
      <c r="BL361" s="13" t="s">
        <v>135</v>
      </c>
      <c r="BM361" s="12" t="s">
        <v>588</v>
      </c>
    </row>
    <row r="362" spans="1:65" s="5" customFormat="1" ht="16.5" customHeight="1" x14ac:dyDescent="0.2">
      <c r="A362" s="105"/>
      <c r="B362" s="4"/>
      <c r="C362" s="33" t="s">
        <v>589</v>
      </c>
      <c r="D362" s="33" t="s">
        <v>131</v>
      </c>
      <c r="E362" s="34" t="s">
        <v>590</v>
      </c>
      <c r="F362" s="7" t="s">
        <v>591</v>
      </c>
      <c r="G362" s="35" t="s">
        <v>157</v>
      </c>
      <c r="H362" s="36">
        <v>1</v>
      </c>
      <c r="I362" s="1"/>
      <c r="J362" s="6">
        <f t="shared" si="40"/>
        <v>0</v>
      </c>
      <c r="K362" s="7" t="s">
        <v>1</v>
      </c>
      <c r="L362" s="4"/>
      <c r="M362" s="8" t="s">
        <v>1</v>
      </c>
      <c r="N362" s="9" t="s">
        <v>33</v>
      </c>
      <c r="O362" s="10">
        <v>0</v>
      </c>
      <c r="P362" s="10">
        <f t="shared" si="41"/>
        <v>0</v>
      </c>
      <c r="Q362" s="10">
        <v>0</v>
      </c>
      <c r="R362" s="10">
        <f t="shared" si="42"/>
        <v>0</v>
      </c>
      <c r="S362" s="10">
        <v>0</v>
      </c>
      <c r="T362" s="11">
        <f t="shared" si="43"/>
        <v>0</v>
      </c>
      <c r="U362" s="105"/>
      <c r="V362" s="105"/>
      <c r="W362" s="105"/>
      <c r="X362" s="105"/>
      <c r="Y362" s="105"/>
      <c r="Z362" s="105"/>
      <c r="AA362" s="105"/>
      <c r="AB362" s="105"/>
      <c r="AC362" s="105"/>
      <c r="AD362" s="105"/>
      <c r="AE362" s="105"/>
      <c r="AR362" s="12" t="s">
        <v>135</v>
      </c>
      <c r="AT362" s="12" t="s">
        <v>131</v>
      </c>
      <c r="AU362" s="12" t="s">
        <v>74</v>
      </c>
      <c r="AY362" s="13" t="s">
        <v>130</v>
      </c>
      <c r="BE362" s="14">
        <f t="shared" si="44"/>
        <v>0</v>
      </c>
      <c r="BF362" s="14">
        <f t="shared" si="45"/>
        <v>0</v>
      </c>
      <c r="BG362" s="14">
        <f t="shared" si="46"/>
        <v>0</v>
      </c>
      <c r="BH362" s="14">
        <f t="shared" si="47"/>
        <v>0</v>
      </c>
      <c r="BI362" s="14">
        <f t="shared" si="48"/>
        <v>0</v>
      </c>
      <c r="BJ362" s="13" t="s">
        <v>74</v>
      </c>
      <c r="BK362" s="14">
        <f t="shared" si="49"/>
        <v>0</v>
      </c>
      <c r="BL362" s="13" t="s">
        <v>135</v>
      </c>
      <c r="BM362" s="12" t="s">
        <v>592</v>
      </c>
    </row>
    <row r="363" spans="1:65" s="5" customFormat="1" ht="16.5" customHeight="1" x14ac:dyDescent="0.2">
      <c r="A363" s="105"/>
      <c r="B363" s="4"/>
      <c r="C363" s="33" t="s">
        <v>455</v>
      </c>
      <c r="D363" s="33" t="s">
        <v>131</v>
      </c>
      <c r="E363" s="34" t="s">
        <v>593</v>
      </c>
      <c r="F363" s="7" t="s">
        <v>494</v>
      </c>
      <c r="G363" s="35" t="s">
        <v>157</v>
      </c>
      <c r="H363" s="36">
        <v>1</v>
      </c>
      <c r="I363" s="1"/>
      <c r="J363" s="6">
        <f t="shared" si="40"/>
        <v>0</v>
      </c>
      <c r="K363" s="7" t="s">
        <v>1</v>
      </c>
      <c r="L363" s="4"/>
      <c r="M363" s="8" t="s">
        <v>1</v>
      </c>
      <c r="N363" s="9" t="s">
        <v>33</v>
      </c>
      <c r="O363" s="10">
        <v>0</v>
      </c>
      <c r="P363" s="10">
        <f t="shared" si="41"/>
        <v>0</v>
      </c>
      <c r="Q363" s="10">
        <v>0</v>
      </c>
      <c r="R363" s="10">
        <f t="shared" si="42"/>
        <v>0</v>
      </c>
      <c r="S363" s="10">
        <v>0</v>
      </c>
      <c r="T363" s="11">
        <f t="shared" si="43"/>
        <v>0</v>
      </c>
      <c r="U363" s="105"/>
      <c r="V363" s="105"/>
      <c r="W363" s="105"/>
      <c r="X363" s="105"/>
      <c r="Y363" s="105"/>
      <c r="Z363" s="105"/>
      <c r="AA363" s="105"/>
      <c r="AB363" s="105"/>
      <c r="AC363" s="105"/>
      <c r="AD363" s="105"/>
      <c r="AE363" s="105"/>
      <c r="AR363" s="12" t="s">
        <v>135</v>
      </c>
      <c r="AT363" s="12" t="s">
        <v>131</v>
      </c>
      <c r="AU363" s="12" t="s">
        <v>74</v>
      </c>
      <c r="AY363" s="13" t="s">
        <v>130</v>
      </c>
      <c r="BE363" s="14">
        <f t="shared" si="44"/>
        <v>0</v>
      </c>
      <c r="BF363" s="14">
        <f t="shared" si="45"/>
        <v>0</v>
      </c>
      <c r="BG363" s="14">
        <f t="shared" si="46"/>
        <v>0</v>
      </c>
      <c r="BH363" s="14">
        <f t="shared" si="47"/>
        <v>0</v>
      </c>
      <c r="BI363" s="14">
        <f t="shared" si="48"/>
        <v>0</v>
      </c>
      <c r="BJ363" s="13" t="s">
        <v>74</v>
      </c>
      <c r="BK363" s="14">
        <f t="shared" si="49"/>
        <v>0</v>
      </c>
      <c r="BL363" s="13" t="s">
        <v>135</v>
      </c>
      <c r="BM363" s="12" t="s">
        <v>594</v>
      </c>
    </row>
    <row r="364" spans="1:65" s="5" customFormat="1" ht="16.5" customHeight="1" x14ac:dyDescent="0.2">
      <c r="A364" s="105"/>
      <c r="B364" s="4"/>
      <c r="C364" s="33" t="s">
        <v>595</v>
      </c>
      <c r="D364" s="33" t="s">
        <v>131</v>
      </c>
      <c r="E364" s="34" t="s">
        <v>596</v>
      </c>
      <c r="F364" s="7" t="s">
        <v>597</v>
      </c>
      <c r="G364" s="35" t="s">
        <v>157</v>
      </c>
      <c r="H364" s="36">
        <v>1</v>
      </c>
      <c r="I364" s="1"/>
      <c r="J364" s="6">
        <f t="shared" si="40"/>
        <v>0</v>
      </c>
      <c r="K364" s="7" t="s">
        <v>1</v>
      </c>
      <c r="L364" s="4"/>
      <c r="M364" s="8" t="s">
        <v>1</v>
      </c>
      <c r="N364" s="9" t="s">
        <v>33</v>
      </c>
      <c r="O364" s="10">
        <v>0</v>
      </c>
      <c r="P364" s="10">
        <f t="shared" si="41"/>
        <v>0</v>
      </c>
      <c r="Q364" s="10">
        <v>0</v>
      </c>
      <c r="R364" s="10">
        <f t="shared" si="42"/>
        <v>0</v>
      </c>
      <c r="S364" s="10">
        <v>0</v>
      </c>
      <c r="T364" s="11">
        <f t="shared" si="43"/>
        <v>0</v>
      </c>
      <c r="U364" s="105"/>
      <c r="V364" s="105"/>
      <c r="W364" s="105"/>
      <c r="X364" s="105"/>
      <c r="Y364" s="105"/>
      <c r="Z364" s="105"/>
      <c r="AA364" s="105"/>
      <c r="AB364" s="105"/>
      <c r="AC364" s="105"/>
      <c r="AD364" s="105"/>
      <c r="AE364" s="105"/>
      <c r="AR364" s="12" t="s">
        <v>135</v>
      </c>
      <c r="AT364" s="12" t="s">
        <v>131</v>
      </c>
      <c r="AU364" s="12" t="s">
        <v>74</v>
      </c>
      <c r="AY364" s="13" t="s">
        <v>130</v>
      </c>
      <c r="BE364" s="14">
        <f t="shared" si="44"/>
        <v>0</v>
      </c>
      <c r="BF364" s="14">
        <f t="shared" si="45"/>
        <v>0</v>
      </c>
      <c r="BG364" s="14">
        <f t="shared" si="46"/>
        <v>0</v>
      </c>
      <c r="BH364" s="14">
        <f t="shared" si="47"/>
        <v>0</v>
      </c>
      <c r="BI364" s="14">
        <f t="shared" si="48"/>
        <v>0</v>
      </c>
      <c r="BJ364" s="13" t="s">
        <v>74</v>
      </c>
      <c r="BK364" s="14">
        <f t="shared" si="49"/>
        <v>0</v>
      </c>
      <c r="BL364" s="13" t="s">
        <v>135</v>
      </c>
      <c r="BM364" s="12" t="s">
        <v>598</v>
      </c>
    </row>
    <row r="365" spans="1:65" s="5" customFormat="1" ht="16.5" customHeight="1" x14ac:dyDescent="0.2">
      <c r="A365" s="105"/>
      <c r="B365" s="4"/>
      <c r="C365" s="33" t="s">
        <v>458</v>
      </c>
      <c r="D365" s="33" t="s">
        <v>131</v>
      </c>
      <c r="E365" s="34" t="s">
        <v>599</v>
      </c>
      <c r="F365" s="7" t="s">
        <v>497</v>
      </c>
      <c r="G365" s="35" t="s">
        <v>157</v>
      </c>
      <c r="H365" s="36">
        <v>1</v>
      </c>
      <c r="I365" s="1"/>
      <c r="J365" s="6">
        <f t="shared" si="40"/>
        <v>0</v>
      </c>
      <c r="K365" s="7" t="s">
        <v>1</v>
      </c>
      <c r="L365" s="4"/>
      <c r="M365" s="8" t="s">
        <v>1</v>
      </c>
      <c r="N365" s="9" t="s">
        <v>33</v>
      </c>
      <c r="O365" s="10">
        <v>0</v>
      </c>
      <c r="P365" s="10">
        <f t="shared" si="41"/>
        <v>0</v>
      </c>
      <c r="Q365" s="10">
        <v>0</v>
      </c>
      <c r="R365" s="10">
        <f t="shared" si="42"/>
        <v>0</v>
      </c>
      <c r="S365" s="10">
        <v>0</v>
      </c>
      <c r="T365" s="11">
        <f t="shared" si="43"/>
        <v>0</v>
      </c>
      <c r="U365" s="105"/>
      <c r="V365" s="105"/>
      <c r="W365" s="105"/>
      <c r="X365" s="105"/>
      <c r="Y365" s="105"/>
      <c r="Z365" s="105"/>
      <c r="AA365" s="105"/>
      <c r="AB365" s="105"/>
      <c r="AC365" s="105"/>
      <c r="AD365" s="105"/>
      <c r="AE365" s="105"/>
      <c r="AR365" s="12" t="s">
        <v>135</v>
      </c>
      <c r="AT365" s="12" t="s">
        <v>131</v>
      </c>
      <c r="AU365" s="12" t="s">
        <v>74</v>
      </c>
      <c r="AY365" s="13" t="s">
        <v>130</v>
      </c>
      <c r="BE365" s="14">
        <f t="shared" si="44"/>
        <v>0</v>
      </c>
      <c r="BF365" s="14">
        <f t="shared" si="45"/>
        <v>0</v>
      </c>
      <c r="BG365" s="14">
        <f t="shared" si="46"/>
        <v>0</v>
      </c>
      <c r="BH365" s="14">
        <f t="shared" si="47"/>
        <v>0</v>
      </c>
      <c r="BI365" s="14">
        <f t="shared" si="48"/>
        <v>0</v>
      </c>
      <c r="BJ365" s="13" t="s">
        <v>74</v>
      </c>
      <c r="BK365" s="14">
        <f t="shared" si="49"/>
        <v>0</v>
      </c>
      <c r="BL365" s="13" t="s">
        <v>135</v>
      </c>
      <c r="BM365" s="12" t="s">
        <v>600</v>
      </c>
    </row>
    <row r="366" spans="1:65" s="5" customFormat="1" ht="16.5" customHeight="1" x14ac:dyDescent="0.2">
      <c r="A366" s="105"/>
      <c r="B366" s="4"/>
      <c r="C366" s="33" t="s">
        <v>601</v>
      </c>
      <c r="D366" s="33" t="s">
        <v>131</v>
      </c>
      <c r="E366" s="34" t="s">
        <v>602</v>
      </c>
      <c r="F366" s="7" t="s">
        <v>603</v>
      </c>
      <c r="G366" s="35" t="s">
        <v>157</v>
      </c>
      <c r="H366" s="36">
        <v>1</v>
      </c>
      <c r="I366" s="1"/>
      <c r="J366" s="6">
        <f t="shared" si="40"/>
        <v>0</v>
      </c>
      <c r="K366" s="7" t="s">
        <v>1</v>
      </c>
      <c r="L366" s="4"/>
      <c r="M366" s="8" t="s">
        <v>1</v>
      </c>
      <c r="N366" s="9" t="s">
        <v>33</v>
      </c>
      <c r="O366" s="10">
        <v>0</v>
      </c>
      <c r="P366" s="10">
        <f t="shared" si="41"/>
        <v>0</v>
      </c>
      <c r="Q366" s="10">
        <v>0</v>
      </c>
      <c r="R366" s="10">
        <f t="shared" si="42"/>
        <v>0</v>
      </c>
      <c r="S366" s="10">
        <v>0</v>
      </c>
      <c r="T366" s="11">
        <f t="shared" si="43"/>
        <v>0</v>
      </c>
      <c r="U366" s="105"/>
      <c r="V366" s="105"/>
      <c r="W366" s="105"/>
      <c r="X366" s="105"/>
      <c r="Y366" s="105"/>
      <c r="Z366" s="105"/>
      <c r="AA366" s="105"/>
      <c r="AB366" s="105"/>
      <c r="AC366" s="105"/>
      <c r="AD366" s="105"/>
      <c r="AE366" s="105"/>
      <c r="AR366" s="12" t="s">
        <v>135</v>
      </c>
      <c r="AT366" s="12" t="s">
        <v>131</v>
      </c>
      <c r="AU366" s="12" t="s">
        <v>74</v>
      </c>
      <c r="AY366" s="13" t="s">
        <v>130</v>
      </c>
      <c r="BE366" s="14">
        <f t="shared" si="44"/>
        <v>0</v>
      </c>
      <c r="BF366" s="14">
        <f t="shared" si="45"/>
        <v>0</v>
      </c>
      <c r="BG366" s="14">
        <f t="shared" si="46"/>
        <v>0</v>
      </c>
      <c r="BH366" s="14">
        <f t="shared" si="47"/>
        <v>0</v>
      </c>
      <c r="BI366" s="14">
        <f t="shared" si="48"/>
        <v>0</v>
      </c>
      <c r="BJ366" s="13" t="s">
        <v>74</v>
      </c>
      <c r="BK366" s="14">
        <f t="shared" si="49"/>
        <v>0</v>
      </c>
      <c r="BL366" s="13" t="s">
        <v>135</v>
      </c>
      <c r="BM366" s="12" t="s">
        <v>604</v>
      </c>
    </row>
    <row r="367" spans="1:65" s="5" customFormat="1" ht="16.5" customHeight="1" x14ac:dyDescent="0.2">
      <c r="A367" s="105"/>
      <c r="B367" s="4"/>
      <c r="C367" s="33" t="s">
        <v>459</v>
      </c>
      <c r="D367" s="33" t="s">
        <v>131</v>
      </c>
      <c r="E367" s="34" t="s">
        <v>605</v>
      </c>
      <c r="F367" s="7" t="s">
        <v>606</v>
      </c>
      <c r="G367" s="35" t="s">
        <v>157</v>
      </c>
      <c r="H367" s="36">
        <v>1</v>
      </c>
      <c r="I367" s="1"/>
      <c r="J367" s="6">
        <f t="shared" si="40"/>
        <v>0</v>
      </c>
      <c r="K367" s="7" t="s">
        <v>1</v>
      </c>
      <c r="L367" s="4"/>
      <c r="M367" s="8" t="s">
        <v>1</v>
      </c>
      <c r="N367" s="9" t="s">
        <v>33</v>
      </c>
      <c r="O367" s="10">
        <v>0</v>
      </c>
      <c r="P367" s="10">
        <f t="shared" si="41"/>
        <v>0</v>
      </c>
      <c r="Q367" s="10">
        <v>0</v>
      </c>
      <c r="R367" s="10">
        <f t="shared" si="42"/>
        <v>0</v>
      </c>
      <c r="S367" s="10">
        <v>0</v>
      </c>
      <c r="T367" s="11">
        <f t="shared" si="43"/>
        <v>0</v>
      </c>
      <c r="U367" s="105"/>
      <c r="V367" s="105"/>
      <c r="W367" s="105"/>
      <c r="X367" s="105"/>
      <c r="Y367" s="105"/>
      <c r="Z367" s="105"/>
      <c r="AA367" s="105"/>
      <c r="AB367" s="105"/>
      <c r="AC367" s="105"/>
      <c r="AD367" s="105"/>
      <c r="AE367" s="105"/>
      <c r="AR367" s="12" t="s">
        <v>135</v>
      </c>
      <c r="AT367" s="12" t="s">
        <v>131</v>
      </c>
      <c r="AU367" s="12" t="s">
        <v>74</v>
      </c>
      <c r="AY367" s="13" t="s">
        <v>130</v>
      </c>
      <c r="BE367" s="14">
        <f t="shared" si="44"/>
        <v>0</v>
      </c>
      <c r="BF367" s="14">
        <f t="shared" si="45"/>
        <v>0</v>
      </c>
      <c r="BG367" s="14">
        <f t="shared" si="46"/>
        <v>0</v>
      </c>
      <c r="BH367" s="14">
        <f t="shared" si="47"/>
        <v>0</v>
      </c>
      <c r="BI367" s="14">
        <f t="shared" si="48"/>
        <v>0</v>
      </c>
      <c r="BJ367" s="13" t="s">
        <v>74</v>
      </c>
      <c r="BK367" s="14">
        <f t="shared" si="49"/>
        <v>0</v>
      </c>
      <c r="BL367" s="13" t="s">
        <v>135</v>
      </c>
      <c r="BM367" s="12" t="s">
        <v>607</v>
      </c>
    </row>
    <row r="368" spans="1:65" s="20" customFormat="1" ht="25.9" customHeight="1" x14ac:dyDescent="0.2">
      <c r="B368" s="21"/>
      <c r="D368" s="26" t="s">
        <v>67</v>
      </c>
      <c r="E368" s="39" t="s">
        <v>608</v>
      </c>
      <c r="F368" s="39" t="s">
        <v>609</v>
      </c>
      <c r="J368" s="19">
        <f>BK368</f>
        <v>0</v>
      </c>
      <c r="L368" s="21"/>
      <c r="M368" s="22"/>
      <c r="N368" s="23"/>
      <c r="O368" s="23"/>
      <c r="P368" s="24">
        <f>SUM(P371:P375)</f>
        <v>0</v>
      </c>
      <c r="Q368" s="23"/>
      <c r="R368" s="24">
        <f>SUM(R371:R375)</f>
        <v>0</v>
      </c>
      <c r="S368" s="23"/>
      <c r="T368" s="25">
        <f>SUM(T371:T375)</f>
        <v>0</v>
      </c>
      <c r="AR368" s="26" t="s">
        <v>74</v>
      </c>
      <c r="AT368" s="27" t="s">
        <v>67</v>
      </c>
      <c r="AU368" s="27" t="s">
        <v>68</v>
      </c>
      <c r="AY368" s="26" t="s">
        <v>130</v>
      </c>
      <c r="BK368" s="28">
        <f>SUM(BK371:BK375)</f>
        <v>0</v>
      </c>
    </row>
    <row r="369" spans="1:65" s="5" customFormat="1" ht="10.15" customHeight="1" x14ac:dyDescent="0.2">
      <c r="B369" s="45"/>
      <c r="D369" s="216" t="s">
        <v>340</v>
      </c>
      <c r="F369" s="116" t="s">
        <v>1189</v>
      </c>
      <c r="G369" s="117"/>
      <c r="K369" s="181"/>
      <c r="L369" s="94"/>
      <c r="M369" s="52"/>
      <c r="P369" s="126" t="s">
        <v>148</v>
      </c>
      <c r="Q369" s="126" t="s">
        <v>74</v>
      </c>
    </row>
    <row r="370" spans="1:65" s="5" customFormat="1" ht="10.15" customHeight="1" x14ac:dyDescent="0.2">
      <c r="B370" s="45"/>
      <c r="D370" s="216" t="s">
        <v>340</v>
      </c>
      <c r="F370" s="116" t="s">
        <v>1190</v>
      </c>
      <c r="H370" s="117">
        <f>10.82+(26*1.51*0.15)</f>
        <v>16.709</v>
      </c>
      <c r="K370" s="181"/>
      <c r="L370" s="94"/>
      <c r="M370" s="52"/>
      <c r="P370" s="126" t="s">
        <v>148</v>
      </c>
      <c r="Q370" s="126" t="s">
        <v>74</v>
      </c>
    </row>
    <row r="371" spans="1:65" s="5" customFormat="1" ht="16.5" customHeight="1" x14ac:dyDescent="0.2">
      <c r="A371" s="105"/>
      <c r="B371" s="4"/>
      <c r="C371" s="33" t="s">
        <v>610</v>
      </c>
      <c r="D371" s="33" t="s">
        <v>131</v>
      </c>
      <c r="E371" s="34" t="s">
        <v>419</v>
      </c>
      <c r="F371" s="7" t="s">
        <v>412</v>
      </c>
      <c r="G371" s="35" t="s">
        <v>333</v>
      </c>
      <c r="H371" s="36">
        <v>50.94</v>
      </c>
      <c r="I371" s="1"/>
      <c r="J371" s="6">
        <f>ROUND(I371*H371,2)</f>
        <v>0</v>
      </c>
      <c r="K371" s="7" t="s">
        <v>1</v>
      </c>
      <c r="L371" s="4"/>
      <c r="M371" s="8" t="s">
        <v>1</v>
      </c>
      <c r="N371" s="9" t="s">
        <v>33</v>
      </c>
      <c r="O371" s="10">
        <v>0</v>
      </c>
      <c r="P371" s="10">
        <f>O371*H371</f>
        <v>0</v>
      </c>
      <c r="Q371" s="10">
        <v>0</v>
      </c>
      <c r="R371" s="10">
        <f>Q371*H371</f>
        <v>0</v>
      </c>
      <c r="S371" s="10">
        <v>0</v>
      </c>
      <c r="T371" s="11">
        <f>S371*H371</f>
        <v>0</v>
      </c>
      <c r="U371" s="105"/>
      <c r="V371" s="105"/>
      <c r="W371" s="105"/>
      <c r="X371" s="105"/>
      <c r="Y371" s="105"/>
      <c r="Z371" s="105"/>
      <c r="AA371" s="105"/>
      <c r="AB371" s="105"/>
      <c r="AC371" s="105"/>
      <c r="AD371" s="105"/>
      <c r="AE371" s="105"/>
      <c r="AR371" s="12" t="s">
        <v>135</v>
      </c>
      <c r="AT371" s="12" t="s">
        <v>131</v>
      </c>
      <c r="AU371" s="12" t="s">
        <v>74</v>
      </c>
      <c r="AY371" s="13" t="s">
        <v>130</v>
      </c>
      <c r="BE371" s="14">
        <f>IF(N371="základní",J371,0)</f>
        <v>0</v>
      </c>
      <c r="BF371" s="14">
        <f>IF(N371="snížená",J371,0)</f>
        <v>0</v>
      </c>
      <c r="BG371" s="14">
        <f>IF(N371="zákl. přenesená",J371,0)</f>
        <v>0</v>
      </c>
      <c r="BH371" s="14">
        <f>IF(N371="sníž. přenesená",J371,0)</f>
        <v>0</v>
      </c>
      <c r="BI371" s="14">
        <f>IF(N371="nulová",J371,0)</f>
        <v>0</v>
      </c>
      <c r="BJ371" s="13" t="s">
        <v>74</v>
      </c>
      <c r="BK371" s="14">
        <f>ROUND(I371*H371,2)</f>
        <v>0</v>
      </c>
      <c r="BL371" s="13" t="s">
        <v>135</v>
      </c>
      <c r="BM371" s="12" t="s">
        <v>611</v>
      </c>
    </row>
    <row r="372" spans="1:65" s="5" customFormat="1" ht="16.5" customHeight="1" x14ac:dyDescent="0.2">
      <c r="A372" s="105"/>
      <c r="B372" s="4"/>
      <c r="C372" s="33" t="s">
        <v>462</v>
      </c>
      <c r="D372" s="33" t="s">
        <v>131</v>
      </c>
      <c r="E372" s="34" t="s">
        <v>422</v>
      </c>
      <c r="F372" s="7" t="s">
        <v>414</v>
      </c>
      <c r="G372" s="35" t="s">
        <v>333</v>
      </c>
      <c r="H372" s="36">
        <v>50.94</v>
      </c>
      <c r="I372" s="1"/>
      <c r="J372" s="6">
        <f>ROUND(I372*H372,2)</f>
        <v>0</v>
      </c>
      <c r="K372" s="7" t="s">
        <v>1</v>
      </c>
      <c r="L372" s="4"/>
      <c r="M372" s="8" t="s">
        <v>1</v>
      </c>
      <c r="N372" s="9" t="s">
        <v>33</v>
      </c>
      <c r="O372" s="10">
        <v>0</v>
      </c>
      <c r="P372" s="10">
        <f>O372*H372</f>
        <v>0</v>
      </c>
      <c r="Q372" s="10">
        <v>0</v>
      </c>
      <c r="R372" s="10">
        <f>Q372*H372</f>
        <v>0</v>
      </c>
      <c r="S372" s="10">
        <v>0</v>
      </c>
      <c r="T372" s="11">
        <f>S372*H372</f>
        <v>0</v>
      </c>
      <c r="U372" s="105"/>
      <c r="V372" s="105"/>
      <c r="W372" s="105"/>
      <c r="X372" s="105"/>
      <c r="Y372" s="105"/>
      <c r="Z372" s="105"/>
      <c r="AA372" s="105"/>
      <c r="AB372" s="105"/>
      <c r="AC372" s="105"/>
      <c r="AD372" s="105"/>
      <c r="AE372" s="105"/>
      <c r="AR372" s="12" t="s">
        <v>135</v>
      </c>
      <c r="AT372" s="12" t="s">
        <v>131</v>
      </c>
      <c r="AU372" s="12" t="s">
        <v>74</v>
      </c>
      <c r="AY372" s="13" t="s">
        <v>130</v>
      </c>
      <c r="BE372" s="14">
        <f>IF(N372="základní",J372,0)</f>
        <v>0</v>
      </c>
      <c r="BF372" s="14">
        <f>IF(N372="snížená",J372,0)</f>
        <v>0</v>
      </c>
      <c r="BG372" s="14">
        <f>IF(N372="zákl. přenesená",J372,0)</f>
        <v>0</v>
      </c>
      <c r="BH372" s="14">
        <f>IF(N372="sníž. přenesená",J372,0)</f>
        <v>0</v>
      </c>
      <c r="BI372" s="14">
        <f>IF(N372="nulová",J372,0)</f>
        <v>0</v>
      </c>
      <c r="BJ372" s="13" t="s">
        <v>74</v>
      </c>
      <c r="BK372" s="14">
        <f>ROUND(I372*H372,2)</f>
        <v>0</v>
      </c>
      <c r="BL372" s="13" t="s">
        <v>135</v>
      </c>
      <c r="BM372" s="12" t="s">
        <v>612</v>
      </c>
    </row>
    <row r="373" spans="1:65" s="5" customFormat="1" ht="16.5" customHeight="1" x14ac:dyDescent="0.2">
      <c r="A373" s="105"/>
      <c r="B373" s="4"/>
      <c r="C373" s="33" t="s">
        <v>613</v>
      </c>
      <c r="D373" s="33" t="s">
        <v>131</v>
      </c>
      <c r="E373" s="34" t="s">
        <v>424</v>
      </c>
      <c r="F373" s="7" t="s">
        <v>337</v>
      </c>
      <c r="G373" s="35" t="s">
        <v>333</v>
      </c>
      <c r="H373" s="36">
        <v>50.94</v>
      </c>
      <c r="I373" s="1"/>
      <c r="J373" s="6">
        <f>ROUND(I373*H373,2)</f>
        <v>0</v>
      </c>
      <c r="K373" s="7" t="s">
        <v>1</v>
      </c>
      <c r="L373" s="4"/>
      <c r="M373" s="8" t="s">
        <v>1</v>
      </c>
      <c r="N373" s="9" t="s">
        <v>33</v>
      </c>
      <c r="O373" s="10">
        <v>0</v>
      </c>
      <c r="P373" s="10">
        <f>O373*H373</f>
        <v>0</v>
      </c>
      <c r="Q373" s="10">
        <v>0</v>
      </c>
      <c r="R373" s="10">
        <f>Q373*H373</f>
        <v>0</v>
      </c>
      <c r="S373" s="10">
        <v>0</v>
      </c>
      <c r="T373" s="11">
        <f>S373*H373</f>
        <v>0</v>
      </c>
      <c r="U373" s="105"/>
      <c r="V373" s="105"/>
      <c r="W373" s="105"/>
      <c r="X373" s="105"/>
      <c r="Y373" s="105"/>
      <c r="Z373" s="105"/>
      <c r="AA373" s="105"/>
      <c r="AB373" s="105"/>
      <c r="AC373" s="105"/>
      <c r="AD373" s="105"/>
      <c r="AE373" s="105"/>
      <c r="AR373" s="12" t="s">
        <v>135</v>
      </c>
      <c r="AT373" s="12" t="s">
        <v>131</v>
      </c>
      <c r="AU373" s="12" t="s">
        <v>74</v>
      </c>
      <c r="AY373" s="13" t="s">
        <v>130</v>
      </c>
      <c r="BE373" s="14">
        <f>IF(N373="základní",J373,0)</f>
        <v>0</v>
      </c>
      <c r="BF373" s="14">
        <f>IF(N373="snížená",J373,0)</f>
        <v>0</v>
      </c>
      <c r="BG373" s="14">
        <f>IF(N373="zákl. přenesená",J373,0)</f>
        <v>0</v>
      </c>
      <c r="BH373" s="14">
        <f>IF(N373="sníž. přenesená",J373,0)</f>
        <v>0</v>
      </c>
      <c r="BI373" s="14">
        <f>IF(N373="nulová",J373,0)</f>
        <v>0</v>
      </c>
      <c r="BJ373" s="13" t="s">
        <v>74</v>
      </c>
      <c r="BK373" s="14">
        <f>ROUND(I373*H373,2)</f>
        <v>0</v>
      </c>
      <c r="BL373" s="13" t="s">
        <v>135</v>
      </c>
      <c r="BM373" s="12" t="s">
        <v>614</v>
      </c>
    </row>
    <row r="374" spans="1:65" s="5" customFormat="1" ht="16.5" customHeight="1" x14ac:dyDescent="0.2">
      <c r="A374" s="105"/>
      <c r="B374" s="4"/>
      <c r="C374" s="33" t="s">
        <v>464</v>
      </c>
      <c r="D374" s="33" t="s">
        <v>131</v>
      </c>
      <c r="E374" s="34" t="s">
        <v>142</v>
      </c>
      <c r="F374" s="7" t="s">
        <v>143</v>
      </c>
      <c r="G374" s="35" t="s">
        <v>134</v>
      </c>
      <c r="H374" s="36">
        <v>16.709</v>
      </c>
      <c r="I374" s="1"/>
      <c r="J374" s="6">
        <f>ROUND(I374*H374,2)</f>
        <v>0</v>
      </c>
      <c r="K374" s="7" t="s">
        <v>1</v>
      </c>
      <c r="L374" s="4"/>
      <c r="M374" s="8" t="s">
        <v>1</v>
      </c>
      <c r="N374" s="9" t="s">
        <v>33</v>
      </c>
      <c r="O374" s="10">
        <v>0</v>
      </c>
      <c r="P374" s="10">
        <f>O374*H374</f>
        <v>0</v>
      </c>
      <c r="Q374" s="10">
        <v>0</v>
      </c>
      <c r="R374" s="10">
        <f>Q374*H374</f>
        <v>0</v>
      </c>
      <c r="S374" s="10">
        <v>0</v>
      </c>
      <c r="T374" s="11">
        <f>S374*H374</f>
        <v>0</v>
      </c>
      <c r="U374" s="105"/>
      <c r="V374" s="105"/>
      <c r="W374" s="105"/>
      <c r="X374" s="105"/>
      <c r="Y374" s="105"/>
      <c r="Z374" s="105"/>
      <c r="AA374" s="105"/>
      <c r="AB374" s="105"/>
      <c r="AC374" s="105"/>
      <c r="AD374" s="105"/>
      <c r="AE374" s="105"/>
      <c r="AR374" s="12" t="s">
        <v>135</v>
      </c>
      <c r="AT374" s="12" t="s">
        <v>131</v>
      </c>
      <c r="AU374" s="12" t="s">
        <v>74</v>
      </c>
      <c r="AY374" s="13" t="s">
        <v>130</v>
      </c>
      <c r="BE374" s="14">
        <f>IF(N374="základní",J374,0)</f>
        <v>0</v>
      </c>
      <c r="BF374" s="14">
        <f>IF(N374="snížená",J374,0)</f>
        <v>0</v>
      </c>
      <c r="BG374" s="14">
        <f>IF(N374="zákl. přenesená",J374,0)</f>
        <v>0</v>
      </c>
      <c r="BH374" s="14">
        <f>IF(N374="sníž. přenesená",J374,0)</f>
        <v>0</v>
      </c>
      <c r="BI374" s="14">
        <f>IF(N374="nulová",J374,0)</f>
        <v>0</v>
      </c>
      <c r="BJ374" s="13" t="s">
        <v>74</v>
      </c>
      <c r="BK374" s="14">
        <f>ROUND(I374*H374,2)</f>
        <v>0</v>
      </c>
      <c r="BL374" s="13" t="s">
        <v>135</v>
      </c>
      <c r="BM374" s="12" t="s">
        <v>615</v>
      </c>
    </row>
    <row r="375" spans="1:65" s="5" customFormat="1" ht="16.5" customHeight="1" x14ac:dyDescent="0.2">
      <c r="A375" s="105"/>
      <c r="B375" s="4"/>
      <c r="C375" s="33" t="s">
        <v>616</v>
      </c>
      <c r="D375" s="33" t="s">
        <v>131</v>
      </c>
      <c r="E375" s="34" t="s">
        <v>428</v>
      </c>
      <c r="F375" s="7" t="s">
        <v>146</v>
      </c>
      <c r="G375" s="35" t="s">
        <v>134</v>
      </c>
      <c r="H375" s="36">
        <v>16.709</v>
      </c>
      <c r="I375" s="1"/>
      <c r="J375" s="6">
        <f>ROUND(I375*H375,2)</f>
        <v>0</v>
      </c>
      <c r="K375" s="7" t="s">
        <v>1</v>
      </c>
      <c r="L375" s="4"/>
      <c r="M375" s="8" t="s">
        <v>1</v>
      </c>
      <c r="N375" s="9" t="s">
        <v>33</v>
      </c>
      <c r="O375" s="10">
        <v>0</v>
      </c>
      <c r="P375" s="10">
        <f>O375*H375</f>
        <v>0</v>
      </c>
      <c r="Q375" s="10">
        <v>0</v>
      </c>
      <c r="R375" s="10">
        <f>Q375*H375</f>
        <v>0</v>
      </c>
      <c r="S375" s="10">
        <v>0</v>
      </c>
      <c r="T375" s="11">
        <f>S375*H375</f>
        <v>0</v>
      </c>
      <c r="U375" s="105"/>
      <c r="V375" s="105"/>
      <c r="W375" s="105"/>
      <c r="X375" s="105"/>
      <c r="Y375" s="105"/>
      <c r="Z375" s="105"/>
      <c r="AA375" s="105"/>
      <c r="AB375" s="105"/>
      <c r="AC375" s="105"/>
      <c r="AD375" s="105"/>
      <c r="AE375" s="105"/>
      <c r="AR375" s="12" t="s">
        <v>135</v>
      </c>
      <c r="AT375" s="12" t="s">
        <v>131</v>
      </c>
      <c r="AU375" s="12" t="s">
        <v>74</v>
      </c>
      <c r="AY375" s="13" t="s">
        <v>130</v>
      </c>
      <c r="BE375" s="14">
        <f>IF(N375="základní",J375,0)</f>
        <v>0</v>
      </c>
      <c r="BF375" s="14">
        <f>IF(N375="snížená",J375,0)</f>
        <v>0</v>
      </c>
      <c r="BG375" s="14">
        <f>IF(N375="zákl. přenesená",J375,0)</f>
        <v>0</v>
      </c>
      <c r="BH375" s="14">
        <f>IF(N375="sníž. přenesená",J375,0)</f>
        <v>0</v>
      </c>
      <c r="BI375" s="14">
        <f>IF(N375="nulová",J375,0)</f>
        <v>0</v>
      </c>
      <c r="BJ375" s="13" t="s">
        <v>74</v>
      </c>
      <c r="BK375" s="14">
        <f>ROUND(I375*H375,2)</f>
        <v>0</v>
      </c>
      <c r="BL375" s="13" t="s">
        <v>135</v>
      </c>
      <c r="BM375" s="12" t="s">
        <v>617</v>
      </c>
    </row>
    <row r="376" spans="1:65" s="20" customFormat="1" ht="25.9" customHeight="1" x14ac:dyDescent="0.2">
      <c r="B376" s="21"/>
      <c r="D376" s="26" t="s">
        <v>67</v>
      </c>
      <c r="E376" s="39" t="s">
        <v>618</v>
      </c>
      <c r="F376" s="39" t="s">
        <v>619</v>
      </c>
      <c r="J376" s="19">
        <f>BK376</f>
        <v>0</v>
      </c>
      <c r="L376" s="21"/>
      <c r="M376" s="22"/>
      <c r="N376" s="23"/>
      <c r="O376" s="23"/>
      <c r="P376" s="24">
        <f>SUM(P379:P385)</f>
        <v>0</v>
      </c>
      <c r="Q376" s="23"/>
      <c r="R376" s="24">
        <f>SUM(R379:R385)</f>
        <v>0</v>
      </c>
      <c r="S376" s="23"/>
      <c r="T376" s="25">
        <f>SUM(T379:T385)</f>
        <v>0</v>
      </c>
      <c r="AR376" s="26" t="s">
        <v>74</v>
      </c>
      <c r="AT376" s="27" t="s">
        <v>67</v>
      </c>
      <c r="AU376" s="27" t="s">
        <v>68</v>
      </c>
      <c r="AY376" s="26" t="s">
        <v>130</v>
      </c>
      <c r="BK376" s="28">
        <f>SUM(BK379:BK385)</f>
        <v>0</v>
      </c>
    </row>
    <row r="377" spans="1:65" s="5" customFormat="1" ht="10.15" customHeight="1" x14ac:dyDescent="0.2">
      <c r="B377" s="45"/>
      <c r="D377" s="216" t="s">
        <v>340</v>
      </c>
      <c r="F377" s="116" t="s">
        <v>1191</v>
      </c>
      <c r="G377" s="117"/>
      <c r="K377" s="181"/>
      <c r="L377" s="94"/>
      <c r="M377" s="52"/>
      <c r="P377" s="126" t="s">
        <v>148</v>
      </c>
      <c r="Q377" s="126" t="s">
        <v>74</v>
      </c>
    </row>
    <row r="378" spans="1:65" s="5" customFormat="1" ht="10.15" customHeight="1" x14ac:dyDescent="0.2">
      <c r="B378" s="45"/>
      <c r="D378" s="216" t="s">
        <v>340</v>
      </c>
      <c r="F378" s="116" t="s">
        <v>1192</v>
      </c>
      <c r="H378" s="117">
        <f>(1.12*0.86)+(1.12*0.04)</f>
        <v>1.008</v>
      </c>
      <c r="K378" s="181"/>
      <c r="L378" s="94"/>
      <c r="M378" s="52"/>
      <c r="P378" s="126" t="s">
        <v>148</v>
      </c>
      <c r="Q378" s="126" t="s">
        <v>74</v>
      </c>
    </row>
    <row r="379" spans="1:65" s="5" customFormat="1" ht="16.5" customHeight="1" x14ac:dyDescent="0.2">
      <c r="A379" s="105"/>
      <c r="B379" s="4"/>
      <c r="C379" s="33" t="s">
        <v>466</v>
      </c>
      <c r="D379" s="33" t="s">
        <v>131</v>
      </c>
      <c r="E379" s="34" t="s">
        <v>486</v>
      </c>
      <c r="F379" s="7" t="s">
        <v>487</v>
      </c>
      <c r="G379" s="35" t="s">
        <v>157</v>
      </c>
      <c r="H379" s="36">
        <v>1</v>
      </c>
      <c r="I379" s="1"/>
      <c r="J379" s="6">
        <f t="shared" ref="J379:J385" si="50">ROUND(I379*H379,2)</f>
        <v>0</v>
      </c>
      <c r="K379" s="7" t="s">
        <v>1</v>
      </c>
      <c r="L379" s="4"/>
      <c r="M379" s="8" t="s">
        <v>1</v>
      </c>
      <c r="N379" s="9" t="s">
        <v>33</v>
      </c>
      <c r="O379" s="10">
        <v>0</v>
      </c>
      <c r="P379" s="10">
        <f t="shared" ref="P379:P385" si="51">O379*H379</f>
        <v>0</v>
      </c>
      <c r="Q379" s="10">
        <v>0</v>
      </c>
      <c r="R379" s="10">
        <f t="shared" ref="R379:R385" si="52">Q379*H379</f>
        <v>0</v>
      </c>
      <c r="S379" s="10">
        <v>0</v>
      </c>
      <c r="T379" s="11">
        <f t="shared" ref="T379:T385" si="53">S379*H379</f>
        <v>0</v>
      </c>
      <c r="U379" s="105"/>
      <c r="V379" s="105"/>
      <c r="W379" s="105"/>
      <c r="X379" s="105"/>
      <c r="Y379" s="105"/>
      <c r="Z379" s="105"/>
      <c r="AA379" s="105"/>
      <c r="AB379" s="105"/>
      <c r="AC379" s="105"/>
      <c r="AD379" s="105"/>
      <c r="AE379" s="105"/>
      <c r="AR379" s="12" t="s">
        <v>135</v>
      </c>
      <c r="AT379" s="12" t="s">
        <v>131</v>
      </c>
      <c r="AU379" s="12" t="s">
        <v>74</v>
      </c>
      <c r="AY379" s="13" t="s">
        <v>130</v>
      </c>
      <c r="BE379" s="14">
        <f t="shared" ref="BE379:BE385" si="54">IF(N379="základní",J379,0)</f>
        <v>0</v>
      </c>
      <c r="BF379" s="14">
        <f t="shared" ref="BF379:BF385" si="55">IF(N379="snížená",J379,0)</f>
        <v>0</v>
      </c>
      <c r="BG379" s="14">
        <f t="shared" ref="BG379:BG385" si="56">IF(N379="zákl. přenesená",J379,0)</f>
        <v>0</v>
      </c>
      <c r="BH379" s="14">
        <f t="shared" ref="BH379:BH385" si="57">IF(N379="sníž. přenesená",J379,0)</f>
        <v>0</v>
      </c>
      <c r="BI379" s="14">
        <f t="shared" ref="BI379:BI385" si="58">IF(N379="nulová",J379,0)</f>
        <v>0</v>
      </c>
      <c r="BJ379" s="13" t="s">
        <v>74</v>
      </c>
      <c r="BK379" s="14">
        <f t="shared" ref="BK379:BK385" si="59">ROUND(I379*H379,2)</f>
        <v>0</v>
      </c>
      <c r="BL379" s="13" t="s">
        <v>135</v>
      </c>
      <c r="BM379" s="12" t="s">
        <v>620</v>
      </c>
    </row>
    <row r="380" spans="1:65" s="5" customFormat="1" ht="16.5" customHeight="1" x14ac:dyDescent="0.2">
      <c r="A380" s="105"/>
      <c r="B380" s="4"/>
      <c r="C380" s="33" t="s">
        <v>621</v>
      </c>
      <c r="D380" s="33" t="s">
        <v>131</v>
      </c>
      <c r="E380" s="34" t="s">
        <v>622</v>
      </c>
      <c r="F380" s="7" t="s">
        <v>623</v>
      </c>
      <c r="G380" s="35" t="s">
        <v>157</v>
      </c>
      <c r="H380" s="36">
        <v>1</v>
      </c>
      <c r="I380" s="1"/>
      <c r="J380" s="6">
        <f t="shared" si="50"/>
        <v>0</v>
      </c>
      <c r="K380" s="7" t="s">
        <v>1</v>
      </c>
      <c r="L380" s="4"/>
      <c r="M380" s="8" t="s">
        <v>1</v>
      </c>
      <c r="N380" s="9" t="s">
        <v>33</v>
      </c>
      <c r="O380" s="10">
        <v>0</v>
      </c>
      <c r="P380" s="10">
        <f t="shared" si="51"/>
        <v>0</v>
      </c>
      <c r="Q380" s="10">
        <v>0</v>
      </c>
      <c r="R380" s="10">
        <f t="shared" si="52"/>
        <v>0</v>
      </c>
      <c r="S380" s="10">
        <v>0</v>
      </c>
      <c r="T380" s="11">
        <f t="shared" si="53"/>
        <v>0</v>
      </c>
      <c r="U380" s="105"/>
      <c r="V380" s="105"/>
      <c r="W380" s="105"/>
      <c r="X380" s="105"/>
      <c r="Y380" s="105"/>
      <c r="Z380" s="105"/>
      <c r="AA380" s="105"/>
      <c r="AB380" s="105"/>
      <c r="AC380" s="105"/>
      <c r="AD380" s="105"/>
      <c r="AE380" s="105"/>
      <c r="AR380" s="12" t="s">
        <v>135</v>
      </c>
      <c r="AT380" s="12" t="s">
        <v>131</v>
      </c>
      <c r="AU380" s="12" t="s">
        <v>74</v>
      </c>
      <c r="AY380" s="13" t="s">
        <v>130</v>
      </c>
      <c r="BE380" s="14">
        <f t="shared" si="54"/>
        <v>0</v>
      </c>
      <c r="BF380" s="14">
        <f t="shared" si="55"/>
        <v>0</v>
      </c>
      <c r="BG380" s="14">
        <f t="shared" si="56"/>
        <v>0</v>
      </c>
      <c r="BH380" s="14">
        <f t="shared" si="57"/>
        <v>0</v>
      </c>
      <c r="BI380" s="14">
        <f t="shared" si="58"/>
        <v>0</v>
      </c>
      <c r="BJ380" s="13" t="s">
        <v>74</v>
      </c>
      <c r="BK380" s="14">
        <f t="shared" si="59"/>
        <v>0</v>
      </c>
      <c r="BL380" s="13" t="s">
        <v>135</v>
      </c>
      <c r="BM380" s="12" t="s">
        <v>624</v>
      </c>
    </row>
    <row r="381" spans="1:65" s="5" customFormat="1" ht="16.5" customHeight="1" x14ac:dyDescent="0.2">
      <c r="A381" s="105"/>
      <c r="B381" s="4"/>
      <c r="C381" s="33" t="s">
        <v>467</v>
      </c>
      <c r="D381" s="33" t="s">
        <v>131</v>
      </c>
      <c r="E381" s="34" t="s">
        <v>625</v>
      </c>
      <c r="F381" s="7" t="s">
        <v>626</v>
      </c>
      <c r="G381" s="35" t="s">
        <v>157</v>
      </c>
      <c r="H381" s="36">
        <v>1</v>
      </c>
      <c r="I381" s="1"/>
      <c r="J381" s="6">
        <f t="shared" si="50"/>
        <v>0</v>
      </c>
      <c r="K381" s="7" t="s">
        <v>1</v>
      </c>
      <c r="L381" s="4"/>
      <c r="M381" s="8" t="s">
        <v>1</v>
      </c>
      <c r="N381" s="9" t="s">
        <v>33</v>
      </c>
      <c r="O381" s="10">
        <v>0</v>
      </c>
      <c r="P381" s="10">
        <f t="shared" si="51"/>
        <v>0</v>
      </c>
      <c r="Q381" s="10">
        <v>0</v>
      </c>
      <c r="R381" s="10">
        <f t="shared" si="52"/>
        <v>0</v>
      </c>
      <c r="S381" s="10">
        <v>0</v>
      </c>
      <c r="T381" s="11">
        <f t="shared" si="53"/>
        <v>0</v>
      </c>
      <c r="U381" s="105"/>
      <c r="V381" s="105"/>
      <c r="W381" s="105"/>
      <c r="X381" s="105"/>
      <c r="Y381" s="105"/>
      <c r="Z381" s="105"/>
      <c r="AA381" s="105"/>
      <c r="AB381" s="105"/>
      <c r="AC381" s="105"/>
      <c r="AD381" s="105"/>
      <c r="AE381" s="105"/>
      <c r="AR381" s="12" t="s">
        <v>135</v>
      </c>
      <c r="AT381" s="12" t="s">
        <v>131</v>
      </c>
      <c r="AU381" s="12" t="s">
        <v>74</v>
      </c>
      <c r="AY381" s="13" t="s">
        <v>130</v>
      </c>
      <c r="BE381" s="14">
        <f t="shared" si="54"/>
        <v>0</v>
      </c>
      <c r="BF381" s="14">
        <f t="shared" si="55"/>
        <v>0</v>
      </c>
      <c r="BG381" s="14">
        <f t="shared" si="56"/>
        <v>0</v>
      </c>
      <c r="BH381" s="14">
        <f t="shared" si="57"/>
        <v>0</v>
      </c>
      <c r="BI381" s="14">
        <f t="shared" si="58"/>
        <v>0</v>
      </c>
      <c r="BJ381" s="13" t="s">
        <v>74</v>
      </c>
      <c r="BK381" s="14">
        <f t="shared" si="59"/>
        <v>0</v>
      </c>
      <c r="BL381" s="13" t="s">
        <v>135</v>
      </c>
      <c r="BM381" s="12" t="s">
        <v>627</v>
      </c>
    </row>
    <row r="382" spans="1:65" s="5" customFormat="1" ht="16.5" customHeight="1" x14ac:dyDescent="0.2">
      <c r="A382" s="105"/>
      <c r="B382" s="4"/>
      <c r="C382" s="33" t="s">
        <v>628</v>
      </c>
      <c r="D382" s="33" t="s">
        <v>131</v>
      </c>
      <c r="E382" s="34" t="s">
        <v>496</v>
      </c>
      <c r="F382" s="7" t="s">
        <v>497</v>
      </c>
      <c r="G382" s="35" t="s">
        <v>157</v>
      </c>
      <c r="H382" s="36">
        <v>1</v>
      </c>
      <c r="I382" s="1"/>
      <c r="J382" s="6">
        <f t="shared" si="50"/>
        <v>0</v>
      </c>
      <c r="K382" s="7" t="s">
        <v>1</v>
      </c>
      <c r="L382" s="4"/>
      <c r="M382" s="8" t="s">
        <v>1</v>
      </c>
      <c r="N382" s="9" t="s">
        <v>33</v>
      </c>
      <c r="O382" s="10">
        <v>0</v>
      </c>
      <c r="P382" s="10">
        <f t="shared" si="51"/>
        <v>0</v>
      </c>
      <c r="Q382" s="10">
        <v>0</v>
      </c>
      <c r="R382" s="10">
        <f t="shared" si="52"/>
        <v>0</v>
      </c>
      <c r="S382" s="10">
        <v>0</v>
      </c>
      <c r="T382" s="11">
        <f t="shared" si="53"/>
        <v>0</v>
      </c>
      <c r="U382" s="105"/>
      <c r="V382" s="105"/>
      <c r="W382" s="105"/>
      <c r="X382" s="105"/>
      <c r="Y382" s="105"/>
      <c r="Z382" s="105"/>
      <c r="AA382" s="105"/>
      <c r="AB382" s="105"/>
      <c r="AC382" s="105"/>
      <c r="AD382" s="105"/>
      <c r="AE382" s="105"/>
      <c r="AR382" s="12" t="s">
        <v>135</v>
      </c>
      <c r="AT382" s="12" t="s">
        <v>131</v>
      </c>
      <c r="AU382" s="12" t="s">
        <v>74</v>
      </c>
      <c r="AY382" s="13" t="s">
        <v>130</v>
      </c>
      <c r="BE382" s="14">
        <f t="shared" si="54"/>
        <v>0</v>
      </c>
      <c r="BF382" s="14">
        <f t="shared" si="55"/>
        <v>0</v>
      </c>
      <c r="BG382" s="14">
        <f t="shared" si="56"/>
        <v>0</v>
      </c>
      <c r="BH382" s="14">
        <f t="shared" si="57"/>
        <v>0</v>
      </c>
      <c r="BI382" s="14">
        <f t="shared" si="58"/>
        <v>0</v>
      </c>
      <c r="BJ382" s="13" t="s">
        <v>74</v>
      </c>
      <c r="BK382" s="14">
        <f t="shared" si="59"/>
        <v>0</v>
      </c>
      <c r="BL382" s="13" t="s">
        <v>135</v>
      </c>
      <c r="BM382" s="12" t="s">
        <v>629</v>
      </c>
    </row>
    <row r="383" spans="1:65" s="5" customFormat="1" ht="16.5" customHeight="1" x14ac:dyDescent="0.2">
      <c r="A383" s="105"/>
      <c r="B383" s="4"/>
      <c r="C383" s="33" t="s">
        <v>469</v>
      </c>
      <c r="D383" s="33" t="s">
        <v>131</v>
      </c>
      <c r="E383" s="34" t="s">
        <v>362</v>
      </c>
      <c r="F383" s="7" t="s">
        <v>337</v>
      </c>
      <c r="G383" s="35" t="s">
        <v>157</v>
      </c>
      <c r="H383" s="36">
        <v>1</v>
      </c>
      <c r="I383" s="1"/>
      <c r="J383" s="6">
        <f t="shared" si="50"/>
        <v>0</v>
      </c>
      <c r="K383" s="7" t="s">
        <v>1</v>
      </c>
      <c r="L383" s="4"/>
      <c r="M383" s="8" t="s">
        <v>1</v>
      </c>
      <c r="N383" s="9" t="s">
        <v>33</v>
      </c>
      <c r="O383" s="10">
        <v>0</v>
      </c>
      <c r="P383" s="10">
        <f t="shared" si="51"/>
        <v>0</v>
      </c>
      <c r="Q383" s="10">
        <v>0</v>
      </c>
      <c r="R383" s="10">
        <f t="shared" si="52"/>
        <v>0</v>
      </c>
      <c r="S383" s="10">
        <v>0</v>
      </c>
      <c r="T383" s="11">
        <f t="shared" si="53"/>
        <v>0</v>
      </c>
      <c r="U383" s="105"/>
      <c r="V383" s="105"/>
      <c r="W383" s="105"/>
      <c r="X383" s="105"/>
      <c r="Y383" s="105"/>
      <c r="Z383" s="105"/>
      <c r="AA383" s="105"/>
      <c r="AB383" s="105"/>
      <c r="AC383" s="105"/>
      <c r="AD383" s="105"/>
      <c r="AE383" s="105"/>
      <c r="AR383" s="12" t="s">
        <v>135</v>
      </c>
      <c r="AT383" s="12" t="s">
        <v>131</v>
      </c>
      <c r="AU383" s="12" t="s">
        <v>74</v>
      </c>
      <c r="AY383" s="13" t="s">
        <v>130</v>
      </c>
      <c r="BE383" s="14">
        <f t="shared" si="54"/>
        <v>0</v>
      </c>
      <c r="BF383" s="14">
        <f t="shared" si="55"/>
        <v>0</v>
      </c>
      <c r="BG383" s="14">
        <f t="shared" si="56"/>
        <v>0</v>
      </c>
      <c r="BH383" s="14">
        <f t="shared" si="57"/>
        <v>0</v>
      </c>
      <c r="BI383" s="14">
        <f t="shared" si="58"/>
        <v>0</v>
      </c>
      <c r="BJ383" s="13" t="s">
        <v>74</v>
      </c>
      <c r="BK383" s="14">
        <f t="shared" si="59"/>
        <v>0</v>
      </c>
      <c r="BL383" s="13" t="s">
        <v>135</v>
      </c>
      <c r="BM383" s="12" t="s">
        <v>630</v>
      </c>
    </row>
    <row r="384" spans="1:65" s="5" customFormat="1" ht="16.5" customHeight="1" x14ac:dyDescent="0.2">
      <c r="A384" s="105"/>
      <c r="B384" s="4"/>
      <c r="C384" s="33" t="s">
        <v>631</v>
      </c>
      <c r="D384" s="33" t="s">
        <v>131</v>
      </c>
      <c r="E384" s="34" t="s">
        <v>357</v>
      </c>
      <c r="F384" s="7" t="s">
        <v>143</v>
      </c>
      <c r="G384" s="35" t="s">
        <v>134</v>
      </c>
      <c r="H384" s="36">
        <v>1.008</v>
      </c>
      <c r="I384" s="1"/>
      <c r="J384" s="6">
        <f t="shared" si="50"/>
        <v>0</v>
      </c>
      <c r="K384" s="7" t="s">
        <v>1</v>
      </c>
      <c r="L384" s="4"/>
      <c r="M384" s="8" t="s">
        <v>1</v>
      </c>
      <c r="N384" s="9" t="s">
        <v>33</v>
      </c>
      <c r="O384" s="10">
        <v>0</v>
      </c>
      <c r="P384" s="10">
        <f t="shared" si="51"/>
        <v>0</v>
      </c>
      <c r="Q384" s="10">
        <v>0</v>
      </c>
      <c r="R384" s="10">
        <f t="shared" si="52"/>
        <v>0</v>
      </c>
      <c r="S384" s="10">
        <v>0</v>
      </c>
      <c r="T384" s="11">
        <f t="shared" si="53"/>
        <v>0</v>
      </c>
      <c r="U384" s="105"/>
      <c r="V384" s="105"/>
      <c r="W384" s="105"/>
      <c r="X384" s="105"/>
      <c r="Y384" s="105"/>
      <c r="Z384" s="105"/>
      <c r="AA384" s="105"/>
      <c r="AB384" s="105"/>
      <c r="AC384" s="105"/>
      <c r="AD384" s="105"/>
      <c r="AE384" s="105"/>
      <c r="AR384" s="12" t="s">
        <v>135</v>
      </c>
      <c r="AT384" s="12" t="s">
        <v>131</v>
      </c>
      <c r="AU384" s="12" t="s">
        <v>74</v>
      </c>
      <c r="AY384" s="13" t="s">
        <v>130</v>
      </c>
      <c r="BE384" s="14">
        <f t="shared" si="54"/>
        <v>0</v>
      </c>
      <c r="BF384" s="14">
        <f t="shared" si="55"/>
        <v>0</v>
      </c>
      <c r="BG384" s="14">
        <f t="shared" si="56"/>
        <v>0</v>
      </c>
      <c r="BH384" s="14">
        <f t="shared" si="57"/>
        <v>0</v>
      </c>
      <c r="BI384" s="14">
        <f t="shared" si="58"/>
        <v>0</v>
      </c>
      <c r="BJ384" s="13" t="s">
        <v>74</v>
      </c>
      <c r="BK384" s="14">
        <f t="shared" si="59"/>
        <v>0</v>
      </c>
      <c r="BL384" s="13" t="s">
        <v>135</v>
      </c>
      <c r="BM384" s="12" t="s">
        <v>632</v>
      </c>
    </row>
    <row r="385" spans="1:65" s="5" customFormat="1" ht="16.5" customHeight="1" x14ac:dyDescent="0.2">
      <c r="A385" s="105"/>
      <c r="B385" s="4"/>
      <c r="C385" s="33" t="s">
        <v>471</v>
      </c>
      <c r="D385" s="33" t="s">
        <v>131</v>
      </c>
      <c r="E385" s="34" t="s">
        <v>358</v>
      </c>
      <c r="F385" s="7" t="s">
        <v>359</v>
      </c>
      <c r="G385" s="35" t="s">
        <v>134</v>
      </c>
      <c r="H385" s="36">
        <v>1.008</v>
      </c>
      <c r="I385" s="1"/>
      <c r="J385" s="6">
        <f t="shared" si="50"/>
        <v>0</v>
      </c>
      <c r="K385" s="7" t="s">
        <v>1</v>
      </c>
      <c r="L385" s="4"/>
      <c r="M385" s="8" t="s">
        <v>1</v>
      </c>
      <c r="N385" s="9" t="s">
        <v>33</v>
      </c>
      <c r="O385" s="10">
        <v>0</v>
      </c>
      <c r="P385" s="10">
        <f t="shared" si="51"/>
        <v>0</v>
      </c>
      <c r="Q385" s="10">
        <v>0</v>
      </c>
      <c r="R385" s="10">
        <f t="shared" si="52"/>
        <v>0</v>
      </c>
      <c r="S385" s="10">
        <v>0</v>
      </c>
      <c r="T385" s="11">
        <f t="shared" si="53"/>
        <v>0</v>
      </c>
      <c r="U385" s="105"/>
      <c r="V385" s="105"/>
      <c r="W385" s="105"/>
      <c r="X385" s="105"/>
      <c r="Y385" s="105"/>
      <c r="Z385" s="105"/>
      <c r="AA385" s="105"/>
      <c r="AB385" s="105"/>
      <c r="AC385" s="105"/>
      <c r="AD385" s="105"/>
      <c r="AE385" s="105"/>
      <c r="AR385" s="12" t="s">
        <v>135</v>
      </c>
      <c r="AT385" s="12" t="s">
        <v>131</v>
      </c>
      <c r="AU385" s="12" t="s">
        <v>74</v>
      </c>
      <c r="AY385" s="13" t="s">
        <v>130</v>
      </c>
      <c r="BE385" s="14">
        <f t="shared" si="54"/>
        <v>0</v>
      </c>
      <c r="BF385" s="14">
        <f t="shared" si="55"/>
        <v>0</v>
      </c>
      <c r="BG385" s="14">
        <f t="shared" si="56"/>
        <v>0</v>
      </c>
      <c r="BH385" s="14">
        <f t="shared" si="57"/>
        <v>0</v>
      </c>
      <c r="BI385" s="14">
        <f t="shared" si="58"/>
        <v>0</v>
      </c>
      <c r="BJ385" s="13" t="s">
        <v>74</v>
      </c>
      <c r="BK385" s="14">
        <f t="shared" si="59"/>
        <v>0</v>
      </c>
      <c r="BL385" s="13" t="s">
        <v>135</v>
      </c>
      <c r="BM385" s="12" t="s">
        <v>633</v>
      </c>
    </row>
    <row r="386" spans="1:65" s="20" customFormat="1" ht="25.9" customHeight="1" x14ac:dyDescent="0.2">
      <c r="B386" s="21"/>
      <c r="D386" s="26" t="s">
        <v>67</v>
      </c>
      <c r="E386" s="39" t="s">
        <v>634</v>
      </c>
      <c r="F386" s="39" t="s">
        <v>635</v>
      </c>
      <c r="J386" s="19">
        <f>BK386</f>
        <v>0</v>
      </c>
      <c r="L386" s="21"/>
      <c r="M386" s="22"/>
      <c r="N386" s="23"/>
      <c r="O386" s="23"/>
      <c r="P386" s="24">
        <f>SUM(P389:P396)</f>
        <v>0</v>
      </c>
      <c r="Q386" s="23"/>
      <c r="R386" s="24">
        <f>SUM(R389:R396)</f>
        <v>0</v>
      </c>
      <c r="S386" s="23"/>
      <c r="T386" s="25">
        <f>SUM(T389:T396)</f>
        <v>0</v>
      </c>
      <c r="AR386" s="26" t="s">
        <v>74</v>
      </c>
      <c r="AT386" s="27" t="s">
        <v>67</v>
      </c>
      <c r="AU386" s="27" t="s">
        <v>68</v>
      </c>
      <c r="AY386" s="26" t="s">
        <v>130</v>
      </c>
      <c r="BK386" s="28">
        <f>SUM(BK389:BK396)</f>
        <v>0</v>
      </c>
    </row>
    <row r="387" spans="1:65" s="5" customFormat="1" ht="10.15" customHeight="1" x14ac:dyDescent="0.2">
      <c r="B387" s="45"/>
      <c r="D387" s="216" t="s">
        <v>340</v>
      </c>
      <c r="F387" s="116" t="s">
        <v>1193</v>
      </c>
      <c r="G387" s="117"/>
      <c r="K387" s="181"/>
      <c r="L387" s="94"/>
      <c r="M387" s="52"/>
      <c r="P387" s="126" t="s">
        <v>148</v>
      </c>
      <c r="Q387" s="126" t="s">
        <v>74</v>
      </c>
    </row>
    <row r="388" spans="1:65" s="5" customFormat="1" ht="10.15" customHeight="1" x14ac:dyDescent="0.2">
      <c r="B388" s="45"/>
      <c r="D388" s="216" t="s">
        <v>340</v>
      </c>
      <c r="F388" s="116" t="s">
        <v>1194</v>
      </c>
      <c r="H388" s="117">
        <f>9.39+(20*1.34*0.15)</f>
        <v>13.41</v>
      </c>
      <c r="K388" s="181"/>
      <c r="L388" s="94"/>
      <c r="M388" s="52"/>
      <c r="P388" s="126" t="s">
        <v>148</v>
      </c>
      <c r="Q388" s="126" t="s">
        <v>74</v>
      </c>
    </row>
    <row r="389" spans="1:65" s="5" customFormat="1" ht="16.5" customHeight="1" x14ac:dyDescent="0.2">
      <c r="A389" s="105"/>
      <c r="B389" s="4"/>
      <c r="C389" s="33" t="s">
        <v>636</v>
      </c>
      <c r="D389" s="33" t="s">
        <v>131</v>
      </c>
      <c r="E389" s="34" t="s">
        <v>637</v>
      </c>
      <c r="F389" s="7" t="s">
        <v>638</v>
      </c>
      <c r="G389" s="35" t="s">
        <v>333</v>
      </c>
      <c r="H389" s="36">
        <v>26.8</v>
      </c>
      <c r="I389" s="1"/>
      <c r="J389" s="6">
        <f t="shared" ref="J389:J396" si="60">ROUND(I389*H389,2)</f>
        <v>0</v>
      </c>
      <c r="K389" s="7" t="s">
        <v>1</v>
      </c>
      <c r="L389" s="4"/>
      <c r="M389" s="8" t="s">
        <v>1</v>
      </c>
      <c r="N389" s="9" t="s">
        <v>33</v>
      </c>
      <c r="O389" s="10">
        <v>0</v>
      </c>
      <c r="P389" s="10">
        <f t="shared" ref="P389:P396" si="61">O389*H389</f>
        <v>0</v>
      </c>
      <c r="Q389" s="10">
        <v>0</v>
      </c>
      <c r="R389" s="10">
        <f t="shared" ref="R389:R396" si="62">Q389*H389</f>
        <v>0</v>
      </c>
      <c r="S389" s="10">
        <v>0</v>
      </c>
      <c r="T389" s="11">
        <f t="shared" ref="T389:T396" si="63">S389*H389</f>
        <v>0</v>
      </c>
      <c r="U389" s="105"/>
      <c r="V389" s="105"/>
      <c r="W389" s="105"/>
      <c r="X389" s="105"/>
      <c r="Y389" s="105"/>
      <c r="Z389" s="105"/>
      <c r="AA389" s="105"/>
      <c r="AB389" s="105"/>
      <c r="AC389" s="105"/>
      <c r="AD389" s="105"/>
      <c r="AE389" s="105"/>
      <c r="AR389" s="12" t="s">
        <v>135</v>
      </c>
      <c r="AT389" s="12" t="s">
        <v>131</v>
      </c>
      <c r="AU389" s="12" t="s">
        <v>74</v>
      </c>
      <c r="AY389" s="13" t="s">
        <v>130</v>
      </c>
      <c r="BE389" s="14">
        <f t="shared" ref="BE389:BE396" si="64">IF(N389="základní",J389,0)</f>
        <v>0</v>
      </c>
      <c r="BF389" s="14">
        <f t="shared" ref="BF389:BF396" si="65">IF(N389="snížená",J389,0)</f>
        <v>0</v>
      </c>
      <c r="BG389" s="14">
        <f t="shared" ref="BG389:BG396" si="66">IF(N389="zákl. přenesená",J389,0)</f>
        <v>0</v>
      </c>
      <c r="BH389" s="14">
        <f t="shared" ref="BH389:BH396" si="67">IF(N389="sníž. přenesená",J389,0)</f>
        <v>0</v>
      </c>
      <c r="BI389" s="14">
        <f t="shared" ref="BI389:BI396" si="68">IF(N389="nulová",J389,0)</f>
        <v>0</v>
      </c>
      <c r="BJ389" s="13" t="s">
        <v>74</v>
      </c>
      <c r="BK389" s="14">
        <f t="shared" ref="BK389:BK396" si="69">ROUND(I389*H389,2)</f>
        <v>0</v>
      </c>
      <c r="BL389" s="13" t="s">
        <v>135</v>
      </c>
      <c r="BM389" s="12" t="s">
        <v>639</v>
      </c>
    </row>
    <row r="390" spans="1:65" s="5" customFormat="1" ht="16.5" customHeight="1" x14ac:dyDescent="0.2">
      <c r="A390" s="105"/>
      <c r="B390" s="4"/>
      <c r="C390" s="33" t="s">
        <v>473</v>
      </c>
      <c r="D390" s="33" t="s">
        <v>131</v>
      </c>
      <c r="E390" s="34" t="s">
        <v>640</v>
      </c>
      <c r="F390" s="7" t="s">
        <v>641</v>
      </c>
      <c r="G390" s="35" t="s">
        <v>333</v>
      </c>
      <c r="H390" s="36">
        <v>26.8</v>
      </c>
      <c r="I390" s="1"/>
      <c r="J390" s="6">
        <f t="shared" si="60"/>
        <v>0</v>
      </c>
      <c r="K390" s="7" t="s">
        <v>1</v>
      </c>
      <c r="L390" s="4"/>
      <c r="M390" s="8" t="s">
        <v>1</v>
      </c>
      <c r="N390" s="9" t="s">
        <v>33</v>
      </c>
      <c r="O390" s="10">
        <v>0</v>
      </c>
      <c r="P390" s="10">
        <f t="shared" si="61"/>
        <v>0</v>
      </c>
      <c r="Q390" s="10">
        <v>0</v>
      </c>
      <c r="R390" s="10">
        <f t="shared" si="62"/>
        <v>0</v>
      </c>
      <c r="S390" s="10">
        <v>0</v>
      </c>
      <c r="T390" s="11">
        <f t="shared" si="63"/>
        <v>0</v>
      </c>
      <c r="U390" s="105"/>
      <c r="V390" s="105"/>
      <c r="W390" s="105"/>
      <c r="X390" s="105"/>
      <c r="Y390" s="105"/>
      <c r="Z390" s="105"/>
      <c r="AA390" s="105"/>
      <c r="AB390" s="105"/>
      <c r="AC390" s="105"/>
      <c r="AD390" s="105"/>
      <c r="AE390" s="105"/>
      <c r="AR390" s="12" t="s">
        <v>135</v>
      </c>
      <c r="AT390" s="12" t="s">
        <v>131</v>
      </c>
      <c r="AU390" s="12" t="s">
        <v>74</v>
      </c>
      <c r="AY390" s="13" t="s">
        <v>130</v>
      </c>
      <c r="BE390" s="14">
        <f t="shared" si="64"/>
        <v>0</v>
      </c>
      <c r="BF390" s="14">
        <f t="shared" si="65"/>
        <v>0</v>
      </c>
      <c r="BG390" s="14">
        <f t="shared" si="66"/>
        <v>0</v>
      </c>
      <c r="BH390" s="14">
        <f t="shared" si="67"/>
        <v>0</v>
      </c>
      <c r="BI390" s="14">
        <f t="shared" si="68"/>
        <v>0</v>
      </c>
      <c r="BJ390" s="13" t="s">
        <v>74</v>
      </c>
      <c r="BK390" s="14">
        <f t="shared" si="69"/>
        <v>0</v>
      </c>
      <c r="BL390" s="13" t="s">
        <v>135</v>
      </c>
      <c r="BM390" s="12" t="s">
        <v>642</v>
      </c>
    </row>
    <row r="391" spans="1:65" s="5" customFormat="1" ht="16.5" customHeight="1" x14ac:dyDescent="0.2">
      <c r="A391" s="105"/>
      <c r="B391" s="4"/>
      <c r="C391" s="33" t="s">
        <v>643</v>
      </c>
      <c r="D391" s="33" t="s">
        <v>131</v>
      </c>
      <c r="E391" s="34" t="s">
        <v>644</v>
      </c>
      <c r="F391" s="7" t="s">
        <v>645</v>
      </c>
      <c r="G391" s="35" t="s">
        <v>333</v>
      </c>
      <c r="H391" s="36">
        <v>26.8</v>
      </c>
      <c r="I391" s="1"/>
      <c r="J391" s="6">
        <f t="shared" si="60"/>
        <v>0</v>
      </c>
      <c r="K391" s="7" t="s">
        <v>1</v>
      </c>
      <c r="L391" s="4"/>
      <c r="M391" s="8" t="s">
        <v>1</v>
      </c>
      <c r="N391" s="9" t="s">
        <v>33</v>
      </c>
      <c r="O391" s="10">
        <v>0</v>
      </c>
      <c r="P391" s="10">
        <f t="shared" si="61"/>
        <v>0</v>
      </c>
      <c r="Q391" s="10">
        <v>0</v>
      </c>
      <c r="R391" s="10">
        <f t="shared" si="62"/>
        <v>0</v>
      </c>
      <c r="S391" s="10">
        <v>0</v>
      </c>
      <c r="T391" s="11">
        <f t="shared" si="63"/>
        <v>0</v>
      </c>
      <c r="U391" s="105"/>
      <c r="V391" s="105"/>
      <c r="W391" s="105"/>
      <c r="X391" s="105"/>
      <c r="Y391" s="105"/>
      <c r="Z391" s="105"/>
      <c r="AA391" s="105"/>
      <c r="AB391" s="105"/>
      <c r="AC391" s="105"/>
      <c r="AD391" s="105"/>
      <c r="AE391" s="105"/>
      <c r="AR391" s="12" t="s">
        <v>135</v>
      </c>
      <c r="AT391" s="12" t="s">
        <v>131</v>
      </c>
      <c r="AU391" s="12" t="s">
        <v>74</v>
      </c>
      <c r="AY391" s="13" t="s">
        <v>130</v>
      </c>
      <c r="BE391" s="14">
        <f t="shared" si="64"/>
        <v>0</v>
      </c>
      <c r="BF391" s="14">
        <f t="shared" si="65"/>
        <v>0</v>
      </c>
      <c r="BG391" s="14">
        <f t="shared" si="66"/>
        <v>0</v>
      </c>
      <c r="BH391" s="14">
        <f t="shared" si="67"/>
        <v>0</v>
      </c>
      <c r="BI391" s="14">
        <f t="shared" si="68"/>
        <v>0</v>
      </c>
      <c r="BJ391" s="13" t="s">
        <v>74</v>
      </c>
      <c r="BK391" s="14">
        <f t="shared" si="69"/>
        <v>0</v>
      </c>
      <c r="BL391" s="13" t="s">
        <v>135</v>
      </c>
      <c r="BM391" s="12" t="s">
        <v>646</v>
      </c>
    </row>
    <row r="392" spans="1:65" s="5" customFormat="1" ht="16.5" customHeight="1" x14ac:dyDescent="0.2">
      <c r="A392" s="105"/>
      <c r="B392" s="4"/>
      <c r="C392" s="33" t="s">
        <v>474</v>
      </c>
      <c r="D392" s="33" t="s">
        <v>131</v>
      </c>
      <c r="E392" s="34" t="s">
        <v>647</v>
      </c>
      <c r="F392" s="7" t="s">
        <v>648</v>
      </c>
      <c r="G392" s="35" t="s">
        <v>333</v>
      </c>
      <c r="H392" s="36">
        <v>26.8</v>
      </c>
      <c r="I392" s="1"/>
      <c r="J392" s="6">
        <f t="shared" si="60"/>
        <v>0</v>
      </c>
      <c r="K392" s="7" t="s">
        <v>1</v>
      </c>
      <c r="L392" s="4"/>
      <c r="M392" s="8" t="s">
        <v>1</v>
      </c>
      <c r="N392" s="9" t="s">
        <v>33</v>
      </c>
      <c r="O392" s="10">
        <v>0</v>
      </c>
      <c r="P392" s="10">
        <f t="shared" si="61"/>
        <v>0</v>
      </c>
      <c r="Q392" s="10">
        <v>0</v>
      </c>
      <c r="R392" s="10">
        <f t="shared" si="62"/>
        <v>0</v>
      </c>
      <c r="S392" s="10">
        <v>0</v>
      </c>
      <c r="T392" s="11">
        <f t="shared" si="63"/>
        <v>0</v>
      </c>
      <c r="U392" s="105"/>
      <c r="V392" s="105"/>
      <c r="W392" s="105"/>
      <c r="X392" s="105"/>
      <c r="Y392" s="105"/>
      <c r="Z392" s="105"/>
      <c r="AA392" s="105"/>
      <c r="AB392" s="105"/>
      <c r="AC392" s="105"/>
      <c r="AD392" s="105"/>
      <c r="AE392" s="105"/>
      <c r="AR392" s="12" t="s">
        <v>135</v>
      </c>
      <c r="AT392" s="12" t="s">
        <v>131</v>
      </c>
      <c r="AU392" s="12" t="s">
        <v>74</v>
      </c>
      <c r="AY392" s="13" t="s">
        <v>130</v>
      </c>
      <c r="BE392" s="14">
        <f t="shared" si="64"/>
        <v>0</v>
      </c>
      <c r="BF392" s="14">
        <f t="shared" si="65"/>
        <v>0</v>
      </c>
      <c r="BG392" s="14">
        <f t="shared" si="66"/>
        <v>0</v>
      </c>
      <c r="BH392" s="14">
        <f t="shared" si="67"/>
        <v>0</v>
      </c>
      <c r="BI392" s="14">
        <f t="shared" si="68"/>
        <v>0</v>
      </c>
      <c r="BJ392" s="13" t="s">
        <v>74</v>
      </c>
      <c r="BK392" s="14">
        <f t="shared" si="69"/>
        <v>0</v>
      </c>
      <c r="BL392" s="13" t="s">
        <v>135</v>
      </c>
      <c r="BM392" s="12" t="s">
        <v>649</v>
      </c>
    </row>
    <row r="393" spans="1:65" s="5" customFormat="1" ht="16.5" customHeight="1" x14ac:dyDescent="0.2">
      <c r="A393" s="105"/>
      <c r="B393" s="4"/>
      <c r="C393" s="33" t="s">
        <v>650</v>
      </c>
      <c r="D393" s="33" t="s">
        <v>131</v>
      </c>
      <c r="E393" s="34" t="s">
        <v>651</v>
      </c>
      <c r="F393" s="7" t="s">
        <v>652</v>
      </c>
      <c r="G393" s="35" t="s">
        <v>333</v>
      </c>
      <c r="H393" s="36">
        <v>26.8</v>
      </c>
      <c r="I393" s="1"/>
      <c r="J393" s="6">
        <f t="shared" si="60"/>
        <v>0</v>
      </c>
      <c r="K393" s="7" t="s">
        <v>1</v>
      </c>
      <c r="L393" s="4"/>
      <c r="M393" s="8" t="s">
        <v>1</v>
      </c>
      <c r="N393" s="9" t="s">
        <v>33</v>
      </c>
      <c r="O393" s="10">
        <v>0</v>
      </c>
      <c r="P393" s="10">
        <f t="shared" si="61"/>
        <v>0</v>
      </c>
      <c r="Q393" s="10">
        <v>0</v>
      </c>
      <c r="R393" s="10">
        <f t="shared" si="62"/>
        <v>0</v>
      </c>
      <c r="S393" s="10">
        <v>0</v>
      </c>
      <c r="T393" s="11">
        <f t="shared" si="63"/>
        <v>0</v>
      </c>
      <c r="U393" s="105"/>
      <c r="V393" s="105"/>
      <c r="W393" s="105"/>
      <c r="X393" s="105"/>
      <c r="Y393" s="105"/>
      <c r="Z393" s="105"/>
      <c r="AA393" s="105"/>
      <c r="AB393" s="105"/>
      <c r="AC393" s="105"/>
      <c r="AD393" s="105"/>
      <c r="AE393" s="105"/>
      <c r="AR393" s="12" t="s">
        <v>135</v>
      </c>
      <c r="AT393" s="12" t="s">
        <v>131</v>
      </c>
      <c r="AU393" s="12" t="s">
        <v>74</v>
      </c>
      <c r="AY393" s="13" t="s">
        <v>130</v>
      </c>
      <c r="BE393" s="14">
        <f t="shared" si="64"/>
        <v>0</v>
      </c>
      <c r="BF393" s="14">
        <f t="shared" si="65"/>
        <v>0</v>
      </c>
      <c r="BG393" s="14">
        <f t="shared" si="66"/>
        <v>0</v>
      </c>
      <c r="BH393" s="14">
        <f t="shared" si="67"/>
        <v>0</v>
      </c>
      <c r="BI393" s="14">
        <f t="shared" si="68"/>
        <v>0</v>
      </c>
      <c r="BJ393" s="13" t="s">
        <v>74</v>
      </c>
      <c r="BK393" s="14">
        <f t="shared" si="69"/>
        <v>0</v>
      </c>
      <c r="BL393" s="13" t="s">
        <v>135</v>
      </c>
      <c r="BM393" s="12" t="s">
        <v>653</v>
      </c>
    </row>
    <row r="394" spans="1:65" s="5" customFormat="1" ht="16.5" customHeight="1" x14ac:dyDescent="0.2">
      <c r="A394" s="105"/>
      <c r="B394" s="4"/>
      <c r="C394" s="33" t="s">
        <v>477</v>
      </c>
      <c r="D394" s="33" t="s">
        <v>131</v>
      </c>
      <c r="E394" s="34" t="s">
        <v>654</v>
      </c>
      <c r="F394" s="7" t="s">
        <v>655</v>
      </c>
      <c r="G394" s="35" t="s">
        <v>333</v>
      </c>
      <c r="H394" s="36">
        <v>26.8</v>
      </c>
      <c r="I394" s="1"/>
      <c r="J394" s="6">
        <f t="shared" si="60"/>
        <v>0</v>
      </c>
      <c r="K394" s="7" t="s">
        <v>1</v>
      </c>
      <c r="L394" s="4"/>
      <c r="M394" s="8" t="s">
        <v>1</v>
      </c>
      <c r="N394" s="9" t="s">
        <v>33</v>
      </c>
      <c r="O394" s="10">
        <v>0</v>
      </c>
      <c r="P394" s="10">
        <f t="shared" si="61"/>
        <v>0</v>
      </c>
      <c r="Q394" s="10">
        <v>0</v>
      </c>
      <c r="R394" s="10">
        <f t="shared" si="62"/>
        <v>0</v>
      </c>
      <c r="S394" s="10">
        <v>0</v>
      </c>
      <c r="T394" s="11">
        <f t="shared" si="63"/>
        <v>0</v>
      </c>
      <c r="U394" s="105"/>
      <c r="V394" s="105"/>
      <c r="W394" s="105"/>
      <c r="X394" s="105"/>
      <c r="Y394" s="105"/>
      <c r="Z394" s="105"/>
      <c r="AA394" s="105"/>
      <c r="AB394" s="105"/>
      <c r="AC394" s="105"/>
      <c r="AD394" s="105"/>
      <c r="AE394" s="105"/>
      <c r="AR394" s="12" t="s">
        <v>135</v>
      </c>
      <c r="AT394" s="12" t="s">
        <v>131</v>
      </c>
      <c r="AU394" s="12" t="s">
        <v>74</v>
      </c>
      <c r="AY394" s="13" t="s">
        <v>130</v>
      </c>
      <c r="BE394" s="14">
        <f t="shared" si="64"/>
        <v>0</v>
      </c>
      <c r="BF394" s="14">
        <f t="shared" si="65"/>
        <v>0</v>
      </c>
      <c r="BG394" s="14">
        <f t="shared" si="66"/>
        <v>0</v>
      </c>
      <c r="BH394" s="14">
        <f t="shared" si="67"/>
        <v>0</v>
      </c>
      <c r="BI394" s="14">
        <f t="shared" si="68"/>
        <v>0</v>
      </c>
      <c r="BJ394" s="13" t="s">
        <v>74</v>
      </c>
      <c r="BK394" s="14">
        <f t="shared" si="69"/>
        <v>0</v>
      </c>
      <c r="BL394" s="13" t="s">
        <v>135</v>
      </c>
      <c r="BM394" s="12" t="s">
        <v>656</v>
      </c>
    </row>
    <row r="395" spans="1:65" s="5" customFormat="1" ht="16.5" customHeight="1" x14ac:dyDescent="0.2">
      <c r="A395" s="105"/>
      <c r="B395" s="4"/>
      <c r="C395" s="33" t="s">
        <v>657</v>
      </c>
      <c r="D395" s="33" t="s">
        <v>131</v>
      </c>
      <c r="E395" s="34" t="s">
        <v>142</v>
      </c>
      <c r="F395" s="7" t="s">
        <v>143</v>
      </c>
      <c r="G395" s="35" t="s">
        <v>134</v>
      </c>
      <c r="H395" s="36">
        <v>13.41</v>
      </c>
      <c r="I395" s="1"/>
      <c r="J395" s="6">
        <f t="shared" si="60"/>
        <v>0</v>
      </c>
      <c r="K395" s="7" t="s">
        <v>1</v>
      </c>
      <c r="L395" s="4"/>
      <c r="M395" s="8" t="s">
        <v>1</v>
      </c>
      <c r="N395" s="9" t="s">
        <v>33</v>
      </c>
      <c r="O395" s="10">
        <v>0</v>
      </c>
      <c r="P395" s="10">
        <f t="shared" si="61"/>
        <v>0</v>
      </c>
      <c r="Q395" s="10">
        <v>0</v>
      </c>
      <c r="R395" s="10">
        <f t="shared" si="62"/>
        <v>0</v>
      </c>
      <c r="S395" s="10">
        <v>0</v>
      </c>
      <c r="T395" s="11">
        <f t="shared" si="63"/>
        <v>0</v>
      </c>
      <c r="U395" s="105"/>
      <c r="V395" s="105"/>
      <c r="W395" s="105"/>
      <c r="X395" s="105"/>
      <c r="Y395" s="105"/>
      <c r="Z395" s="105"/>
      <c r="AA395" s="105"/>
      <c r="AB395" s="105"/>
      <c r="AC395" s="105"/>
      <c r="AD395" s="105"/>
      <c r="AE395" s="105"/>
      <c r="AR395" s="12" t="s">
        <v>135</v>
      </c>
      <c r="AT395" s="12" t="s">
        <v>131</v>
      </c>
      <c r="AU395" s="12" t="s">
        <v>74</v>
      </c>
      <c r="AY395" s="13" t="s">
        <v>130</v>
      </c>
      <c r="BE395" s="14">
        <f t="shared" si="64"/>
        <v>0</v>
      </c>
      <c r="BF395" s="14">
        <f t="shared" si="65"/>
        <v>0</v>
      </c>
      <c r="BG395" s="14">
        <f t="shared" si="66"/>
        <v>0</v>
      </c>
      <c r="BH395" s="14">
        <f t="shared" si="67"/>
        <v>0</v>
      </c>
      <c r="BI395" s="14">
        <f t="shared" si="68"/>
        <v>0</v>
      </c>
      <c r="BJ395" s="13" t="s">
        <v>74</v>
      </c>
      <c r="BK395" s="14">
        <f t="shared" si="69"/>
        <v>0</v>
      </c>
      <c r="BL395" s="13" t="s">
        <v>135</v>
      </c>
      <c r="BM395" s="12" t="s">
        <v>658</v>
      </c>
    </row>
    <row r="396" spans="1:65" s="5" customFormat="1" ht="16.5" customHeight="1" x14ac:dyDescent="0.2">
      <c r="A396" s="105"/>
      <c r="B396" s="4"/>
      <c r="C396" s="33" t="s">
        <v>479</v>
      </c>
      <c r="D396" s="33" t="s">
        <v>131</v>
      </c>
      <c r="E396" s="34" t="s">
        <v>659</v>
      </c>
      <c r="F396" s="7" t="s">
        <v>359</v>
      </c>
      <c r="G396" s="35" t="s">
        <v>134</v>
      </c>
      <c r="H396" s="36">
        <v>13.41</v>
      </c>
      <c r="I396" s="1"/>
      <c r="J396" s="6">
        <f t="shared" si="60"/>
        <v>0</v>
      </c>
      <c r="K396" s="7" t="s">
        <v>1</v>
      </c>
      <c r="L396" s="4"/>
      <c r="M396" s="8" t="s">
        <v>1</v>
      </c>
      <c r="N396" s="9" t="s">
        <v>33</v>
      </c>
      <c r="O396" s="10">
        <v>0</v>
      </c>
      <c r="P396" s="10">
        <f t="shared" si="61"/>
        <v>0</v>
      </c>
      <c r="Q396" s="10">
        <v>0</v>
      </c>
      <c r="R396" s="10">
        <f t="shared" si="62"/>
        <v>0</v>
      </c>
      <c r="S396" s="10">
        <v>0</v>
      </c>
      <c r="T396" s="11">
        <f t="shared" si="63"/>
        <v>0</v>
      </c>
      <c r="U396" s="105"/>
      <c r="V396" s="105"/>
      <c r="W396" s="105"/>
      <c r="X396" s="105"/>
      <c r="Y396" s="105"/>
      <c r="Z396" s="105"/>
      <c r="AA396" s="105"/>
      <c r="AB396" s="105"/>
      <c r="AC396" s="105"/>
      <c r="AD396" s="105"/>
      <c r="AE396" s="105"/>
      <c r="AR396" s="12" t="s">
        <v>135</v>
      </c>
      <c r="AT396" s="12" t="s">
        <v>131</v>
      </c>
      <c r="AU396" s="12" t="s">
        <v>74</v>
      </c>
      <c r="AY396" s="13" t="s">
        <v>130</v>
      </c>
      <c r="BE396" s="14">
        <f t="shared" si="64"/>
        <v>0</v>
      </c>
      <c r="BF396" s="14">
        <f t="shared" si="65"/>
        <v>0</v>
      </c>
      <c r="BG396" s="14">
        <f t="shared" si="66"/>
        <v>0</v>
      </c>
      <c r="BH396" s="14">
        <f t="shared" si="67"/>
        <v>0</v>
      </c>
      <c r="BI396" s="14">
        <f t="shared" si="68"/>
        <v>0</v>
      </c>
      <c r="BJ396" s="13" t="s">
        <v>74</v>
      </c>
      <c r="BK396" s="14">
        <f t="shared" si="69"/>
        <v>0</v>
      </c>
      <c r="BL396" s="13" t="s">
        <v>135</v>
      </c>
      <c r="BM396" s="12" t="s">
        <v>660</v>
      </c>
    </row>
    <row r="397" spans="1:65" s="20" customFormat="1" ht="25.9" customHeight="1" x14ac:dyDescent="0.2">
      <c r="B397" s="21"/>
      <c r="D397" s="26" t="s">
        <v>67</v>
      </c>
      <c r="E397" s="39" t="s">
        <v>661</v>
      </c>
      <c r="F397" s="39" t="s">
        <v>662</v>
      </c>
      <c r="J397" s="19">
        <f>BK397</f>
        <v>0</v>
      </c>
      <c r="L397" s="21"/>
      <c r="M397" s="22"/>
      <c r="N397" s="23"/>
      <c r="O397" s="23"/>
      <c r="P397" s="24">
        <f>SUM(P400:P410)</f>
        <v>0</v>
      </c>
      <c r="Q397" s="23"/>
      <c r="R397" s="24">
        <f>SUM(R400:R410)</f>
        <v>0</v>
      </c>
      <c r="S397" s="23"/>
      <c r="T397" s="25">
        <f>SUM(T400:T410)</f>
        <v>0</v>
      </c>
      <c r="AR397" s="26" t="s">
        <v>74</v>
      </c>
      <c r="AT397" s="27" t="s">
        <v>67</v>
      </c>
      <c r="AU397" s="27" t="s">
        <v>68</v>
      </c>
      <c r="AY397" s="26" t="s">
        <v>130</v>
      </c>
      <c r="BK397" s="28">
        <f>SUM(BK400:BK410)</f>
        <v>0</v>
      </c>
    </row>
    <row r="398" spans="1:65" s="5" customFormat="1" ht="10.15" customHeight="1" x14ac:dyDescent="0.2">
      <c r="B398" s="45"/>
      <c r="D398" s="216" t="s">
        <v>340</v>
      </c>
      <c r="F398" s="116" t="s">
        <v>1195</v>
      </c>
      <c r="G398" s="117"/>
      <c r="K398" s="181"/>
      <c r="L398" s="94"/>
      <c r="M398" s="52"/>
      <c r="P398" s="126" t="s">
        <v>148</v>
      </c>
      <c r="Q398" s="126" t="s">
        <v>74</v>
      </c>
    </row>
    <row r="399" spans="1:65" s="5" customFormat="1" ht="10.15" customHeight="1" x14ac:dyDescent="0.2">
      <c r="B399" s="45"/>
      <c r="D399" s="216" t="s">
        <v>340</v>
      </c>
      <c r="F399" s="116" t="s">
        <v>1196</v>
      </c>
      <c r="H399" s="117">
        <f>2.28+(7*1.22*0.155)</f>
        <v>3.6036999999999999</v>
      </c>
      <c r="K399" s="181"/>
      <c r="L399" s="94"/>
      <c r="M399" s="52"/>
      <c r="P399" s="126" t="s">
        <v>148</v>
      </c>
      <c r="Q399" s="126" t="s">
        <v>74</v>
      </c>
    </row>
    <row r="400" spans="1:65" s="5" customFormat="1" ht="16.5" customHeight="1" x14ac:dyDescent="0.2">
      <c r="A400" s="105"/>
      <c r="B400" s="4"/>
      <c r="C400" s="33" t="s">
        <v>663</v>
      </c>
      <c r="D400" s="33" t="s">
        <v>131</v>
      </c>
      <c r="E400" s="34" t="s">
        <v>419</v>
      </c>
      <c r="F400" s="7" t="s">
        <v>412</v>
      </c>
      <c r="G400" s="35" t="s">
        <v>333</v>
      </c>
      <c r="H400" s="36">
        <v>9.0299999999999994</v>
      </c>
      <c r="I400" s="1"/>
      <c r="J400" s="6">
        <f>ROUND(I400*H400,2)</f>
        <v>0</v>
      </c>
      <c r="K400" s="7" t="s">
        <v>1</v>
      </c>
      <c r="L400" s="4"/>
      <c r="M400" s="8" t="s">
        <v>1</v>
      </c>
      <c r="N400" s="9" t="s">
        <v>33</v>
      </c>
      <c r="O400" s="10">
        <v>0</v>
      </c>
      <c r="P400" s="10">
        <f>O400*H400</f>
        <v>0</v>
      </c>
      <c r="Q400" s="10">
        <v>0</v>
      </c>
      <c r="R400" s="10">
        <f>Q400*H400</f>
        <v>0</v>
      </c>
      <c r="S400" s="10">
        <v>0</v>
      </c>
      <c r="T400" s="11">
        <f>S400*H400</f>
        <v>0</v>
      </c>
      <c r="U400" s="105"/>
      <c r="V400" s="105"/>
      <c r="W400" s="105"/>
      <c r="X400" s="105"/>
      <c r="Y400" s="105"/>
      <c r="Z400" s="105"/>
      <c r="AA400" s="105"/>
      <c r="AB400" s="105"/>
      <c r="AC400" s="105"/>
      <c r="AD400" s="105"/>
      <c r="AE400" s="105"/>
      <c r="AR400" s="12" t="s">
        <v>135</v>
      </c>
      <c r="AT400" s="12" t="s">
        <v>131</v>
      </c>
      <c r="AU400" s="12" t="s">
        <v>74</v>
      </c>
      <c r="AY400" s="13" t="s">
        <v>130</v>
      </c>
      <c r="BE400" s="14">
        <f>IF(N400="základní",J400,0)</f>
        <v>0</v>
      </c>
      <c r="BF400" s="14">
        <f>IF(N400="snížená",J400,0)</f>
        <v>0</v>
      </c>
      <c r="BG400" s="14">
        <f>IF(N400="zákl. přenesená",J400,0)</f>
        <v>0</v>
      </c>
      <c r="BH400" s="14">
        <f>IF(N400="sníž. přenesená",J400,0)</f>
        <v>0</v>
      </c>
      <c r="BI400" s="14">
        <f>IF(N400="nulová",J400,0)</f>
        <v>0</v>
      </c>
      <c r="BJ400" s="13" t="s">
        <v>74</v>
      </c>
      <c r="BK400" s="14">
        <f>ROUND(I400*H400,2)</f>
        <v>0</v>
      </c>
      <c r="BL400" s="13" t="s">
        <v>135</v>
      </c>
      <c r="BM400" s="12" t="s">
        <v>664</v>
      </c>
    </row>
    <row r="401" spans="1:65" s="5" customFormat="1" ht="16.5" customHeight="1" x14ac:dyDescent="0.2">
      <c r="A401" s="105"/>
      <c r="B401" s="4"/>
      <c r="C401" s="33" t="s">
        <v>481</v>
      </c>
      <c r="D401" s="33" t="s">
        <v>131</v>
      </c>
      <c r="E401" s="34" t="s">
        <v>422</v>
      </c>
      <c r="F401" s="7" t="s">
        <v>414</v>
      </c>
      <c r="G401" s="35" t="s">
        <v>333</v>
      </c>
      <c r="H401" s="36">
        <v>9.0299999999999994</v>
      </c>
      <c r="I401" s="1"/>
      <c r="J401" s="6">
        <f>ROUND(I401*H401,2)</f>
        <v>0</v>
      </c>
      <c r="K401" s="7" t="s">
        <v>1</v>
      </c>
      <c r="L401" s="4"/>
      <c r="M401" s="8" t="s">
        <v>1</v>
      </c>
      <c r="N401" s="9" t="s">
        <v>33</v>
      </c>
      <c r="O401" s="10">
        <v>0</v>
      </c>
      <c r="P401" s="10">
        <f>O401*H401</f>
        <v>0</v>
      </c>
      <c r="Q401" s="10">
        <v>0</v>
      </c>
      <c r="R401" s="10">
        <f>Q401*H401</f>
        <v>0</v>
      </c>
      <c r="S401" s="10">
        <v>0</v>
      </c>
      <c r="T401" s="11">
        <f>S401*H401</f>
        <v>0</v>
      </c>
      <c r="U401" s="105"/>
      <c r="V401" s="105"/>
      <c r="W401" s="105"/>
      <c r="X401" s="105"/>
      <c r="Y401" s="105"/>
      <c r="Z401" s="105"/>
      <c r="AA401" s="105"/>
      <c r="AB401" s="105"/>
      <c r="AC401" s="105"/>
      <c r="AD401" s="105"/>
      <c r="AE401" s="105"/>
      <c r="AR401" s="12" t="s">
        <v>135</v>
      </c>
      <c r="AT401" s="12" t="s">
        <v>131</v>
      </c>
      <c r="AU401" s="12" t="s">
        <v>74</v>
      </c>
      <c r="AY401" s="13" t="s">
        <v>130</v>
      </c>
      <c r="BE401" s="14">
        <f>IF(N401="základní",J401,0)</f>
        <v>0</v>
      </c>
      <c r="BF401" s="14">
        <f>IF(N401="snížená",J401,0)</f>
        <v>0</v>
      </c>
      <c r="BG401" s="14">
        <f>IF(N401="zákl. přenesená",J401,0)</f>
        <v>0</v>
      </c>
      <c r="BH401" s="14">
        <f>IF(N401="sníž. přenesená",J401,0)</f>
        <v>0</v>
      </c>
      <c r="BI401" s="14">
        <f>IF(N401="nulová",J401,0)</f>
        <v>0</v>
      </c>
      <c r="BJ401" s="13" t="s">
        <v>74</v>
      </c>
      <c r="BK401" s="14">
        <f>ROUND(I401*H401,2)</f>
        <v>0</v>
      </c>
      <c r="BL401" s="13" t="s">
        <v>135</v>
      </c>
      <c r="BM401" s="12" t="s">
        <v>665</v>
      </c>
    </row>
    <row r="402" spans="1:65" s="5" customFormat="1" ht="16.5" customHeight="1" x14ac:dyDescent="0.2">
      <c r="A402" s="105"/>
      <c r="B402" s="4"/>
      <c r="C402" s="33" t="s">
        <v>666</v>
      </c>
      <c r="D402" s="33" t="s">
        <v>131</v>
      </c>
      <c r="E402" s="34" t="s">
        <v>424</v>
      </c>
      <c r="F402" s="7" t="s">
        <v>337</v>
      </c>
      <c r="G402" s="35" t="s">
        <v>333</v>
      </c>
      <c r="H402" s="36">
        <v>9.0299999999999994</v>
      </c>
      <c r="I402" s="1"/>
      <c r="J402" s="6">
        <f>ROUND(I402*H402,2)</f>
        <v>0</v>
      </c>
      <c r="K402" s="7" t="s">
        <v>1</v>
      </c>
      <c r="L402" s="4"/>
      <c r="M402" s="8" t="s">
        <v>1</v>
      </c>
      <c r="N402" s="9" t="s">
        <v>33</v>
      </c>
      <c r="O402" s="10">
        <v>0</v>
      </c>
      <c r="P402" s="10">
        <f>O402*H402</f>
        <v>0</v>
      </c>
      <c r="Q402" s="10">
        <v>0</v>
      </c>
      <c r="R402" s="10">
        <f>Q402*H402</f>
        <v>0</v>
      </c>
      <c r="S402" s="10">
        <v>0</v>
      </c>
      <c r="T402" s="11">
        <f>S402*H402</f>
        <v>0</v>
      </c>
      <c r="U402" s="105"/>
      <c r="V402" s="105"/>
      <c r="W402" s="105"/>
      <c r="X402" s="105"/>
      <c r="Y402" s="105"/>
      <c r="Z402" s="105"/>
      <c r="AA402" s="105"/>
      <c r="AB402" s="105"/>
      <c r="AC402" s="105"/>
      <c r="AD402" s="105"/>
      <c r="AE402" s="105"/>
      <c r="AR402" s="12" t="s">
        <v>135</v>
      </c>
      <c r="AT402" s="12" t="s">
        <v>131</v>
      </c>
      <c r="AU402" s="12" t="s">
        <v>74</v>
      </c>
      <c r="AY402" s="13" t="s">
        <v>130</v>
      </c>
      <c r="BE402" s="14">
        <f>IF(N402="základní",J402,0)</f>
        <v>0</v>
      </c>
      <c r="BF402" s="14">
        <f>IF(N402="snížená",J402,0)</f>
        <v>0</v>
      </c>
      <c r="BG402" s="14">
        <f>IF(N402="zákl. přenesená",J402,0)</f>
        <v>0</v>
      </c>
      <c r="BH402" s="14">
        <f>IF(N402="sníž. přenesená",J402,0)</f>
        <v>0</v>
      </c>
      <c r="BI402" s="14">
        <f>IF(N402="nulová",J402,0)</f>
        <v>0</v>
      </c>
      <c r="BJ402" s="13" t="s">
        <v>74</v>
      </c>
      <c r="BK402" s="14">
        <f>ROUND(I402*H402,2)</f>
        <v>0</v>
      </c>
      <c r="BL402" s="13" t="s">
        <v>135</v>
      </c>
      <c r="BM402" s="12" t="s">
        <v>667</v>
      </c>
    </row>
    <row r="403" spans="1:65" s="5" customFormat="1" ht="16.5" customHeight="1" x14ac:dyDescent="0.2">
      <c r="A403" s="105"/>
      <c r="B403" s="4"/>
      <c r="C403" s="33" t="s">
        <v>483</v>
      </c>
      <c r="D403" s="33" t="s">
        <v>131</v>
      </c>
      <c r="E403" s="34" t="s">
        <v>668</v>
      </c>
      <c r="F403" s="7" t="s">
        <v>669</v>
      </c>
      <c r="G403" s="35" t="s">
        <v>134</v>
      </c>
      <c r="H403" s="36">
        <v>3.3039999999999998</v>
      </c>
      <c r="I403" s="1"/>
      <c r="J403" s="6">
        <f>ROUND(I403*H403,2)</f>
        <v>0</v>
      </c>
      <c r="K403" s="7" t="s">
        <v>1</v>
      </c>
      <c r="L403" s="4"/>
      <c r="M403" s="8" t="s">
        <v>1</v>
      </c>
      <c r="N403" s="9" t="s">
        <v>33</v>
      </c>
      <c r="O403" s="10">
        <v>0</v>
      </c>
      <c r="P403" s="10">
        <f>O403*H403</f>
        <v>0</v>
      </c>
      <c r="Q403" s="10">
        <v>0</v>
      </c>
      <c r="R403" s="10">
        <f>Q403*H403</f>
        <v>0</v>
      </c>
      <c r="S403" s="10">
        <v>0</v>
      </c>
      <c r="T403" s="11">
        <f>S403*H403</f>
        <v>0</v>
      </c>
      <c r="U403" s="105"/>
      <c r="V403" s="105"/>
      <c r="W403" s="105"/>
      <c r="X403" s="105"/>
      <c r="Y403" s="105"/>
      <c r="Z403" s="105"/>
      <c r="AA403" s="105"/>
      <c r="AB403" s="105"/>
      <c r="AC403" s="105"/>
      <c r="AD403" s="105"/>
      <c r="AE403" s="105"/>
      <c r="AR403" s="12" t="s">
        <v>135</v>
      </c>
      <c r="AT403" s="12" t="s">
        <v>131</v>
      </c>
      <c r="AU403" s="12" t="s">
        <v>74</v>
      </c>
      <c r="AY403" s="13" t="s">
        <v>130</v>
      </c>
      <c r="BE403" s="14">
        <f>IF(N403="základní",J403,0)</f>
        <v>0</v>
      </c>
      <c r="BF403" s="14">
        <f>IF(N403="snížená",J403,0)</f>
        <v>0</v>
      </c>
      <c r="BG403" s="14">
        <f>IF(N403="zákl. přenesená",J403,0)</f>
        <v>0</v>
      </c>
      <c r="BH403" s="14">
        <f>IF(N403="sníž. přenesená",J403,0)</f>
        <v>0</v>
      </c>
      <c r="BI403" s="14">
        <f>IF(N403="nulová",J403,0)</f>
        <v>0</v>
      </c>
      <c r="BJ403" s="13" t="s">
        <v>74</v>
      </c>
      <c r="BK403" s="14">
        <f>ROUND(I403*H403,2)</f>
        <v>0</v>
      </c>
      <c r="BL403" s="13" t="s">
        <v>135</v>
      </c>
      <c r="BM403" s="12" t="s">
        <v>670</v>
      </c>
    </row>
    <row r="404" spans="1:65" s="152" customFormat="1" x14ac:dyDescent="0.2">
      <c r="B404" s="210"/>
      <c r="D404" s="37" t="s">
        <v>340</v>
      </c>
      <c r="E404" s="161" t="s">
        <v>1</v>
      </c>
      <c r="F404" s="211" t="s">
        <v>671</v>
      </c>
      <c r="H404" s="212"/>
      <c r="L404" s="210"/>
      <c r="M404" s="159"/>
      <c r="N404" s="154"/>
      <c r="O404" s="154"/>
      <c r="P404" s="154"/>
      <c r="Q404" s="154"/>
      <c r="R404" s="154"/>
      <c r="S404" s="154"/>
      <c r="T404" s="160"/>
      <c r="AT404" s="161" t="s">
        <v>340</v>
      </c>
      <c r="AU404" s="161" t="s">
        <v>74</v>
      </c>
      <c r="AV404" s="152" t="s">
        <v>76</v>
      </c>
      <c r="AW404" s="152" t="s">
        <v>25</v>
      </c>
      <c r="AX404" s="152" t="s">
        <v>68</v>
      </c>
      <c r="AY404" s="161" t="s">
        <v>130</v>
      </c>
    </row>
    <row r="405" spans="1:65" s="162" customFormat="1" x14ac:dyDescent="0.2">
      <c r="B405" s="213"/>
      <c r="D405" s="37" t="s">
        <v>340</v>
      </c>
      <c r="E405" s="171" t="s">
        <v>1</v>
      </c>
      <c r="F405" s="214" t="s">
        <v>342</v>
      </c>
      <c r="H405" s="215">
        <v>3.3039999999999998</v>
      </c>
      <c r="L405" s="213"/>
      <c r="M405" s="169"/>
      <c r="N405" s="164"/>
      <c r="O405" s="164"/>
      <c r="P405" s="164"/>
      <c r="Q405" s="164"/>
      <c r="R405" s="164"/>
      <c r="S405" s="164"/>
      <c r="T405" s="170"/>
      <c r="AT405" s="171" t="s">
        <v>340</v>
      </c>
      <c r="AU405" s="171" t="s">
        <v>74</v>
      </c>
      <c r="AV405" s="162" t="s">
        <v>135</v>
      </c>
      <c r="AW405" s="162" t="s">
        <v>25</v>
      </c>
      <c r="AX405" s="162" t="s">
        <v>74</v>
      </c>
      <c r="AY405" s="171" t="s">
        <v>130</v>
      </c>
    </row>
    <row r="406" spans="1:65" s="5" customFormat="1" ht="16.5" customHeight="1" x14ac:dyDescent="0.2">
      <c r="A406" s="105"/>
      <c r="B406" s="4"/>
      <c r="C406" s="33" t="s">
        <v>672</v>
      </c>
      <c r="D406" s="33" t="s">
        <v>131</v>
      </c>
      <c r="E406" s="34" t="s">
        <v>673</v>
      </c>
      <c r="F406" s="7" t="s">
        <v>674</v>
      </c>
      <c r="G406" s="35" t="s">
        <v>134</v>
      </c>
      <c r="H406" s="36">
        <v>3.3039999999999998</v>
      </c>
      <c r="I406" s="1"/>
      <c r="J406" s="6">
        <f>ROUND(I406*H406,2)</f>
        <v>0</v>
      </c>
      <c r="K406" s="7" t="s">
        <v>1</v>
      </c>
      <c r="L406" s="4"/>
      <c r="M406" s="8" t="s">
        <v>1</v>
      </c>
      <c r="N406" s="9" t="s">
        <v>33</v>
      </c>
      <c r="O406" s="10">
        <v>0</v>
      </c>
      <c r="P406" s="10">
        <f>O406*H406</f>
        <v>0</v>
      </c>
      <c r="Q406" s="10">
        <v>0</v>
      </c>
      <c r="R406" s="10">
        <f>Q406*H406</f>
        <v>0</v>
      </c>
      <c r="S406" s="10">
        <v>0</v>
      </c>
      <c r="T406" s="11">
        <f>S406*H406</f>
        <v>0</v>
      </c>
      <c r="U406" s="105"/>
      <c r="V406" s="105"/>
      <c r="W406" s="105"/>
      <c r="X406" s="105"/>
      <c r="Y406" s="105"/>
      <c r="Z406" s="105"/>
      <c r="AA406" s="105"/>
      <c r="AB406" s="105"/>
      <c r="AC406" s="105"/>
      <c r="AD406" s="105"/>
      <c r="AE406" s="105"/>
      <c r="AR406" s="12" t="s">
        <v>135</v>
      </c>
      <c r="AT406" s="12" t="s">
        <v>131</v>
      </c>
      <c r="AU406" s="12" t="s">
        <v>74</v>
      </c>
      <c r="AY406" s="13" t="s">
        <v>130</v>
      </c>
      <c r="BE406" s="14">
        <f>IF(N406="základní",J406,0)</f>
        <v>0</v>
      </c>
      <c r="BF406" s="14">
        <f>IF(N406="snížená",J406,0)</f>
        <v>0</v>
      </c>
      <c r="BG406" s="14">
        <f>IF(N406="zákl. přenesená",J406,0)</f>
        <v>0</v>
      </c>
      <c r="BH406" s="14">
        <f>IF(N406="sníž. přenesená",J406,0)</f>
        <v>0</v>
      </c>
      <c r="BI406" s="14">
        <f>IF(N406="nulová",J406,0)</f>
        <v>0</v>
      </c>
      <c r="BJ406" s="13" t="s">
        <v>74</v>
      </c>
      <c r="BK406" s="14">
        <f>ROUND(I406*H406,2)</f>
        <v>0</v>
      </c>
      <c r="BL406" s="13" t="s">
        <v>135</v>
      </c>
      <c r="BM406" s="12" t="s">
        <v>675</v>
      </c>
    </row>
    <row r="407" spans="1:65" s="5" customFormat="1" ht="16.5" customHeight="1" x14ac:dyDescent="0.2">
      <c r="A407" s="105"/>
      <c r="B407" s="4"/>
      <c r="C407" s="33" t="s">
        <v>488</v>
      </c>
      <c r="D407" s="33" t="s">
        <v>131</v>
      </c>
      <c r="E407" s="34" t="s">
        <v>345</v>
      </c>
      <c r="F407" s="7" t="s">
        <v>346</v>
      </c>
      <c r="G407" s="35" t="s">
        <v>134</v>
      </c>
      <c r="H407" s="36">
        <v>6.9080000000000004</v>
      </c>
      <c r="I407" s="1"/>
      <c r="J407" s="6">
        <f>ROUND(I407*H407,2)</f>
        <v>0</v>
      </c>
      <c r="K407" s="7" t="s">
        <v>1</v>
      </c>
      <c r="L407" s="4"/>
      <c r="M407" s="8" t="s">
        <v>1</v>
      </c>
      <c r="N407" s="9" t="s">
        <v>33</v>
      </c>
      <c r="O407" s="10">
        <v>0</v>
      </c>
      <c r="P407" s="10">
        <f>O407*H407</f>
        <v>0</v>
      </c>
      <c r="Q407" s="10">
        <v>0</v>
      </c>
      <c r="R407" s="10">
        <f>Q407*H407</f>
        <v>0</v>
      </c>
      <c r="S407" s="10">
        <v>0</v>
      </c>
      <c r="T407" s="11">
        <f>S407*H407</f>
        <v>0</v>
      </c>
      <c r="U407" s="105"/>
      <c r="V407" s="105"/>
      <c r="W407" s="105"/>
      <c r="X407" s="105"/>
      <c r="Y407" s="105"/>
      <c r="Z407" s="105"/>
      <c r="AA407" s="105"/>
      <c r="AB407" s="105"/>
      <c r="AC407" s="105"/>
      <c r="AD407" s="105"/>
      <c r="AE407" s="105"/>
      <c r="AR407" s="12" t="s">
        <v>135</v>
      </c>
      <c r="AT407" s="12" t="s">
        <v>131</v>
      </c>
      <c r="AU407" s="12" t="s">
        <v>74</v>
      </c>
      <c r="AY407" s="13" t="s">
        <v>130</v>
      </c>
      <c r="BE407" s="14">
        <f>IF(N407="základní",J407,0)</f>
        <v>0</v>
      </c>
      <c r="BF407" s="14">
        <f>IF(N407="snížená",J407,0)</f>
        <v>0</v>
      </c>
      <c r="BG407" s="14">
        <f>IF(N407="zákl. přenesená",J407,0)</f>
        <v>0</v>
      </c>
      <c r="BH407" s="14">
        <f>IF(N407="sníž. přenesená",J407,0)</f>
        <v>0</v>
      </c>
      <c r="BI407" s="14">
        <f>IF(N407="nulová",J407,0)</f>
        <v>0</v>
      </c>
      <c r="BJ407" s="13" t="s">
        <v>74</v>
      </c>
      <c r="BK407" s="14">
        <f>ROUND(I407*H407,2)</f>
        <v>0</v>
      </c>
      <c r="BL407" s="13" t="s">
        <v>135</v>
      </c>
      <c r="BM407" s="12" t="s">
        <v>676</v>
      </c>
    </row>
    <row r="408" spans="1:65" s="152" customFormat="1" x14ac:dyDescent="0.2">
      <c r="B408" s="210"/>
      <c r="D408" s="37" t="s">
        <v>340</v>
      </c>
      <c r="E408" s="161" t="s">
        <v>1</v>
      </c>
      <c r="F408" s="211" t="s">
        <v>677</v>
      </c>
      <c r="H408" s="212"/>
      <c r="L408" s="210"/>
      <c r="M408" s="159"/>
      <c r="N408" s="154"/>
      <c r="O408" s="154"/>
      <c r="P408" s="154"/>
      <c r="Q408" s="154"/>
      <c r="R408" s="154"/>
      <c r="S408" s="154"/>
      <c r="T408" s="160"/>
      <c r="AT408" s="161" t="s">
        <v>340</v>
      </c>
      <c r="AU408" s="161" t="s">
        <v>74</v>
      </c>
      <c r="AV408" s="152" t="s">
        <v>76</v>
      </c>
      <c r="AW408" s="152" t="s">
        <v>25</v>
      </c>
      <c r="AX408" s="152" t="s">
        <v>68</v>
      </c>
      <c r="AY408" s="161" t="s">
        <v>130</v>
      </c>
    </row>
    <row r="409" spans="1:65" s="162" customFormat="1" x14ac:dyDescent="0.2">
      <c r="B409" s="213"/>
      <c r="D409" s="37" t="s">
        <v>340</v>
      </c>
      <c r="E409" s="171" t="s">
        <v>1</v>
      </c>
      <c r="F409" s="214" t="s">
        <v>342</v>
      </c>
      <c r="H409" s="215">
        <v>6.9080000000000004</v>
      </c>
      <c r="L409" s="213"/>
      <c r="M409" s="169"/>
      <c r="N409" s="164"/>
      <c r="O409" s="164"/>
      <c r="P409" s="164"/>
      <c r="Q409" s="164"/>
      <c r="R409" s="164"/>
      <c r="S409" s="164"/>
      <c r="T409" s="170"/>
      <c r="AT409" s="171" t="s">
        <v>340</v>
      </c>
      <c r="AU409" s="171" t="s">
        <v>74</v>
      </c>
      <c r="AV409" s="162" t="s">
        <v>135</v>
      </c>
      <c r="AW409" s="162" t="s">
        <v>25</v>
      </c>
      <c r="AX409" s="162" t="s">
        <v>74</v>
      </c>
      <c r="AY409" s="171" t="s">
        <v>130</v>
      </c>
    </row>
    <row r="410" spans="1:65" s="5" customFormat="1" ht="16.5" customHeight="1" x14ac:dyDescent="0.2">
      <c r="A410" s="105"/>
      <c r="B410" s="4"/>
      <c r="C410" s="33" t="s">
        <v>678</v>
      </c>
      <c r="D410" s="33" t="s">
        <v>131</v>
      </c>
      <c r="E410" s="34" t="s">
        <v>679</v>
      </c>
      <c r="F410" s="7" t="s">
        <v>349</v>
      </c>
      <c r="G410" s="35" t="s">
        <v>134</v>
      </c>
      <c r="H410" s="36">
        <v>6.9080000000000004</v>
      </c>
      <c r="I410" s="1"/>
      <c r="J410" s="6">
        <f>ROUND(I410*H410,2)</f>
        <v>0</v>
      </c>
      <c r="K410" s="7" t="s">
        <v>1</v>
      </c>
      <c r="L410" s="4"/>
      <c r="M410" s="8" t="s">
        <v>1</v>
      </c>
      <c r="N410" s="9" t="s">
        <v>33</v>
      </c>
      <c r="O410" s="10">
        <v>0</v>
      </c>
      <c r="P410" s="10">
        <f>O410*H410</f>
        <v>0</v>
      </c>
      <c r="Q410" s="10">
        <v>0</v>
      </c>
      <c r="R410" s="10">
        <f>Q410*H410</f>
        <v>0</v>
      </c>
      <c r="S410" s="10">
        <v>0</v>
      </c>
      <c r="T410" s="11">
        <f>S410*H410</f>
        <v>0</v>
      </c>
      <c r="U410" s="105"/>
      <c r="V410" s="105"/>
      <c r="W410" s="105"/>
      <c r="X410" s="105"/>
      <c r="Y410" s="105"/>
      <c r="Z410" s="105"/>
      <c r="AA410" s="105"/>
      <c r="AB410" s="105"/>
      <c r="AC410" s="105"/>
      <c r="AD410" s="105"/>
      <c r="AE410" s="105"/>
      <c r="AR410" s="12" t="s">
        <v>135</v>
      </c>
      <c r="AT410" s="12" t="s">
        <v>131</v>
      </c>
      <c r="AU410" s="12" t="s">
        <v>74</v>
      </c>
      <c r="AY410" s="13" t="s">
        <v>130</v>
      </c>
      <c r="BE410" s="14">
        <f>IF(N410="základní",J410,0)</f>
        <v>0</v>
      </c>
      <c r="BF410" s="14">
        <f>IF(N410="snížená",J410,0)</f>
        <v>0</v>
      </c>
      <c r="BG410" s="14">
        <f>IF(N410="zákl. přenesená",J410,0)</f>
        <v>0</v>
      </c>
      <c r="BH410" s="14">
        <f>IF(N410="sníž. přenesená",J410,0)</f>
        <v>0</v>
      </c>
      <c r="BI410" s="14">
        <f>IF(N410="nulová",J410,0)</f>
        <v>0</v>
      </c>
      <c r="BJ410" s="13" t="s">
        <v>74</v>
      </c>
      <c r="BK410" s="14">
        <f>ROUND(I410*H410,2)</f>
        <v>0</v>
      </c>
      <c r="BL410" s="13" t="s">
        <v>135</v>
      </c>
      <c r="BM410" s="12" t="s">
        <v>680</v>
      </c>
    </row>
    <row r="411" spans="1:65" s="5" customFormat="1" ht="6.95" customHeight="1" x14ac:dyDescent="0.2">
      <c r="A411" s="105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4"/>
      <c r="M411" s="105"/>
      <c r="O411" s="105"/>
      <c r="P411" s="105"/>
      <c r="Q411" s="105"/>
      <c r="R411" s="105"/>
      <c r="S411" s="105"/>
      <c r="T411" s="105"/>
      <c r="U411" s="105"/>
      <c r="V411" s="105"/>
      <c r="W411" s="105"/>
      <c r="X411" s="105"/>
      <c r="Y411" s="105"/>
      <c r="Z411" s="105"/>
      <c r="AA411" s="105"/>
      <c r="AB411" s="105"/>
      <c r="AC411" s="105"/>
      <c r="AD411" s="105"/>
      <c r="AE411" s="105"/>
    </row>
  </sheetData>
  <sheetProtection algorithmName="SHA-512" hashValue="9dQIJPO5+AceWGn8k9hr4XkJLmpKjA0m/cTlRfzLfqayEwg7DCfHKVptGvSRNJaQb/bOHj80odS954WBKSMAUA==" saltValue="COmwoQ5+RI9tyjVtfo24EQ==" spinCount="100000" sheet="1" objects="1" scenarios="1"/>
  <autoFilter ref="C143:K410"/>
  <mergeCells count="10">
    <mergeCell ref="E87:H87"/>
    <mergeCell ref="E134:H134"/>
    <mergeCell ref="E136:H136"/>
    <mergeCell ref="L2:V2"/>
    <mergeCell ref="C144:K14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76"/>
  <sheetViews>
    <sheetView showGridLines="0" topLeftCell="A221" zoomScale="90" zoomScaleNormal="90" workbookViewId="0">
      <selection activeCell="W148" sqref="W148"/>
    </sheetView>
  </sheetViews>
  <sheetFormatPr defaultColWidth="9.1640625" defaultRowHeight="11.25" x14ac:dyDescent="0.2"/>
  <cols>
    <col min="1" max="1" width="8.33203125" style="107" customWidth="1"/>
    <col min="2" max="2" width="1.1640625" style="107" customWidth="1"/>
    <col min="3" max="3" width="4.1640625" style="107" customWidth="1"/>
    <col min="4" max="4" width="4.33203125" style="107" customWidth="1"/>
    <col min="5" max="5" width="17.1640625" style="107" customWidth="1"/>
    <col min="6" max="6" width="100.83203125" style="107" customWidth="1"/>
    <col min="7" max="7" width="7.5" style="107" customWidth="1"/>
    <col min="8" max="8" width="14" style="107" customWidth="1"/>
    <col min="9" max="9" width="15.83203125" style="107" customWidth="1"/>
    <col min="10" max="11" width="22.33203125" style="107" customWidth="1"/>
    <col min="12" max="12" width="9.33203125" style="107" customWidth="1"/>
    <col min="13" max="13" width="10.83203125" style="107" hidden="1" customWidth="1"/>
    <col min="14" max="14" width="9.33203125" style="107" hidden="1"/>
    <col min="15" max="20" width="14.1640625" style="107" hidden="1" customWidth="1"/>
    <col min="21" max="21" width="16.33203125" style="107" hidden="1" customWidth="1"/>
    <col min="22" max="22" width="12.33203125" style="107" customWidth="1"/>
    <col min="23" max="23" width="16.33203125" style="107" customWidth="1"/>
    <col min="24" max="24" width="12.33203125" style="107" customWidth="1"/>
    <col min="25" max="25" width="15" style="107" customWidth="1"/>
    <col min="26" max="26" width="11" style="107" customWidth="1"/>
    <col min="27" max="27" width="15" style="107" customWidth="1"/>
    <col min="28" max="28" width="16.33203125" style="107" customWidth="1"/>
    <col min="29" max="29" width="11" style="107" customWidth="1"/>
    <col min="30" max="30" width="15" style="107" customWidth="1"/>
    <col min="31" max="31" width="16.33203125" style="107" customWidth="1"/>
    <col min="32" max="43" width="9.1640625" style="107"/>
    <col min="44" max="65" width="9.33203125" style="107" hidden="1"/>
    <col min="66" max="16384" width="9.1640625" style="107"/>
  </cols>
  <sheetData>
    <row r="2" spans="1:46" ht="36.950000000000003" customHeight="1" x14ac:dyDescent="0.2">
      <c r="L2" s="306" t="s">
        <v>5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3" t="s">
        <v>80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106" t="s">
        <v>14</v>
      </c>
      <c r="L6" s="42"/>
    </row>
    <row r="7" spans="1:46" ht="16.5" customHeight="1" x14ac:dyDescent="0.2">
      <c r="B7" s="42"/>
      <c r="E7" s="312" t="str">
        <f>'Rekapitulace stavby'!K6</f>
        <v>REKONSTRUKCE A DOSTAVBA BUDOV FF UK - DVD</v>
      </c>
      <c r="F7" s="313"/>
      <c r="G7" s="313"/>
      <c r="H7" s="313"/>
      <c r="L7" s="42"/>
    </row>
    <row r="8" spans="1:46" s="5" customFormat="1" ht="12" customHeight="1" x14ac:dyDescent="0.2">
      <c r="A8" s="105"/>
      <c r="B8" s="4"/>
      <c r="C8" s="105"/>
      <c r="D8" s="106" t="s">
        <v>87</v>
      </c>
      <c r="E8" s="105"/>
      <c r="F8" s="105"/>
      <c r="G8" s="105"/>
      <c r="H8" s="105"/>
      <c r="I8" s="105"/>
      <c r="J8" s="105"/>
      <c r="K8" s="105"/>
      <c r="L8" s="4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46" s="5" customFormat="1" ht="16.5" customHeight="1" x14ac:dyDescent="0.2">
      <c r="A9" s="105"/>
      <c r="B9" s="4"/>
      <c r="C9" s="105"/>
      <c r="D9" s="105"/>
      <c r="E9" s="277" t="s">
        <v>1197</v>
      </c>
      <c r="F9" s="311"/>
      <c r="G9" s="311"/>
      <c r="H9" s="311"/>
      <c r="I9" s="105"/>
      <c r="J9" s="105"/>
      <c r="K9" s="105"/>
      <c r="L9" s="4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46" s="5" customFormat="1" x14ac:dyDescent="0.2">
      <c r="A10" s="105"/>
      <c r="B10" s="4"/>
      <c r="C10" s="105"/>
      <c r="D10" s="105"/>
      <c r="E10" s="105"/>
      <c r="F10" s="105"/>
      <c r="G10" s="105"/>
      <c r="H10" s="105"/>
      <c r="I10" s="105"/>
      <c r="J10" s="105"/>
      <c r="K10" s="105"/>
      <c r="L10" s="4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46" s="5" customFormat="1" ht="12" customHeight="1" x14ac:dyDescent="0.2">
      <c r="A11" s="105"/>
      <c r="B11" s="4"/>
      <c r="C11" s="105"/>
      <c r="D11" s="106" t="s">
        <v>15</v>
      </c>
      <c r="E11" s="105"/>
      <c r="F11" s="46" t="s">
        <v>1291</v>
      </c>
      <c r="G11" s="105"/>
      <c r="H11" s="105"/>
      <c r="I11" s="106" t="s">
        <v>16</v>
      </c>
      <c r="J11" s="108" t="s">
        <v>1</v>
      </c>
      <c r="K11" s="105"/>
      <c r="L11" s="4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46" s="5" customFormat="1" ht="12" customHeight="1" x14ac:dyDescent="0.2">
      <c r="A12" s="105"/>
      <c r="B12" s="4"/>
      <c r="C12" s="105"/>
      <c r="D12" s="106" t="s">
        <v>17</v>
      </c>
      <c r="E12" s="105"/>
      <c r="F12" s="46" t="s">
        <v>1292</v>
      </c>
      <c r="G12" s="105"/>
      <c r="H12" s="105"/>
      <c r="I12" s="106" t="s">
        <v>19</v>
      </c>
      <c r="J12" s="47">
        <f>'Rekapitulace stavby'!AN8</f>
        <v>44310</v>
      </c>
      <c r="K12" s="105"/>
      <c r="L12" s="4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46" s="5" customFormat="1" ht="10.9" customHeight="1" x14ac:dyDescent="0.2">
      <c r="A13" s="105"/>
      <c r="B13" s="4"/>
      <c r="C13" s="105"/>
      <c r="D13" s="105"/>
      <c r="E13" s="105"/>
      <c r="F13" s="105"/>
      <c r="G13" s="105"/>
      <c r="H13" s="105"/>
      <c r="I13" s="105"/>
      <c r="J13" s="105"/>
      <c r="K13" s="105"/>
      <c r="L13" s="4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46" s="5" customFormat="1" ht="12" customHeight="1" x14ac:dyDescent="0.2">
      <c r="A14" s="105"/>
      <c r="B14" s="4"/>
      <c r="C14" s="105"/>
      <c r="D14" s="106" t="s">
        <v>20</v>
      </c>
      <c r="E14" s="105"/>
      <c r="F14" s="105"/>
      <c r="G14" s="105"/>
      <c r="H14" s="105"/>
      <c r="I14" s="106" t="s">
        <v>21</v>
      </c>
      <c r="J14" s="108" t="str">
        <f>IF('Rekapitulace stavby'!AN10="","",'Rekapitulace stavby'!AN10)</f>
        <v/>
      </c>
      <c r="K14" s="105"/>
      <c r="L14" s="4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46" s="5" customFormat="1" ht="18" customHeight="1" x14ac:dyDescent="0.2">
      <c r="A15" s="105"/>
      <c r="B15" s="4"/>
      <c r="C15" s="105"/>
      <c r="D15" s="105"/>
      <c r="E15" s="48" t="s">
        <v>1293</v>
      </c>
      <c r="F15" s="105"/>
      <c r="G15" s="105"/>
      <c r="H15" s="105"/>
      <c r="I15" s="106" t="s">
        <v>22</v>
      </c>
      <c r="J15" s="108" t="str">
        <f>IF('Rekapitulace stavby'!AN11="","",'Rekapitulace stavby'!AN11)</f>
        <v/>
      </c>
      <c r="K15" s="105"/>
      <c r="L15" s="4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46" s="5" customFormat="1" ht="6.95" customHeight="1" x14ac:dyDescent="0.2">
      <c r="A16" s="105"/>
      <c r="B16" s="4"/>
      <c r="C16" s="105"/>
      <c r="D16" s="105"/>
      <c r="E16" s="105"/>
      <c r="F16" s="105"/>
      <c r="G16" s="105"/>
      <c r="H16" s="105"/>
      <c r="I16" s="105"/>
      <c r="J16" s="105"/>
      <c r="K16" s="105"/>
      <c r="L16" s="4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31" s="5" customFormat="1" ht="12" customHeight="1" x14ac:dyDescent="0.2">
      <c r="A17" s="105"/>
      <c r="B17" s="4"/>
      <c r="C17" s="105"/>
      <c r="D17" s="106" t="s">
        <v>23</v>
      </c>
      <c r="E17" s="105"/>
      <c r="F17" s="105"/>
      <c r="G17" s="105"/>
      <c r="H17" s="105"/>
      <c r="I17" s="106" t="s">
        <v>21</v>
      </c>
      <c r="J17" s="108" t="str">
        <f>'Rekapitulace stavby'!AN13</f>
        <v/>
      </c>
      <c r="K17" s="105"/>
      <c r="L17" s="4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</row>
    <row r="18" spans="1:31" s="5" customFormat="1" ht="18" customHeight="1" x14ac:dyDescent="0.2">
      <c r="A18" s="105"/>
      <c r="B18" s="4"/>
      <c r="C18" s="105"/>
      <c r="D18" s="105"/>
      <c r="E18" s="299" t="str">
        <f>'Rekapitulace stavby'!E14</f>
        <v xml:space="preserve"> </v>
      </c>
      <c r="F18" s="299"/>
      <c r="G18" s="299"/>
      <c r="H18" s="299"/>
      <c r="I18" s="106" t="s">
        <v>22</v>
      </c>
      <c r="J18" s="108" t="str">
        <f>'Rekapitulace stavby'!AN14</f>
        <v/>
      </c>
      <c r="K18" s="105"/>
      <c r="L18" s="4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5" customFormat="1" ht="6.95" customHeight="1" x14ac:dyDescent="0.2">
      <c r="A19" s="105"/>
      <c r="B19" s="4"/>
      <c r="C19" s="105"/>
      <c r="D19" s="105"/>
      <c r="E19" s="105"/>
      <c r="F19" s="105"/>
      <c r="G19" s="105"/>
      <c r="H19" s="105"/>
      <c r="I19" s="105"/>
      <c r="J19" s="105"/>
      <c r="K19" s="105"/>
      <c r="L19" s="4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</row>
    <row r="20" spans="1:31" s="5" customFormat="1" ht="12" customHeight="1" x14ac:dyDescent="0.2">
      <c r="A20" s="105"/>
      <c r="B20" s="4"/>
      <c r="C20" s="105"/>
      <c r="D20" s="106" t="s">
        <v>24</v>
      </c>
      <c r="E20" s="105"/>
      <c r="F20" s="105"/>
      <c r="G20" s="105"/>
      <c r="H20" s="105"/>
      <c r="I20" s="106" t="s">
        <v>21</v>
      </c>
      <c r="J20" s="108" t="str">
        <f>IF('Rekapitulace stavby'!AN16="","",'Rekapitulace stavby'!AN16)</f>
        <v/>
      </c>
      <c r="K20" s="105"/>
      <c r="L20" s="4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</row>
    <row r="21" spans="1:31" s="5" customFormat="1" ht="18" customHeight="1" x14ac:dyDescent="0.2">
      <c r="A21" s="105"/>
      <c r="B21" s="4"/>
      <c r="C21" s="105"/>
      <c r="D21" s="105"/>
      <c r="E21" s="48" t="s">
        <v>1294</v>
      </c>
      <c r="F21" s="105"/>
      <c r="G21" s="105"/>
      <c r="H21" s="105"/>
      <c r="I21" s="106" t="s">
        <v>22</v>
      </c>
      <c r="J21" s="108" t="str">
        <f>IF('Rekapitulace stavby'!AN17="","",'Rekapitulace stavby'!AN17)</f>
        <v/>
      </c>
      <c r="K21" s="105"/>
      <c r="L21" s="4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</row>
    <row r="22" spans="1:31" s="5" customFormat="1" ht="6.95" customHeight="1" x14ac:dyDescent="0.2">
      <c r="A22" s="105"/>
      <c r="B22" s="4"/>
      <c r="C22" s="105"/>
      <c r="D22" s="105"/>
      <c r="E22" s="105"/>
      <c r="F22" s="105"/>
      <c r="G22" s="105"/>
      <c r="H22" s="105"/>
      <c r="I22" s="105"/>
      <c r="J22" s="105"/>
      <c r="K22" s="105"/>
      <c r="L22" s="4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</row>
    <row r="23" spans="1:31" s="5" customFormat="1" ht="12" customHeight="1" x14ac:dyDescent="0.2">
      <c r="A23" s="105"/>
      <c r="B23" s="4"/>
      <c r="C23" s="105"/>
      <c r="D23" s="106" t="s">
        <v>26</v>
      </c>
      <c r="E23" s="105"/>
      <c r="F23" s="105"/>
      <c r="G23" s="105"/>
      <c r="H23" s="105"/>
      <c r="I23" s="106" t="s">
        <v>21</v>
      </c>
      <c r="J23" s="108" t="str">
        <f>IF('Rekapitulace stavby'!AN19="","",'Rekapitulace stavby'!AN19)</f>
        <v/>
      </c>
      <c r="K23" s="105"/>
      <c r="L23" s="4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</row>
    <row r="24" spans="1:31" s="5" customFormat="1" ht="18" customHeight="1" x14ac:dyDescent="0.2">
      <c r="A24" s="105"/>
      <c r="B24" s="4"/>
      <c r="C24" s="105"/>
      <c r="D24" s="105"/>
      <c r="E24" s="48" t="s">
        <v>1295</v>
      </c>
      <c r="F24" s="105"/>
      <c r="G24" s="105"/>
      <c r="H24" s="105"/>
      <c r="I24" s="106" t="s">
        <v>22</v>
      </c>
      <c r="J24" s="108" t="str">
        <f>IF('Rekapitulace stavby'!AN20="","",'Rekapitulace stavby'!AN20)</f>
        <v/>
      </c>
      <c r="K24" s="105"/>
      <c r="L24" s="4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</row>
    <row r="25" spans="1:31" s="5" customFormat="1" ht="6.95" customHeight="1" x14ac:dyDescent="0.2">
      <c r="A25" s="105"/>
      <c r="B25" s="4"/>
      <c r="C25" s="105"/>
      <c r="D25" s="105"/>
      <c r="E25" s="105"/>
      <c r="F25" s="105"/>
      <c r="G25" s="105"/>
      <c r="H25" s="105"/>
      <c r="I25" s="105"/>
      <c r="J25" s="105"/>
      <c r="K25" s="105"/>
      <c r="L25" s="4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5" customFormat="1" ht="12" customHeight="1" x14ac:dyDescent="0.2">
      <c r="A26" s="105"/>
      <c r="B26" s="4"/>
      <c r="C26" s="105"/>
      <c r="D26" s="106" t="s">
        <v>27</v>
      </c>
      <c r="E26" s="105"/>
      <c r="F26" s="105"/>
      <c r="G26" s="105"/>
      <c r="H26" s="105"/>
      <c r="I26" s="105"/>
      <c r="J26" s="105"/>
      <c r="K26" s="105"/>
      <c r="L26" s="4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</row>
    <row r="27" spans="1:31" s="52" customFormat="1" ht="16.5" customHeight="1" x14ac:dyDescent="0.2">
      <c r="A27" s="49"/>
      <c r="B27" s="50"/>
      <c r="C27" s="49"/>
      <c r="D27" s="49"/>
      <c r="E27" s="302" t="s">
        <v>1</v>
      </c>
      <c r="F27" s="302"/>
      <c r="G27" s="302"/>
      <c r="H27" s="302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105"/>
      <c r="B28" s="4"/>
      <c r="C28" s="105"/>
      <c r="D28" s="105"/>
      <c r="E28" s="105"/>
      <c r="F28" s="105"/>
      <c r="G28" s="105"/>
      <c r="H28" s="105"/>
      <c r="I28" s="105"/>
      <c r="J28" s="105"/>
      <c r="K28" s="105"/>
      <c r="L28" s="4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s="5" customFormat="1" ht="6.95" customHeight="1" x14ac:dyDescent="0.2">
      <c r="A29" s="105"/>
      <c r="B29" s="4"/>
      <c r="C29" s="105"/>
      <c r="D29" s="53"/>
      <c r="E29" s="53"/>
      <c r="F29" s="53"/>
      <c r="G29" s="53"/>
      <c r="H29" s="53"/>
      <c r="I29" s="53"/>
      <c r="J29" s="53"/>
      <c r="K29" s="53"/>
      <c r="L29" s="4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5" customFormat="1" ht="25.35" customHeight="1" x14ac:dyDescent="0.2">
      <c r="A30" s="105"/>
      <c r="B30" s="4"/>
      <c r="C30" s="105"/>
      <c r="D30" s="54" t="s">
        <v>28</v>
      </c>
      <c r="E30" s="105"/>
      <c r="F30" s="105"/>
      <c r="G30" s="105"/>
      <c r="H30" s="105"/>
      <c r="I30" s="105"/>
      <c r="J30" s="55">
        <f>ROUND(J143, 2)</f>
        <v>0</v>
      </c>
      <c r="K30" s="105"/>
      <c r="L30" s="4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</row>
    <row r="31" spans="1:31" s="5" customFormat="1" ht="6.95" customHeight="1" x14ac:dyDescent="0.2">
      <c r="A31" s="105"/>
      <c r="B31" s="4"/>
      <c r="C31" s="105"/>
      <c r="D31" s="53"/>
      <c r="E31" s="53"/>
      <c r="F31" s="53"/>
      <c r="G31" s="53"/>
      <c r="H31" s="53"/>
      <c r="I31" s="53"/>
      <c r="J31" s="53"/>
      <c r="K31" s="53"/>
      <c r="L31" s="4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5" customFormat="1" ht="14.45" customHeight="1" x14ac:dyDescent="0.2">
      <c r="A32" s="105"/>
      <c r="B32" s="4"/>
      <c r="C32" s="105"/>
      <c r="D32" s="105"/>
      <c r="E32" s="105"/>
      <c r="F32" s="56" t="s">
        <v>30</v>
      </c>
      <c r="G32" s="105"/>
      <c r="H32" s="105"/>
      <c r="I32" s="56" t="s">
        <v>29</v>
      </c>
      <c r="J32" s="56" t="s">
        <v>31</v>
      </c>
      <c r="K32" s="105"/>
      <c r="L32" s="4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</row>
    <row r="33" spans="1:31" s="5" customFormat="1" ht="14.45" customHeight="1" x14ac:dyDescent="0.2">
      <c r="A33" s="105"/>
      <c r="B33" s="4"/>
      <c r="C33" s="105"/>
      <c r="D33" s="57" t="s">
        <v>32</v>
      </c>
      <c r="E33" s="106" t="s">
        <v>33</v>
      </c>
      <c r="F33" s="58">
        <f>ROUND((SUM(BE143:BE670)),  2)</f>
        <v>0</v>
      </c>
      <c r="G33" s="105"/>
      <c r="H33" s="105"/>
      <c r="I33" s="59">
        <v>0.21</v>
      </c>
      <c r="J33" s="58">
        <f>ROUND(((SUM(BE143:BE670))*I33),  2)</f>
        <v>0</v>
      </c>
      <c r="K33" s="105"/>
      <c r="L33" s="4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</row>
    <row r="34" spans="1:31" s="5" customFormat="1" ht="14.45" customHeight="1" x14ac:dyDescent="0.2">
      <c r="A34" s="105"/>
      <c r="B34" s="4"/>
      <c r="C34" s="105"/>
      <c r="D34" s="105"/>
      <c r="E34" s="106" t="s">
        <v>34</v>
      </c>
      <c r="F34" s="58">
        <f>ROUND((SUM(BF143:BF670)),  2)</f>
        <v>0</v>
      </c>
      <c r="G34" s="105"/>
      <c r="H34" s="105"/>
      <c r="I34" s="59">
        <v>0.15</v>
      </c>
      <c r="J34" s="58">
        <f>ROUND(((SUM(BF143:BF670))*I34),  2)</f>
        <v>0</v>
      </c>
      <c r="K34" s="105"/>
      <c r="L34" s="4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</row>
    <row r="35" spans="1:31" s="5" customFormat="1" ht="14.45" hidden="1" customHeight="1" x14ac:dyDescent="0.2">
      <c r="A35" s="105"/>
      <c r="B35" s="4"/>
      <c r="C35" s="105"/>
      <c r="D35" s="105"/>
      <c r="E35" s="106" t="s">
        <v>35</v>
      </c>
      <c r="F35" s="58">
        <f>ROUND((SUM(BG143:BG670)),  2)</f>
        <v>0</v>
      </c>
      <c r="G35" s="105"/>
      <c r="H35" s="105"/>
      <c r="I35" s="59">
        <v>0.21</v>
      </c>
      <c r="J35" s="58">
        <f>0</f>
        <v>0</v>
      </c>
      <c r="K35" s="105"/>
      <c r="L35" s="4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</row>
    <row r="36" spans="1:31" s="5" customFormat="1" ht="14.45" hidden="1" customHeight="1" x14ac:dyDescent="0.2">
      <c r="A36" s="105"/>
      <c r="B36" s="4"/>
      <c r="C36" s="105"/>
      <c r="D36" s="105"/>
      <c r="E36" s="106" t="s">
        <v>36</v>
      </c>
      <c r="F36" s="58">
        <f>ROUND((SUM(BH143:BH670)),  2)</f>
        <v>0</v>
      </c>
      <c r="G36" s="105"/>
      <c r="H36" s="105"/>
      <c r="I36" s="59">
        <v>0.15</v>
      </c>
      <c r="J36" s="58">
        <f>0</f>
        <v>0</v>
      </c>
      <c r="K36" s="105"/>
      <c r="L36" s="4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</row>
    <row r="37" spans="1:31" s="5" customFormat="1" ht="14.45" hidden="1" customHeight="1" x14ac:dyDescent="0.2">
      <c r="A37" s="105"/>
      <c r="B37" s="4"/>
      <c r="C37" s="105"/>
      <c r="D37" s="105"/>
      <c r="E37" s="106" t="s">
        <v>37</v>
      </c>
      <c r="F37" s="58">
        <f>ROUND((SUM(BI143:BI670)),  2)</f>
        <v>0</v>
      </c>
      <c r="G37" s="105"/>
      <c r="H37" s="105"/>
      <c r="I37" s="59">
        <v>0</v>
      </c>
      <c r="J37" s="58">
        <f>0</f>
        <v>0</v>
      </c>
      <c r="K37" s="105"/>
      <c r="L37" s="4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</row>
    <row r="38" spans="1:31" s="5" customFormat="1" ht="6.95" customHeight="1" x14ac:dyDescent="0.2">
      <c r="A38" s="105"/>
      <c r="B38" s="4"/>
      <c r="C38" s="105"/>
      <c r="D38" s="105"/>
      <c r="E38" s="105"/>
      <c r="F38" s="105"/>
      <c r="G38" s="105"/>
      <c r="H38" s="105"/>
      <c r="I38" s="105"/>
      <c r="J38" s="105"/>
      <c r="K38" s="105"/>
      <c r="L38" s="4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</row>
    <row r="39" spans="1:31" s="5" customFormat="1" ht="25.35" customHeight="1" x14ac:dyDescent="0.2">
      <c r="A39" s="105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</row>
    <row r="40" spans="1:31" s="5" customFormat="1" ht="14.45" customHeight="1" x14ac:dyDescent="0.2">
      <c r="A40" s="105"/>
      <c r="B40" s="4"/>
      <c r="C40" s="105"/>
      <c r="D40" s="105"/>
      <c r="E40" s="105"/>
      <c r="F40" s="105"/>
      <c r="G40" s="105"/>
      <c r="H40" s="105"/>
      <c r="I40" s="105"/>
      <c r="J40" s="105"/>
      <c r="K40" s="105"/>
      <c r="L40" s="4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105"/>
      <c r="B61" s="4"/>
      <c r="C61" s="105"/>
      <c r="D61" s="69" t="s">
        <v>43</v>
      </c>
      <c r="E61" s="70"/>
      <c r="F61" s="71" t="s">
        <v>44</v>
      </c>
      <c r="G61" s="69" t="s">
        <v>43</v>
      </c>
      <c r="H61" s="70"/>
      <c r="I61" s="70"/>
      <c r="J61" s="72" t="s">
        <v>44</v>
      </c>
      <c r="K61" s="70"/>
      <c r="L61" s="4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105"/>
      <c r="B65" s="4"/>
      <c r="C65" s="105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105"/>
      <c r="B76" s="4"/>
      <c r="C76" s="105"/>
      <c r="D76" s="69" t="s">
        <v>43</v>
      </c>
      <c r="E76" s="70"/>
      <c r="F76" s="71" t="s">
        <v>44</v>
      </c>
      <c r="G76" s="69" t="s">
        <v>43</v>
      </c>
      <c r="H76" s="70"/>
      <c r="I76" s="70"/>
      <c r="J76" s="72" t="s">
        <v>44</v>
      </c>
      <c r="K76" s="70"/>
      <c r="L76" s="4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</row>
    <row r="77" spans="1:31" s="5" customFormat="1" ht="14.45" customHeight="1" x14ac:dyDescent="0.2">
      <c r="A77" s="105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</row>
    <row r="81" spans="1:47" s="5" customFormat="1" ht="6.95" customHeight="1" x14ac:dyDescent="0.2">
      <c r="A81" s="105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</row>
    <row r="82" spans="1:47" s="5" customFormat="1" ht="24.95" customHeight="1" x14ac:dyDescent="0.2">
      <c r="A82" s="105"/>
      <c r="B82" s="4"/>
      <c r="C82" s="43" t="s">
        <v>88</v>
      </c>
      <c r="D82" s="105"/>
      <c r="E82" s="105"/>
      <c r="F82" s="105"/>
      <c r="G82" s="105"/>
      <c r="H82" s="105"/>
      <c r="I82" s="105"/>
      <c r="J82" s="105"/>
      <c r="K82" s="105"/>
      <c r="L82" s="4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</row>
    <row r="83" spans="1:47" s="5" customFormat="1" ht="6.95" customHeight="1" x14ac:dyDescent="0.2">
      <c r="A83" s="105"/>
      <c r="B83" s="4"/>
      <c r="C83" s="105"/>
      <c r="D83" s="105"/>
      <c r="E83" s="105"/>
      <c r="F83" s="105"/>
      <c r="G83" s="105"/>
      <c r="H83" s="105"/>
      <c r="I83" s="105"/>
      <c r="J83" s="105"/>
      <c r="K83" s="105"/>
      <c r="L83" s="4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</row>
    <row r="84" spans="1:47" s="5" customFormat="1" ht="12" customHeight="1" x14ac:dyDescent="0.2">
      <c r="A84" s="105"/>
      <c r="B84" s="4"/>
      <c r="C84" s="106" t="s">
        <v>14</v>
      </c>
      <c r="D84" s="105"/>
      <c r="E84" s="105"/>
      <c r="F84" s="105"/>
      <c r="G84" s="105"/>
      <c r="H84" s="105"/>
      <c r="I84" s="105"/>
      <c r="J84" s="105"/>
      <c r="K84" s="105"/>
      <c r="L84" s="4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</row>
    <row r="85" spans="1:47" s="5" customFormat="1" ht="16.5" customHeight="1" x14ac:dyDescent="0.2">
      <c r="A85" s="105"/>
      <c r="B85" s="4"/>
      <c r="C85" s="105"/>
      <c r="D85" s="105"/>
      <c r="E85" s="312" t="str">
        <f>E7</f>
        <v>REKONSTRUKCE A DOSTAVBA BUDOV FF UK - DVD</v>
      </c>
      <c r="F85" s="313"/>
      <c r="G85" s="313"/>
      <c r="H85" s="313"/>
      <c r="I85" s="105"/>
      <c r="J85" s="105"/>
      <c r="K85" s="105"/>
      <c r="L85" s="4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47" s="5" customFormat="1" ht="12" customHeight="1" x14ac:dyDescent="0.2">
      <c r="A86" s="105"/>
      <c r="B86" s="4"/>
      <c r="C86" s="106" t="s">
        <v>87</v>
      </c>
      <c r="D86" s="105"/>
      <c r="E86" s="105"/>
      <c r="F86" s="105"/>
      <c r="G86" s="105"/>
      <c r="H86" s="105"/>
      <c r="I86" s="105"/>
      <c r="J86" s="105"/>
      <c r="K86" s="105"/>
      <c r="L86" s="4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47" s="5" customFormat="1" ht="16.5" customHeight="1" x14ac:dyDescent="0.2">
      <c r="A87" s="105"/>
      <c r="B87" s="4"/>
      <c r="C87" s="105"/>
      <c r="D87" s="105"/>
      <c r="E87" s="277" t="str">
        <f>E9</f>
        <v>12 - RESTAURÁTORSKÝ ZÁMĚR - Štukatérská část, společně pro objekty A, B a C</v>
      </c>
      <c r="F87" s="311"/>
      <c r="G87" s="311"/>
      <c r="H87" s="311"/>
      <c r="I87" s="105"/>
      <c r="J87" s="105"/>
      <c r="K87" s="105"/>
      <c r="L87" s="4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</row>
    <row r="88" spans="1:47" s="5" customFormat="1" ht="6.95" customHeight="1" x14ac:dyDescent="0.2">
      <c r="A88" s="105"/>
      <c r="B88" s="4"/>
      <c r="C88" s="105"/>
      <c r="D88" s="105"/>
      <c r="E88" s="105"/>
      <c r="F88" s="105"/>
      <c r="G88" s="105"/>
      <c r="H88" s="105"/>
      <c r="I88" s="105"/>
      <c r="J88" s="105"/>
      <c r="K88" s="105"/>
      <c r="L88" s="4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</row>
    <row r="89" spans="1:47" s="5" customFormat="1" ht="12" customHeight="1" x14ac:dyDescent="0.2">
      <c r="A89" s="105"/>
      <c r="B89" s="4"/>
      <c r="C89" s="106" t="s">
        <v>17</v>
      </c>
      <c r="D89" s="105"/>
      <c r="E89" s="105"/>
      <c r="F89" s="108" t="str">
        <f>F12</f>
        <v>OPLETALOVA 47,49 - PRAHA 1</v>
      </c>
      <c r="G89" s="105"/>
      <c r="H89" s="105"/>
      <c r="I89" s="106" t="s">
        <v>19</v>
      </c>
      <c r="J89" s="47">
        <f>IF(J12="","",J12)</f>
        <v>44310</v>
      </c>
      <c r="K89" s="105"/>
      <c r="L89" s="4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</row>
    <row r="90" spans="1:47" s="5" customFormat="1" ht="6.95" customHeight="1" x14ac:dyDescent="0.2">
      <c r="A90" s="105"/>
      <c r="B90" s="4"/>
      <c r="C90" s="105"/>
      <c r="D90" s="105"/>
      <c r="E90" s="105"/>
      <c r="F90" s="105"/>
      <c r="G90" s="105"/>
      <c r="H90" s="105"/>
      <c r="I90" s="105"/>
      <c r="J90" s="105"/>
      <c r="K90" s="105"/>
      <c r="L90" s="4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</row>
    <row r="91" spans="1:47" s="5" customFormat="1" ht="38.25" x14ac:dyDescent="0.2">
      <c r="A91" s="105"/>
      <c r="B91" s="4"/>
      <c r="C91" s="106" t="s">
        <v>20</v>
      </c>
      <c r="D91" s="105"/>
      <c r="E91" s="105"/>
      <c r="F91" s="108" t="str">
        <f>E15</f>
        <v>Filozofická fakulta, UK</v>
      </c>
      <c r="G91" s="105"/>
      <c r="H91" s="105"/>
      <c r="I91" s="106" t="s">
        <v>24</v>
      </c>
      <c r="J91" s="109" t="str">
        <f>E21</f>
        <v>Škarda architekti - ing.arch. Václav Škarda</v>
      </c>
      <c r="K91" s="105"/>
      <c r="L91" s="4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</row>
    <row r="92" spans="1:47" s="5" customFormat="1" ht="15" customHeight="1" x14ac:dyDescent="0.2">
      <c r="A92" s="105"/>
      <c r="B92" s="4"/>
      <c r="C92" s="106" t="s">
        <v>23</v>
      </c>
      <c r="D92" s="105"/>
      <c r="E92" s="105"/>
      <c r="F92" s="108" t="str">
        <f>IF(E18="","",E18)</f>
        <v xml:space="preserve"> </v>
      </c>
      <c r="G92" s="105"/>
      <c r="H92" s="105"/>
      <c r="I92" s="106" t="s">
        <v>26</v>
      </c>
      <c r="J92" s="109" t="str">
        <f>E24</f>
        <v>Vladimír Mrázek</v>
      </c>
      <c r="K92" s="105"/>
      <c r="L92" s="4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</row>
    <row r="93" spans="1:47" s="5" customFormat="1" ht="10.35" customHeight="1" x14ac:dyDescent="0.2">
      <c r="A93" s="105"/>
      <c r="B93" s="4"/>
      <c r="C93" s="105"/>
      <c r="D93" s="105"/>
      <c r="E93" s="105"/>
      <c r="F93" s="105"/>
      <c r="G93" s="105"/>
      <c r="H93" s="105"/>
      <c r="I93" s="105"/>
      <c r="J93" s="105"/>
      <c r="K93" s="105"/>
      <c r="L93" s="4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</row>
    <row r="94" spans="1:47" s="5" customFormat="1" ht="29.25" customHeight="1" x14ac:dyDescent="0.2">
      <c r="A94" s="105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</row>
    <row r="95" spans="1:47" s="5" customFormat="1" ht="10.35" customHeight="1" x14ac:dyDescent="0.2">
      <c r="A95" s="105"/>
      <c r="B95" s="4"/>
      <c r="C95" s="105"/>
      <c r="D95" s="105"/>
      <c r="E95" s="105"/>
      <c r="F95" s="105"/>
      <c r="G95" s="105"/>
      <c r="H95" s="105"/>
      <c r="I95" s="105"/>
      <c r="J95" s="105"/>
      <c r="K95" s="105"/>
      <c r="L95" s="4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</row>
    <row r="96" spans="1:47" s="5" customFormat="1" ht="22.9" customHeight="1" x14ac:dyDescent="0.2">
      <c r="A96" s="105"/>
      <c r="B96" s="4"/>
      <c r="C96" s="78" t="s">
        <v>91</v>
      </c>
      <c r="D96" s="105"/>
      <c r="E96" s="105"/>
      <c r="F96" s="105"/>
      <c r="G96" s="105"/>
      <c r="H96" s="105"/>
      <c r="I96" s="105"/>
      <c r="J96" s="55">
        <f>J143</f>
        <v>0</v>
      </c>
      <c r="K96" s="105"/>
      <c r="L96" s="4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U96" s="13" t="s">
        <v>92</v>
      </c>
    </row>
    <row r="97" spans="2:12" s="80" customFormat="1" ht="24.95" customHeight="1" x14ac:dyDescent="0.2">
      <c r="B97" s="79"/>
      <c r="D97" s="81" t="s">
        <v>686</v>
      </c>
      <c r="E97" s="82"/>
      <c r="F97" s="82"/>
      <c r="G97" s="82"/>
      <c r="H97" s="82"/>
      <c r="I97" s="82"/>
      <c r="J97" s="83">
        <f>J144</f>
        <v>0</v>
      </c>
      <c r="L97" s="79"/>
    </row>
    <row r="98" spans="2:12" s="80" customFormat="1" ht="24.95" customHeight="1" x14ac:dyDescent="0.2">
      <c r="B98" s="79"/>
      <c r="D98" s="81" t="s">
        <v>687</v>
      </c>
      <c r="E98" s="82"/>
      <c r="F98" s="82"/>
      <c r="G98" s="82"/>
      <c r="H98" s="82"/>
      <c r="I98" s="82"/>
      <c r="J98" s="83">
        <f>J162</f>
        <v>0</v>
      </c>
      <c r="L98" s="79"/>
    </row>
    <row r="99" spans="2:12" s="80" customFormat="1" ht="24.95" customHeight="1" x14ac:dyDescent="0.2">
      <c r="B99" s="79"/>
      <c r="D99" s="81" t="s">
        <v>688</v>
      </c>
      <c r="E99" s="82"/>
      <c r="F99" s="82"/>
      <c r="G99" s="82"/>
      <c r="H99" s="82"/>
      <c r="I99" s="82"/>
      <c r="J99" s="83">
        <f>J185</f>
        <v>0</v>
      </c>
      <c r="L99" s="79"/>
    </row>
    <row r="100" spans="2:12" s="80" customFormat="1" ht="24.95" customHeight="1" x14ac:dyDescent="0.2">
      <c r="B100" s="79"/>
      <c r="D100" s="81" t="s">
        <v>689</v>
      </c>
      <c r="E100" s="82"/>
      <c r="F100" s="82"/>
      <c r="G100" s="82"/>
      <c r="H100" s="82"/>
      <c r="I100" s="82"/>
      <c r="J100" s="83">
        <f>J203</f>
        <v>0</v>
      </c>
      <c r="L100" s="79"/>
    </row>
    <row r="101" spans="2:12" s="80" customFormat="1" ht="24.95" customHeight="1" x14ac:dyDescent="0.2">
      <c r="B101" s="79"/>
      <c r="D101" s="81" t="s">
        <v>690</v>
      </c>
      <c r="E101" s="82"/>
      <c r="F101" s="82"/>
      <c r="G101" s="82"/>
      <c r="H101" s="82"/>
      <c r="I101" s="82"/>
      <c r="J101" s="83">
        <f>J228</f>
        <v>0</v>
      </c>
      <c r="L101" s="79"/>
    </row>
    <row r="102" spans="2:12" s="80" customFormat="1" ht="24.95" customHeight="1" x14ac:dyDescent="0.2">
      <c r="B102" s="79"/>
      <c r="D102" s="81" t="s">
        <v>691</v>
      </c>
      <c r="E102" s="82"/>
      <c r="F102" s="82"/>
      <c r="G102" s="82"/>
      <c r="H102" s="82"/>
      <c r="I102" s="82"/>
      <c r="J102" s="83">
        <f>J255</f>
        <v>0</v>
      </c>
      <c r="L102" s="79"/>
    </row>
    <row r="103" spans="2:12" s="80" customFormat="1" ht="24.95" customHeight="1" x14ac:dyDescent="0.2">
      <c r="B103" s="79"/>
      <c r="D103" s="81" t="s">
        <v>692</v>
      </c>
      <c r="E103" s="82"/>
      <c r="F103" s="82"/>
      <c r="G103" s="82"/>
      <c r="H103" s="82"/>
      <c r="I103" s="82"/>
      <c r="J103" s="83">
        <f>J274</f>
        <v>0</v>
      </c>
      <c r="L103" s="79"/>
    </row>
    <row r="104" spans="2:12" s="80" customFormat="1" ht="24.95" customHeight="1" x14ac:dyDescent="0.2">
      <c r="B104" s="79"/>
      <c r="D104" s="81" t="s">
        <v>693</v>
      </c>
      <c r="E104" s="82"/>
      <c r="F104" s="82"/>
      <c r="G104" s="82"/>
      <c r="H104" s="82"/>
      <c r="I104" s="82"/>
      <c r="J104" s="83">
        <f>J290</f>
        <v>0</v>
      </c>
      <c r="L104" s="79"/>
    </row>
    <row r="105" spans="2:12" s="80" customFormat="1" ht="24.95" customHeight="1" x14ac:dyDescent="0.2">
      <c r="B105" s="79"/>
      <c r="D105" s="81" t="s">
        <v>694</v>
      </c>
      <c r="E105" s="82"/>
      <c r="F105" s="82"/>
      <c r="G105" s="82"/>
      <c r="H105" s="82"/>
      <c r="I105" s="82"/>
      <c r="J105" s="83">
        <f>J306</f>
        <v>0</v>
      </c>
      <c r="L105" s="79"/>
    </row>
    <row r="106" spans="2:12" s="80" customFormat="1" ht="24.95" customHeight="1" x14ac:dyDescent="0.2">
      <c r="B106" s="79"/>
      <c r="D106" s="81" t="s">
        <v>695</v>
      </c>
      <c r="E106" s="82"/>
      <c r="F106" s="82"/>
      <c r="G106" s="82"/>
      <c r="H106" s="82"/>
      <c r="I106" s="82"/>
      <c r="J106" s="83">
        <f>J323</f>
        <v>0</v>
      </c>
      <c r="L106" s="79"/>
    </row>
    <row r="107" spans="2:12" s="80" customFormat="1" ht="24.95" customHeight="1" x14ac:dyDescent="0.2">
      <c r="B107" s="79"/>
      <c r="D107" s="81" t="s">
        <v>696</v>
      </c>
      <c r="E107" s="82"/>
      <c r="F107" s="82"/>
      <c r="G107" s="82"/>
      <c r="H107" s="82"/>
      <c r="I107" s="82"/>
      <c r="J107" s="83">
        <f>J339</f>
        <v>0</v>
      </c>
      <c r="L107" s="79"/>
    </row>
    <row r="108" spans="2:12" s="80" customFormat="1" ht="24.95" customHeight="1" x14ac:dyDescent="0.2">
      <c r="B108" s="79"/>
      <c r="D108" s="81" t="s">
        <v>697</v>
      </c>
      <c r="E108" s="82"/>
      <c r="F108" s="82"/>
      <c r="G108" s="82"/>
      <c r="H108" s="82"/>
      <c r="I108" s="82"/>
      <c r="J108" s="83">
        <f>J355</f>
        <v>0</v>
      </c>
      <c r="L108" s="79"/>
    </row>
    <row r="109" spans="2:12" s="80" customFormat="1" ht="24.95" customHeight="1" x14ac:dyDescent="0.2">
      <c r="B109" s="79"/>
      <c r="D109" s="81" t="s">
        <v>698</v>
      </c>
      <c r="E109" s="82"/>
      <c r="F109" s="82"/>
      <c r="G109" s="82"/>
      <c r="H109" s="82"/>
      <c r="I109" s="82"/>
      <c r="J109" s="83">
        <f>J371</f>
        <v>0</v>
      </c>
      <c r="L109" s="79"/>
    </row>
    <row r="110" spans="2:12" s="80" customFormat="1" ht="24.95" customHeight="1" x14ac:dyDescent="0.2">
      <c r="B110" s="79"/>
      <c r="D110" s="81" t="s">
        <v>699</v>
      </c>
      <c r="E110" s="82"/>
      <c r="F110" s="82"/>
      <c r="G110" s="82"/>
      <c r="H110" s="82"/>
      <c r="I110" s="82"/>
      <c r="J110" s="83">
        <f>J387</f>
        <v>0</v>
      </c>
      <c r="L110" s="79"/>
    </row>
    <row r="111" spans="2:12" s="80" customFormat="1" ht="24.95" customHeight="1" x14ac:dyDescent="0.2">
      <c r="B111" s="79"/>
      <c r="D111" s="81" t="s">
        <v>700</v>
      </c>
      <c r="E111" s="82"/>
      <c r="F111" s="82"/>
      <c r="G111" s="82"/>
      <c r="H111" s="82"/>
      <c r="I111" s="82"/>
      <c r="J111" s="83">
        <f>J403</f>
        <v>0</v>
      </c>
      <c r="L111" s="79"/>
    </row>
    <row r="112" spans="2:12" s="80" customFormat="1" ht="24.95" customHeight="1" x14ac:dyDescent="0.2">
      <c r="B112" s="79"/>
      <c r="D112" s="81" t="s">
        <v>701</v>
      </c>
      <c r="E112" s="82"/>
      <c r="F112" s="82"/>
      <c r="G112" s="82"/>
      <c r="H112" s="82"/>
      <c r="I112" s="82"/>
      <c r="J112" s="83">
        <f>J419</f>
        <v>0</v>
      </c>
      <c r="L112" s="79"/>
    </row>
    <row r="113" spans="1:31" s="80" customFormat="1" ht="24.95" customHeight="1" x14ac:dyDescent="0.2">
      <c r="B113" s="79"/>
      <c r="D113" s="81" t="s">
        <v>702</v>
      </c>
      <c r="E113" s="82"/>
      <c r="F113" s="82"/>
      <c r="G113" s="82"/>
      <c r="H113" s="82"/>
      <c r="I113" s="82"/>
      <c r="J113" s="83">
        <f>J435</f>
        <v>0</v>
      </c>
      <c r="L113" s="79"/>
    </row>
    <row r="114" spans="1:31" s="80" customFormat="1" ht="24.95" customHeight="1" x14ac:dyDescent="0.2">
      <c r="B114" s="79"/>
      <c r="D114" s="81" t="s">
        <v>703</v>
      </c>
      <c r="E114" s="82"/>
      <c r="F114" s="82"/>
      <c r="G114" s="82"/>
      <c r="H114" s="82"/>
      <c r="I114" s="82"/>
      <c r="J114" s="83">
        <f>J459</f>
        <v>0</v>
      </c>
      <c r="L114" s="79"/>
    </row>
    <row r="115" spans="1:31" s="80" customFormat="1" ht="24.95" customHeight="1" x14ac:dyDescent="0.2">
      <c r="B115" s="79"/>
      <c r="D115" s="81" t="s">
        <v>704</v>
      </c>
      <c r="E115" s="82"/>
      <c r="F115" s="82"/>
      <c r="G115" s="82"/>
      <c r="H115" s="82"/>
      <c r="I115" s="82"/>
      <c r="J115" s="83">
        <f>J485</f>
        <v>0</v>
      </c>
      <c r="L115" s="79"/>
    </row>
    <row r="116" spans="1:31" s="80" customFormat="1" ht="24.95" customHeight="1" x14ac:dyDescent="0.2">
      <c r="B116" s="79"/>
      <c r="D116" s="81" t="s">
        <v>705</v>
      </c>
      <c r="E116" s="82"/>
      <c r="F116" s="82"/>
      <c r="G116" s="82"/>
      <c r="H116" s="82"/>
      <c r="I116" s="82"/>
      <c r="J116" s="83">
        <f>J509</f>
        <v>0</v>
      </c>
      <c r="L116" s="79"/>
    </row>
    <row r="117" spans="1:31" s="80" customFormat="1" ht="24.95" customHeight="1" x14ac:dyDescent="0.2">
      <c r="B117" s="79"/>
      <c r="D117" s="81" t="s">
        <v>706</v>
      </c>
      <c r="E117" s="82"/>
      <c r="F117" s="82"/>
      <c r="G117" s="82"/>
      <c r="H117" s="82"/>
      <c r="I117" s="82"/>
      <c r="J117" s="83">
        <f>J528</f>
        <v>0</v>
      </c>
      <c r="L117" s="79"/>
    </row>
    <row r="118" spans="1:31" s="80" customFormat="1" ht="24.95" customHeight="1" x14ac:dyDescent="0.2">
      <c r="B118" s="79"/>
      <c r="D118" s="81" t="s">
        <v>707</v>
      </c>
      <c r="E118" s="82"/>
      <c r="F118" s="82"/>
      <c r="G118" s="82"/>
      <c r="H118" s="82"/>
      <c r="I118" s="82"/>
      <c r="J118" s="83">
        <f>J549</f>
        <v>0</v>
      </c>
      <c r="L118" s="79"/>
    </row>
    <row r="119" spans="1:31" s="80" customFormat="1" ht="24.95" customHeight="1" x14ac:dyDescent="0.2">
      <c r="B119" s="79"/>
      <c r="D119" s="81" t="s">
        <v>708</v>
      </c>
      <c r="E119" s="82"/>
      <c r="F119" s="82"/>
      <c r="G119" s="82"/>
      <c r="H119" s="82"/>
      <c r="I119" s="82"/>
      <c r="J119" s="83">
        <f>J575</f>
        <v>0</v>
      </c>
      <c r="L119" s="79"/>
    </row>
    <row r="120" spans="1:31" s="80" customFormat="1" ht="24.95" customHeight="1" x14ac:dyDescent="0.2">
      <c r="B120" s="79"/>
      <c r="D120" s="81" t="s">
        <v>709</v>
      </c>
      <c r="E120" s="82"/>
      <c r="F120" s="82"/>
      <c r="G120" s="82"/>
      <c r="H120" s="82"/>
      <c r="I120" s="82"/>
      <c r="J120" s="83">
        <f>J600</f>
        <v>0</v>
      </c>
      <c r="L120" s="79"/>
    </row>
    <row r="121" spans="1:31" s="80" customFormat="1" ht="24.95" customHeight="1" x14ac:dyDescent="0.2">
      <c r="B121" s="79"/>
      <c r="D121" s="81" t="s">
        <v>710</v>
      </c>
      <c r="E121" s="82"/>
      <c r="F121" s="82"/>
      <c r="G121" s="82"/>
      <c r="H121" s="82"/>
      <c r="I121" s="82"/>
      <c r="J121" s="83">
        <f>J626</f>
        <v>0</v>
      </c>
      <c r="L121" s="79"/>
    </row>
    <row r="122" spans="1:31" s="80" customFormat="1" ht="24.95" customHeight="1" x14ac:dyDescent="0.2">
      <c r="B122" s="79"/>
      <c r="D122" s="81" t="s">
        <v>711</v>
      </c>
      <c r="E122" s="82"/>
      <c r="F122" s="82"/>
      <c r="G122" s="82"/>
      <c r="H122" s="82"/>
      <c r="I122" s="82"/>
      <c r="J122" s="83">
        <f>J653</f>
        <v>0</v>
      </c>
      <c r="L122" s="79"/>
    </row>
    <row r="123" spans="1:31" s="5" customFormat="1" ht="21.75" customHeight="1" x14ac:dyDescent="0.2">
      <c r="A123" s="105"/>
      <c r="B123" s="4"/>
      <c r="C123" s="105"/>
      <c r="D123" s="105"/>
      <c r="E123" s="105"/>
      <c r="F123" s="105"/>
      <c r="G123" s="105"/>
      <c r="H123" s="105"/>
      <c r="I123" s="105"/>
      <c r="J123" s="105"/>
      <c r="K123" s="105"/>
      <c r="L123" s="45"/>
      <c r="S123" s="105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  <c r="AE123" s="105"/>
    </row>
    <row r="124" spans="1:31" s="5" customFormat="1" ht="6.95" customHeight="1" x14ac:dyDescent="0.2">
      <c r="A124" s="105"/>
      <c r="B124" s="2"/>
      <c r="C124" s="3"/>
      <c r="D124" s="3"/>
      <c r="E124" s="3"/>
      <c r="F124" s="3"/>
      <c r="G124" s="3"/>
      <c r="H124" s="3"/>
      <c r="I124" s="3"/>
      <c r="J124" s="3"/>
      <c r="K124" s="3"/>
      <c r="L124" s="45"/>
      <c r="S124" s="105"/>
      <c r="T124" s="105"/>
      <c r="U124" s="105"/>
      <c r="V124" s="105"/>
      <c r="W124" s="105"/>
      <c r="X124" s="105"/>
      <c r="Y124" s="105"/>
      <c r="Z124" s="105"/>
      <c r="AA124" s="105"/>
      <c r="AB124" s="105"/>
      <c r="AC124" s="105"/>
      <c r="AD124" s="105"/>
      <c r="AE124" s="105"/>
    </row>
    <row r="128" spans="1:31" s="5" customFormat="1" ht="6.95" customHeight="1" x14ac:dyDescent="0.2">
      <c r="A128" s="105"/>
      <c r="B128" s="182"/>
      <c r="C128" s="183"/>
      <c r="D128" s="183"/>
      <c r="E128" s="183"/>
      <c r="F128" s="183"/>
      <c r="G128" s="183"/>
      <c r="H128" s="183"/>
      <c r="I128" s="183"/>
      <c r="J128" s="183"/>
      <c r="K128" s="184"/>
      <c r="L128" s="16"/>
      <c r="S128" s="105"/>
      <c r="T128" s="105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  <c r="AE128" s="105"/>
    </row>
    <row r="129" spans="1:63" s="5" customFormat="1" ht="24.95" customHeight="1" x14ac:dyDescent="0.2">
      <c r="A129" s="105"/>
      <c r="B129" s="140"/>
      <c r="C129" s="185" t="s">
        <v>115</v>
      </c>
      <c r="D129" s="17"/>
      <c r="E129" s="17"/>
      <c r="F129" s="17"/>
      <c r="G129" s="17"/>
      <c r="H129" s="17"/>
      <c r="I129" s="17"/>
      <c r="J129" s="17"/>
      <c r="K129" s="143"/>
      <c r="L129" s="16"/>
      <c r="S129" s="105"/>
      <c r="T129" s="105"/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</row>
    <row r="130" spans="1:63" s="5" customFormat="1" ht="6.95" customHeight="1" x14ac:dyDescent="0.2">
      <c r="A130" s="105"/>
      <c r="B130" s="140"/>
      <c r="C130" s="17"/>
      <c r="D130" s="17"/>
      <c r="E130" s="17"/>
      <c r="F130" s="17"/>
      <c r="G130" s="17"/>
      <c r="H130" s="17"/>
      <c r="I130" s="17"/>
      <c r="J130" s="17"/>
      <c r="K130" s="143"/>
      <c r="L130" s="16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105"/>
      <c r="AD130" s="105"/>
      <c r="AE130" s="105"/>
    </row>
    <row r="131" spans="1:63" s="5" customFormat="1" ht="12" customHeight="1" x14ac:dyDescent="0.2">
      <c r="A131" s="105"/>
      <c r="B131" s="140"/>
      <c r="C131" s="186" t="s">
        <v>14</v>
      </c>
      <c r="D131" s="17"/>
      <c r="E131" s="17"/>
      <c r="F131" s="17"/>
      <c r="G131" s="17"/>
      <c r="H131" s="17"/>
      <c r="I131" s="17"/>
      <c r="J131" s="17"/>
      <c r="K131" s="143"/>
      <c r="L131" s="16"/>
      <c r="S131" s="105"/>
      <c r="T131" s="105"/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</row>
    <row r="132" spans="1:63" s="5" customFormat="1" ht="16.5" customHeight="1" x14ac:dyDescent="0.2">
      <c r="A132" s="105"/>
      <c r="B132" s="140"/>
      <c r="C132" s="17"/>
      <c r="D132" s="17"/>
      <c r="E132" s="316" t="str">
        <f>E7</f>
        <v>REKONSTRUKCE A DOSTAVBA BUDOV FF UK - DVD</v>
      </c>
      <c r="F132" s="317"/>
      <c r="G132" s="317"/>
      <c r="H132" s="317"/>
      <c r="I132" s="17"/>
      <c r="J132" s="17"/>
      <c r="K132" s="143"/>
      <c r="L132" s="16"/>
      <c r="S132" s="105"/>
      <c r="T132" s="105"/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</row>
    <row r="133" spans="1:63" s="5" customFormat="1" ht="12" customHeight="1" x14ac:dyDescent="0.2">
      <c r="A133" s="105"/>
      <c r="B133" s="140"/>
      <c r="C133" s="186" t="s">
        <v>87</v>
      </c>
      <c r="D133" s="17"/>
      <c r="E133" s="17"/>
      <c r="F133" s="17"/>
      <c r="G133" s="17"/>
      <c r="H133" s="17"/>
      <c r="I133" s="17"/>
      <c r="J133" s="17"/>
      <c r="K133" s="143"/>
      <c r="L133" s="16"/>
      <c r="S133" s="105"/>
      <c r="T133" s="105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</row>
    <row r="134" spans="1:63" s="5" customFormat="1" ht="16.5" customHeight="1" x14ac:dyDescent="0.2">
      <c r="A134" s="105"/>
      <c r="B134" s="140"/>
      <c r="C134" s="17"/>
      <c r="D134" s="17"/>
      <c r="E134" s="318" t="str">
        <f>E9</f>
        <v>12 - RESTAURÁTORSKÝ ZÁMĚR - Štukatérská část, společně pro objekty A, B a C</v>
      </c>
      <c r="F134" s="319"/>
      <c r="G134" s="319"/>
      <c r="H134" s="319"/>
      <c r="I134" s="17"/>
      <c r="J134" s="17"/>
      <c r="K134" s="143"/>
      <c r="L134" s="16"/>
      <c r="S134" s="105"/>
      <c r="T134" s="105"/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</row>
    <row r="135" spans="1:63" s="5" customFormat="1" ht="6.95" customHeight="1" x14ac:dyDescent="0.2">
      <c r="A135" s="105"/>
      <c r="B135" s="140"/>
      <c r="C135" s="17"/>
      <c r="D135" s="17"/>
      <c r="E135" s="17"/>
      <c r="F135" s="17"/>
      <c r="G135" s="17"/>
      <c r="H135" s="17"/>
      <c r="I135" s="17"/>
      <c r="J135" s="17"/>
      <c r="K135" s="143"/>
      <c r="L135" s="16"/>
      <c r="S135" s="105"/>
      <c r="T135" s="105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</row>
    <row r="136" spans="1:63" s="5" customFormat="1" ht="12" customHeight="1" x14ac:dyDescent="0.2">
      <c r="A136" s="105"/>
      <c r="B136" s="140"/>
      <c r="C136" s="186" t="s">
        <v>17</v>
      </c>
      <c r="D136" s="17"/>
      <c r="E136" s="17"/>
      <c r="F136" s="188" t="str">
        <f>F12</f>
        <v>OPLETALOVA 47,49 - PRAHA 1</v>
      </c>
      <c r="G136" s="17"/>
      <c r="H136" s="17"/>
      <c r="I136" s="186" t="s">
        <v>19</v>
      </c>
      <c r="J136" s="189">
        <f>IF(J12="","",J12)</f>
        <v>44310</v>
      </c>
      <c r="K136" s="143"/>
      <c r="L136" s="16"/>
      <c r="S136" s="105"/>
      <c r="T136" s="105"/>
      <c r="U136" s="105"/>
      <c r="V136" s="105"/>
      <c r="W136" s="105"/>
      <c r="X136" s="105"/>
      <c r="Y136" s="105"/>
      <c r="Z136" s="105"/>
      <c r="AA136" s="105"/>
      <c r="AB136" s="105"/>
      <c r="AC136" s="105"/>
      <c r="AD136" s="105"/>
      <c r="AE136" s="105"/>
    </row>
    <row r="137" spans="1:63" s="5" customFormat="1" ht="6.95" customHeight="1" x14ac:dyDescent="0.2">
      <c r="A137" s="105"/>
      <c r="B137" s="140"/>
      <c r="C137" s="17"/>
      <c r="D137" s="17"/>
      <c r="E137" s="17"/>
      <c r="F137" s="17"/>
      <c r="G137" s="17"/>
      <c r="H137" s="17"/>
      <c r="I137" s="17"/>
      <c r="J137" s="17"/>
      <c r="K137" s="143"/>
      <c r="L137" s="16"/>
      <c r="S137" s="105"/>
      <c r="T137" s="105"/>
      <c r="U137" s="105"/>
      <c r="V137" s="105"/>
      <c r="W137" s="105"/>
      <c r="X137" s="105"/>
      <c r="Y137" s="105"/>
      <c r="Z137" s="105"/>
      <c r="AA137" s="105"/>
      <c r="AB137" s="105"/>
      <c r="AC137" s="105"/>
      <c r="AD137" s="105"/>
      <c r="AE137" s="105"/>
    </row>
    <row r="138" spans="1:63" s="5" customFormat="1" ht="38.25" x14ac:dyDescent="0.2">
      <c r="A138" s="105"/>
      <c r="B138" s="140"/>
      <c r="C138" s="186" t="s">
        <v>20</v>
      </c>
      <c r="D138" s="17"/>
      <c r="E138" s="17"/>
      <c r="F138" s="188" t="str">
        <f>E15</f>
        <v>Filozofická fakulta, UK</v>
      </c>
      <c r="G138" s="17"/>
      <c r="H138" s="17"/>
      <c r="I138" s="186" t="s">
        <v>24</v>
      </c>
      <c r="J138" s="190" t="str">
        <f>E21</f>
        <v>Škarda architekti - ing.arch. Václav Škarda</v>
      </c>
      <c r="K138" s="143"/>
      <c r="L138" s="16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  <c r="AE138" s="105"/>
    </row>
    <row r="139" spans="1:63" s="5" customFormat="1" ht="15.2" customHeight="1" x14ac:dyDescent="0.2">
      <c r="A139" s="105"/>
      <c r="B139" s="140"/>
      <c r="C139" s="186" t="s">
        <v>23</v>
      </c>
      <c r="D139" s="17"/>
      <c r="E139" s="17"/>
      <c r="F139" s="188" t="str">
        <f>IF(E18="","",E18)</f>
        <v xml:space="preserve"> </v>
      </c>
      <c r="G139" s="17"/>
      <c r="H139" s="17"/>
      <c r="I139" s="186" t="s">
        <v>26</v>
      </c>
      <c r="J139" s="190" t="str">
        <f>E24</f>
        <v>Vladimír Mrázek</v>
      </c>
      <c r="K139" s="143"/>
      <c r="L139" s="16"/>
      <c r="S139" s="105"/>
      <c r="T139" s="105"/>
      <c r="U139" s="105"/>
      <c r="V139" s="105"/>
      <c r="W139" s="105"/>
      <c r="X139" s="105"/>
      <c r="Y139" s="105"/>
      <c r="Z139" s="105"/>
      <c r="AA139" s="105"/>
      <c r="AB139" s="105"/>
      <c r="AC139" s="105"/>
      <c r="AD139" s="105"/>
      <c r="AE139" s="105"/>
    </row>
    <row r="140" spans="1:63" s="5" customFormat="1" ht="10.35" customHeight="1" x14ac:dyDescent="0.2">
      <c r="A140" s="105"/>
      <c r="B140" s="140"/>
      <c r="C140" s="17"/>
      <c r="D140" s="17"/>
      <c r="E140" s="17"/>
      <c r="F140" s="17"/>
      <c r="G140" s="17"/>
      <c r="H140" s="17"/>
      <c r="I140" s="17"/>
      <c r="J140" s="17"/>
      <c r="K140" s="143"/>
      <c r="L140" s="16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</row>
    <row r="141" spans="1:63" s="93" customFormat="1" ht="29.25" customHeight="1" x14ac:dyDescent="0.2">
      <c r="A141" s="84"/>
      <c r="B141" s="191"/>
      <c r="C141" s="86" t="s">
        <v>116</v>
      </c>
      <c r="D141" s="87" t="s">
        <v>53</v>
      </c>
      <c r="E141" s="87" t="s">
        <v>49</v>
      </c>
      <c r="F141" s="87" t="s">
        <v>50</v>
      </c>
      <c r="G141" s="87" t="s">
        <v>117</v>
      </c>
      <c r="H141" s="87" t="s">
        <v>118</v>
      </c>
      <c r="I141" s="87" t="s">
        <v>119</v>
      </c>
      <c r="J141" s="87" t="s">
        <v>90</v>
      </c>
      <c r="K141" s="192" t="s">
        <v>120</v>
      </c>
      <c r="L141" s="193"/>
      <c r="M141" s="90" t="s">
        <v>1</v>
      </c>
      <c r="N141" s="91" t="s">
        <v>32</v>
      </c>
      <c r="O141" s="91" t="s">
        <v>121</v>
      </c>
      <c r="P141" s="91" t="s">
        <v>122</v>
      </c>
      <c r="Q141" s="91" t="s">
        <v>123</v>
      </c>
      <c r="R141" s="91" t="s">
        <v>124</v>
      </c>
      <c r="S141" s="91" t="s">
        <v>125</v>
      </c>
      <c r="T141" s="92" t="s">
        <v>126</v>
      </c>
      <c r="U141" s="84"/>
      <c r="V141" s="84"/>
      <c r="W141" s="84"/>
      <c r="X141" s="84"/>
      <c r="Y141" s="84"/>
      <c r="Z141" s="84"/>
      <c r="AA141" s="84"/>
      <c r="AB141" s="206"/>
      <c r="AC141" s="206"/>
      <c r="AD141" s="206"/>
      <c r="AE141" s="84"/>
    </row>
    <row r="142" spans="1:63" s="93" customFormat="1" ht="42" customHeight="1" x14ac:dyDescent="0.2">
      <c r="B142" s="194"/>
      <c r="C142" s="314" t="s">
        <v>1149</v>
      </c>
      <c r="D142" s="314"/>
      <c r="E142" s="314"/>
      <c r="F142" s="314"/>
      <c r="G142" s="314"/>
      <c r="H142" s="314"/>
      <c r="I142" s="314"/>
      <c r="J142" s="314"/>
      <c r="K142" s="315"/>
      <c r="L142" s="207"/>
      <c r="M142" s="208"/>
      <c r="N142" s="198"/>
      <c r="O142" s="198"/>
      <c r="P142" s="198"/>
      <c r="Q142" s="198"/>
      <c r="R142" s="198"/>
      <c r="S142" s="198"/>
      <c r="T142" s="198"/>
      <c r="U142" s="198"/>
      <c r="V142" s="209"/>
      <c r="W142" s="209"/>
      <c r="X142" s="209"/>
      <c r="Y142" s="209"/>
      <c r="Z142" s="209"/>
      <c r="AA142" s="209"/>
      <c r="AB142" s="209"/>
      <c r="AC142" s="209"/>
      <c r="AD142" s="193"/>
    </row>
    <row r="143" spans="1:63" s="5" customFormat="1" ht="22.9" customHeight="1" x14ac:dyDescent="0.25">
      <c r="A143" s="105"/>
      <c r="B143" s="140"/>
      <c r="C143" s="196" t="s">
        <v>127</v>
      </c>
      <c r="D143" s="17"/>
      <c r="E143" s="17"/>
      <c r="F143" s="17"/>
      <c r="G143" s="17"/>
      <c r="H143" s="17"/>
      <c r="I143" s="17"/>
      <c r="J143" s="197">
        <f>BK143</f>
        <v>0</v>
      </c>
      <c r="K143" s="143"/>
      <c r="L143" s="17"/>
      <c r="M143" s="100"/>
      <c r="N143" s="101"/>
      <c r="O143" s="53"/>
      <c r="P143" s="102">
        <f>P144+P162+P185+P203+P228+P255+P274+P290+P306+P323+P339+P355+P371+P387+P403+P419+P435+P459+P485+P509+P528+P549+P575+P600+P626+P653</f>
        <v>0</v>
      </c>
      <c r="Q143" s="53"/>
      <c r="R143" s="102">
        <f>R144+R162+R185+R203+R228+R255+R274+R290+R306+R323+R339+R355+R371+R387+R403+R419+R435+R459+R485+R509+R528+R549+R575+R600+R626+R653</f>
        <v>0</v>
      </c>
      <c r="S143" s="53"/>
      <c r="T143" s="103">
        <f>T144+T162+T185+T203+T228+T255+T274+T290+T306+T323+T339+T355+T371+T387+T403+T419+T435+T459+T485+T509+T528+T549+T575+T600+T626+T653</f>
        <v>0</v>
      </c>
      <c r="U143" s="105"/>
      <c r="V143" s="17"/>
      <c r="W143" s="17"/>
      <c r="X143" s="17"/>
      <c r="Y143" s="17"/>
      <c r="Z143" s="17"/>
      <c r="AA143" s="17"/>
      <c r="AB143" s="17"/>
      <c r="AC143" s="17"/>
      <c r="AD143" s="17"/>
      <c r="AE143" s="105"/>
      <c r="AT143" s="13" t="s">
        <v>67</v>
      </c>
      <c r="AU143" s="13" t="s">
        <v>92</v>
      </c>
      <c r="BK143" s="104">
        <f>BK144+BK162+BK185+BK203+BK228+BK255+BK274+BK290+BK306+BK323+BK339+BK355+BK371+BK387+BK403+BK419+BK435+BK459+BK485+BK509+BK528+BK549+BK575+BK600+BK626+BK653</f>
        <v>0</v>
      </c>
    </row>
    <row r="144" spans="1:63" s="20" customFormat="1" ht="25.9" customHeight="1" x14ac:dyDescent="0.2">
      <c r="B144" s="172"/>
      <c r="C144" s="23"/>
      <c r="D144" s="173" t="s">
        <v>67</v>
      </c>
      <c r="E144" s="174" t="s">
        <v>128</v>
      </c>
      <c r="F144" s="174" t="s">
        <v>712</v>
      </c>
      <c r="G144" s="23"/>
      <c r="H144" s="23"/>
      <c r="I144" s="23"/>
      <c r="J144" s="175">
        <f>BK144</f>
        <v>0</v>
      </c>
      <c r="K144" s="176"/>
      <c r="L144" s="23"/>
      <c r="M144" s="22"/>
      <c r="N144" s="23"/>
      <c r="O144" s="23"/>
      <c r="P144" s="24">
        <f>SUM(P147:P161)</f>
        <v>0</v>
      </c>
      <c r="Q144" s="23"/>
      <c r="R144" s="24">
        <f>SUM(R147:R161)</f>
        <v>0</v>
      </c>
      <c r="S144" s="23"/>
      <c r="T144" s="25">
        <f>SUM(T147:T161)</f>
        <v>0</v>
      </c>
      <c r="V144" s="23"/>
      <c r="W144" s="23"/>
      <c r="X144" s="23"/>
      <c r="Y144" s="23"/>
      <c r="Z144" s="23"/>
      <c r="AA144" s="23"/>
      <c r="AB144" s="23"/>
      <c r="AC144" s="23"/>
      <c r="AD144" s="23"/>
      <c r="AR144" s="26" t="s">
        <v>74</v>
      </c>
      <c r="AT144" s="27" t="s">
        <v>67</v>
      </c>
      <c r="AU144" s="27" t="s">
        <v>68</v>
      </c>
      <c r="AY144" s="26" t="s">
        <v>130</v>
      </c>
      <c r="BK144" s="28">
        <f>SUM(BK147:BK161)</f>
        <v>0</v>
      </c>
    </row>
    <row r="145" spans="1:65" s="5" customFormat="1" ht="10.15" customHeight="1" x14ac:dyDescent="0.2">
      <c r="B145" s="177"/>
      <c r="C145" s="16"/>
      <c r="D145" s="178" t="s">
        <v>340</v>
      </c>
      <c r="E145" s="16"/>
      <c r="F145" s="200" t="s">
        <v>1232</v>
      </c>
      <c r="G145" s="16"/>
      <c r="H145" s="180">
        <f>((3.78+11.6+3.76+11.61)*3.6)-(2*1.15*2.2)-(4*1.2*2.5)-(2.95*3.35)+(4*0.34*3.02)+(2*1.42*0.34)</f>
        <v>88.830299999999994</v>
      </c>
      <c r="I145" s="16"/>
      <c r="J145" s="16"/>
      <c r="K145" s="181"/>
      <c r="L145" s="52"/>
      <c r="M145" s="52"/>
      <c r="N145" s="52"/>
      <c r="O145" s="52"/>
      <c r="P145" s="52"/>
      <c r="Q145" s="52"/>
      <c r="R145" s="52"/>
      <c r="S145" s="128"/>
      <c r="V145" s="16"/>
      <c r="W145" s="16"/>
      <c r="X145" s="16"/>
      <c r="Y145" s="16"/>
      <c r="Z145" s="16"/>
      <c r="AA145" s="16"/>
      <c r="AB145" s="16"/>
      <c r="AC145" s="16"/>
      <c r="AD145" s="16"/>
      <c r="AZ145" s="126" t="s">
        <v>148</v>
      </c>
      <c r="BA145" s="126" t="s">
        <v>74</v>
      </c>
    </row>
    <row r="146" spans="1:65" s="5" customFormat="1" ht="10.15" customHeight="1" x14ac:dyDescent="0.2">
      <c r="B146" s="177"/>
      <c r="C146" s="16"/>
      <c r="D146" s="178" t="s">
        <v>340</v>
      </c>
      <c r="E146" s="16"/>
      <c r="F146" s="200" t="s">
        <v>1233</v>
      </c>
      <c r="G146" s="16"/>
      <c r="H146" s="180">
        <f>(3.77*11.6)</f>
        <v>43.731999999999999</v>
      </c>
      <c r="I146" s="16"/>
      <c r="J146" s="16"/>
      <c r="K146" s="181"/>
      <c r="L146" s="52"/>
      <c r="M146" s="52"/>
      <c r="N146" s="52"/>
      <c r="O146" s="52"/>
      <c r="P146" s="52"/>
      <c r="Q146" s="52"/>
      <c r="R146" s="52"/>
      <c r="S146" s="128"/>
      <c r="V146" s="16"/>
      <c r="W146" s="16"/>
      <c r="X146" s="16"/>
      <c r="Y146" s="16"/>
      <c r="Z146" s="16"/>
      <c r="AA146" s="16"/>
      <c r="AB146" s="16"/>
      <c r="AC146" s="16"/>
      <c r="AD146" s="16"/>
      <c r="AZ146" s="126" t="s">
        <v>148</v>
      </c>
      <c r="BA146" s="126" t="s">
        <v>74</v>
      </c>
    </row>
    <row r="147" spans="1:65" s="5" customFormat="1" ht="16.5" customHeight="1" x14ac:dyDescent="0.2">
      <c r="A147" s="105"/>
      <c r="B147" s="140"/>
      <c r="C147" s="33" t="s">
        <v>74</v>
      </c>
      <c r="D147" s="33" t="s">
        <v>131</v>
      </c>
      <c r="E147" s="34" t="s">
        <v>713</v>
      </c>
      <c r="F147" s="7" t="s">
        <v>714</v>
      </c>
      <c r="G147" s="35" t="s">
        <v>134</v>
      </c>
      <c r="H147" s="36">
        <v>132.56200000000001</v>
      </c>
      <c r="I147" s="1"/>
      <c r="J147" s="6">
        <f>ROUND(I147*H147,2)</f>
        <v>0</v>
      </c>
      <c r="K147" s="151" t="s">
        <v>1</v>
      </c>
      <c r="L147" s="17"/>
      <c r="M147" s="8" t="s">
        <v>1</v>
      </c>
      <c r="N147" s="9" t="s">
        <v>33</v>
      </c>
      <c r="O147" s="10">
        <v>0</v>
      </c>
      <c r="P147" s="10">
        <f>O147*H147</f>
        <v>0</v>
      </c>
      <c r="Q147" s="10">
        <v>0</v>
      </c>
      <c r="R147" s="10">
        <f>Q147*H147</f>
        <v>0</v>
      </c>
      <c r="S147" s="10">
        <v>0</v>
      </c>
      <c r="T147" s="11">
        <f>S147*H147</f>
        <v>0</v>
      </c>
      <c r="U147" s="105"/>
      <c r="V147" s="17"/>
      <c r="W147" s="17"/>
      <c r="X147" s="17"/>
      <c r="Y147" s="17"/>
      <c r="Z147" s="17"/>
      <c r="AA147" s="17"/>
      <c r="AB147" s="17"/>
      <c r="AC147" s="17"/>
      <c r="AD147" s="17"/>
      <c r="AE147" s="105"/>
      <c r="AR147" s="12" t="s">
        <v>135</v>
      </c>
      <c r="AT147" s="12" t="s">
        <v>131</v>
      </c>
      <c r="AU147" s="12" t="s">
        <v>74</v>
      </c>
      <c r="AY147" s="13" t="s">
        <v>130</v>
      </c>
      <c r="BE147" s="14">
        <f>IF(N147="základní",J147,0)</f>
        <v>0</v>
      </c>
      <c r="BF147" s="14">
        <f>IF(N147="snížená",J147,0)</f>
        <v>0</v>
      </c>
      <c r="BG147" s="14">
        <f>IF(N147="zákl. přenesená",J147,0)</f>
        <v>0</v>
      </c>
      <c r="BH147" s="14">
        <f>IF(N147="sníž. přenesená",J147,0)</f>
        <v>0</v>
      </c>
      <c r="BI147" s="14">
        <f>IF(N147="nulová",J147,0)</f>
        <v>0</v>
      </c>
      <c r="BJ147" s="13" t="s">
        <v>74</v>
      </c>
      <c r="BK147" s="14">
        <f>ROUND(I147*H147,2)</f>
        <v>0</v>
      </c>
      <c r="BL147" s="13" t="s">
        <v>135</v>
      </c>
      <c r="BM147" s="12" t="s">
        <v>76</v>
      </c>
    </row>
    <row r="148" spans="1:65" s="152" customFormat="1" x14ac:dyDescent="0.2">
      <c r="B148" s="153"/>
      <c r="C148" s="154"/>
      <c r="D148" s="141" t="s">
        <v>340</v>
      </c>
      <c r="E148" s="155" t="s">
        <v>1</v>
      </c>
      <c r="F148" s="156" t="s">
        <v>715</v>
      </c>
      <c r="G148" s="154"/>
      <c r="H148" s="157"/>
      <c r="I148" s="154"/>
      <c r="J148" s="154"/>
      <c r="K148" s="158"/>
      <c r="L148" s="154"/>
      <c r="M148" s="159"/>
      <c r="N148" s="154"/>
      <c r="O148" s="154"/>
      <c r="P148" s="154"/>
      <c r="Q148" s="154"/>
      <c r="R148" s="154"/>
      <c r="S148" s="154"/>
      <c r="T148" s="160"/>
      <c r="V148" s="154"/>
      <c r="W148" s="154"/>
      <c r="X148" s="154"/>
      <c r="Y148" s="154"/>
      <c r="Z148" s="154"/>
      <c r="AA148" s="154"/>
      <c r="AB148" s="154"/>
      <c r="AT148" s="161" t="s">
        <v>340</v>
      </c>
      <c r="AU148" s="161" t="s">
        <v>74</v>
      </c>
      <c r="AV148" s="152" t="s">
        <v>76</v>
      </c>
      <c r="AW148" s="152" t="s">
        <v>25</v>
      </c>
      <c r="AX148" s="152" t="s">
        <v>68</v>
      </c>
      <c r="AY148" s="161" t="s">
        <v>130</v>
      </c>
    </row>
    <row r="149" spans="1:65" s="162" customFormat="1" x14ac:dyDescent="0.2">
      <c r="B149" s="163"/>
      <c r="C149" s="164"/>
      <c r="D149" s="141" t="s">
        <v>340</v>
      </c>
      <c r="E149" s="165" t="s">
        <v>1</v>
      </c>
      <c r="F149" s="166" t="s">
        <v>342</v>
      </c>
      <c r="G149" s="164"/>
      <c r="H149" s="167">
        <v>132.56200000000001</v>
      </c>
      <c r="I149" s="164"/>
      <c r="J149" s="164"/>
      <c r="K149" s="168"/>
      <c r="L149" s="164"/>
      <c r="M149" s="169"/>
      <c r="N149" s="164"/>
      <c r="O149" s="164"/>
      <c r="P149" s="164"/>
      <c r="Q149" s="164"/>
      <c r="R149" s="164"/>
      <c r="S149" s="164"/>
      <c r="T149" s="170"/>
      <c r="V149" s="164"/>
      <c r="W149" s="164"/>
      <c r="X149" s="164"/>
      <c r="Y149" s="164"/>
      <c r="Z149" s="164"/>
      <c r="AA149" s="164"/>
      <c r="AB149" s="164"/>
      <c r="AT149" s="171" t="s">
        <v>340</v>
      </c>
      <c r="AU149" s="171" t="s">
        <v>74</v>
      </c>
      <c r="AV149" s="162" t="s">
        <v>135</v>
      </c>
      <c r="AW149" s="162" t="s">
        <v>25</v>
      </c>
      <c r="AX149" s="162" t="s">
        <v>74</v>
      </c>
      <c r="AY149" s="171" t="s">
        <v>130</v>
      </c>
    </row>
    <row r="150" spans="1:65" s="5" customFormat="1" ht="16.5" customHeight="1" x14ac:dyDescent="0.2">
      <c r="A150" s="105"/>
      <c r="B150" s="140"/>
      <c r="C150" s="33" t="s">
        <v>76</v>
      </c>
      <c r="D150" s="33" t="s">
        <v>131</v>
      </c>
      <c r="E150" s="34" t="s">
        <v>716</v>
      </c>
      <c r="F150" s="7" t="s">
        <v>717</v>
      </c>
      <c r="G150" s="35" t="s">
        <v>134</v>
      </c>
      <c r="H150" s="36">
        <v>26.512</v>
      </c>
      <c r="I150" s="1"/>
      <c r="J150" s="6">
        <f>ROUND(I150*H150,2)</f>
        <v>0</v>
      </c>
      <c r="K150" s="151" t="s">
        <v>1</v>
      </c>
      <c r="L150" s="17"/>
      <c r="M150" s="8" t="s">
        <v>1</v>
      </c>
      <c r="N150" s="9" t="s">
        <v>33</v>
      </c>
      <c r="O150" s="10">
        <v>0</v>
      </c>
      <c r="P150" s="10">
        <f>O150*H150</f>
        <v>0</v>
      </c>
      <c r="Q150" s="10">
        <v>0</v>
      </c>
      <c r="R150" s="10">
        <f>Q150*H150</f>
        <v>0</v>
      </c>
      <c r="S150" s="10">
        <v>0</v>
      </c>
      <c r="T150" s="11">
        <f>S150*H150</f>
        <v>0</v>
      </c>
      <c r="U150" s="105"/>
      <c r="V150" s="17"/>
      <c r="W150" s="17"/>
      <c r="X150" s="17"/>
      <c r="Y150" s="17"/>
      <c r="Z150" s="17"/>
      <c r="AA150" s="17"/>
      <c r="AB150" s="17"/>
      <c r="AC150" s="105"/>
      <c r="AD150" s="105"/>
      <c r="AE150" s="105"/>
      <c r="AR150" s="12" t="s">
        <v>135</v>
      </c>
      <c r="AT150" s="12" t="s">
        <v>131</v>
      </c>
      <c r="AU150" s="12" t="s">
        <v>74</v>
      </c>
      <c r="AY150" s="13" t="s">
        <v>130</v>
      </c>
      <c r="BE150" s="14">
        <f>IF(N150="základní",J150,0)</f>
        <v>0</v>
      </c>
      <c r="BF150" s="14">
        <f>IF(N150="snížená",J150,0)</f>
        <v>0</v>
      </c>
      <c r="BG150" s="14">
        <f>IF(N150="zákl. přenesená",J150,0)</f>
        <v>0</v>
      </c>
      <c r="BH150" s="14">
        <f>IF(N150="sníž. přenesená",J150,0)</f>
        <v>0</v>
      </c>
      <c r="BI150" s="14">
        <f>IF(N150="nulová",J150,0)</f>
        <v>0</v>
      </c>
      <c r="BJ150" s="13" t="s">
        <v>74</v>
      </c>
      <c r="BK150" s="14">
        <f>ROUND(I150*H150,2)</f>
        <v>0</v>
      </c>
      <c r="BL150" s="13" t="s">
        <v>135</v>
      </c>
      <c r="BM150" s="12" t="s">
        <v>135</v>
      </c>
    </row>
    <row r="151" spans="1:65" s="5" customFormat="1" ht="19.5" x14ac:dyDescent="0.2">
      <c r="A151" s="105"/>
      <c r="B151" s="140"/>
      <c r="C151" s="17"/>
      <c r="D151" s="141" t="s">
        <v>148</v>
      </c>
      <c r="E151" s="17"/>
      <c r="F151" s="142" t="s">
        <v>718</v>
      </c>
      <c r="G151" s="17"/>
      <c r="H151" s="17"/>
      <c r="I151" s="17"/>
      <c r="J151" s="17"/>
      <c r="K151" s="143"/>
      <c r="L151" s="17"/>
      <c r="M151" s="15"/>
      <c r="N151" s="16"/>
      <c r="O151" s="17"/>
      <c r="P151" s="17"/>
      <c r="Q151" s="17"/>
      <c r="R151" s="17"/>
      <c r="S151" s="17"/>
      <c r="T151" s="18"/>
      <c r="U151" s="105"/>
      <c r="V151" s="17"/>
      <c r="W151" s="17"/>
      <c r="X151" s="17"/>
      <c r="Y151" s="17"/>
      <c r="Z151" s="17"/>
      <c r="AA151" s="17"/>
      <c r="AB151" s="17"/>
      <c r="AC151" s="105"/>
      <c r="AD151" s="105"/>
      <c r="AE151" s="105"/>
      <c r="AT151" s="13" t="s">
        <v>148</v>
      </c>
      <c r="AU151" s="13" t="s">
        <v>74</v>
      </c>
    </row>
    <row r="152" spans="1:65" s="5" customFormat="1" ht="16.5" customHeight="1" x14ac:dyDescent="0.2">
      <c r="A152" s="105"/>
      <c r="B152" s="140"/>
      <c r="C152" s="33" t="s">
        <v>141</v>
      </c>
      <c r="D152" s="33" t="s">
        <v>131</v>
      </c>
      <c r="E152" s="34" t="s">
        <v>187</v>
      </c>
      <c r="F152" s="7" t="s">
        <v>719</v>
      </c>
      <c r="G152" s="35" t="s">
        <v>134</v>
      </c>
      <c r="H152" s="36">
        <v>35.531999999999996</v>
      </c>
      <c r="I152" s="1"/>
      <c r="J152" s="6">
        <f>ROUND(I152*H152,2)</f>
        <v>0</v>
      </c>
      <c r="K152" s="151" t="s">
        <v>1</v>
      </c>
      <c r="L152" s="17"/>
      <c r="M152" s="8" t="s">
        <v>1</v>
      </c>
      <c r="N152" s="9" t="s">
        <v>33</v>
      </c>
      <c r="O152" s="10">
        <v>0</v>
      </c>
      <c r="P152" s="10">
        <f>O152*H152</f>
        <v>0</v>
      </c>
      <c r="Q152" s="10">
        <v>0</v>
      </c>
      <c r="R152" s="10">
        <f>Q152*H152</f>
        <v>0</v>
      </c>
      <c r="S152" s="10">
        <v>0</v>
      </c>
      <c r="T152" s="11">
        <f>S152*H152</f>
        <v>0</v>
      </c>
      <c r="U152" s="105"/>
      <c r="V152" s="17"/>
      <c r="W152" s="17"/>
      <c r="X152" s="17"/>
      <c r="Y152" s="17"/>
      <c r="Z152" s="17"/>
      <c r="AA152" s="17"/>
      <c r="AB152" s="17"/>
      <c r="AC152" s="105"/>
      <c r="AD152" s="105"/>
      <c r="AE152" s="105"/>
      <c r="AR152" s="12" t="s">
        <v>135</v>
      </c>
      <c r="AT152" s="12" t="s">
        <v>131</v>
      </c>
      <c r="AU152" s="12" t="s">
        <v>74</v>
      </c>
      <c r="AY152" s="13" t="s">
        <v>130</v>
      </c>
      <c r="BE152" s="14">
        <f>IF(N152="základní",J152,0)</f>
        <v>0</v>
      </c>
      <c r="BF152" s="14">
        <f>IF(N152="snížená",J152,0)</f>
        <v>0</v>
      </c>
      <c r="BG152" s="14">
        <f>IF(N152="zákl. přenesená",J152,0)</f>
        <v>0</v>
      </c>
      <c r="BH152" s="14">
        <f>IF(N152="sníž. přenesená",J152,0)</f>
        <v>0</v>
      </c>
      <c r="BI152" s="14">
        <f>IF(N152="nulová",J152,0)</f>
        <v>0</v>
      </c>
      <c r="BJ152" s="13" t="s">
        <v>74</v>
      </c>
      <c r="BK152" s="14">
        <f>ROUND(I152*H152,2)</f>
        <v>0</v>
      </c>
      <c r="BL152" s="13" t="s">
        <v>135</v>
      </c>
      <c r="BM152" s="12" t="s">
        <v>144</v>
      </c>
    </row>
    <row r="153" spans="1:65" s="5" customFormat="1" ht="19.5" x14ac:dyDescent="0.2">
      <c r="A153" s="105"/>
      <c r="B153" s="140"/>
      <c r="C153" s="17"/>
      <c r="D153" s="141" t="s">
        <v>720</v>
      </c>
      <c r="E153" s="17"/>
      <c r="F153" s="142" t="s">
        <v>721</v>
      </c>
      <c r="G153" s="17"/>
      <c r="H153" s="17"/>
      <c r="I153" s="17"/>
      <c r="J153" s="17"/>
      <c r="K153" s="143"/>
      <c r="L153" s="17"/>
      <c r="M153" s="15"/>
      <c r="N153" s="16"/>
      <c r="O153" s="17"/>
      <c r="P153" s="17"/>
      <c r="Q153" s="17"/>
      <c r="R153" s="17"/>
      <c r="S153" s="17"/>
      <c r="T153" s="18"/>
      <c r="U153" s="105"/>
      <c r="V153" s="17"/>
      <c r="W153" s="17"/>
      <c r="X153" s="17"/>
      <c r="Y153" s="17"/>
      <c r="Z153" s="17"/>
      <c r="AA153" s="17"/>
      <c r="AB153" s="17"/>
      <c r="AC153" s="105"/>
      <c r="AD153" s="105"/>
      <c r="AE153" s="105"/>
      <c r="AT153" s="13" t="s">
        <v>720</v>
      </c>
      <c r="AU153" s="13" t="s">
        <v>74</v>
      </c>
    </row>
    <row r="154" spans="1:65" s="5" customFormat="1" ht="16.5" customHeight="1" x14ac:dyDescent="0.2">
      <c r="A154" s="105"/>
      <c r="B154" s="140"/>
      <c r="C154" s="33" t="s">
        <v>135</v>
      </c>
      <c r="D154" s="33" t="s">
        <v>131</v>
      </c>
      <c r="E154" s="34" t="s">
        <v>232</v>
      </c>
      <c r="F154" s="7" t="s">
        <v>722</v>
      </c>
      <c r="G154" s="35" t="s">
        <v>723</v>
      </c>
      <c r="H154" s="36">
        <v>0.28399999999999997</v>
      </c>
      <c r="I154" s="1"/>
      <c r="J154" s="6">
        <f>ROUND(I154*H154,2)</f>
        <v>0</v>
      </c>
      <c r="K154" s="151" t="s">
        <v>1</v>
      </c>
      <c r="L154" s="17"/>
      <c r="M154" s="8" t="s">
        <v>1</v>
      </c>
      <c r="N154" s="9" t="s">
        <v>33</v>
      </c>
      <c r="O154" s="10">
        <v>0</v>
      </c>
      <c r="P154" s="10">
        <f>O154*H154</f>
        <v>0</v>
      </c>
      <c r="Q154" s="10">
        <v>0</v>
      </c>
      <c r="R154" s="10">
        <f>Q154*H154</f>
        <v>0</v>
      </c>
      <c r="S154" s="10">
        <v>0</v>
      </c>
      <c r="T154" s="11">
        <f>S154*H154</f>
        <v>0</v>
      </c>
      <c r="U154" s="105"/>
      <c r="V154" s="17"/>
      <c r="W154" s="17"/>
      <c r="X154" s="17"/>
      <c r="Y154" s="17"/>
      <c r="Z154" s="17"/>
      <c r="AA154" s="17"/>
      <c r="AB154" s="17"/>
      <c r="AC154" s="105"/>
      <c r="AD154" s="105"/>
      <c r="AE154" s="105"/>
      <c r="AR154" s="12" t="s">
        <v>135</v>
      </c>
      <c r="AT154" s="12" t="s">
        <v>131</v>
      </c>
      <c r="AU154" s="12" t="s">
        <v>74</v>
      </c>
      <c r="AY154" s="13" t="s">
        <v>130</v>
      </c>
      <c r="BE154" s="14">
        <f>IF(N154="základní",J154,0)</f>
        <v>0</v>
      </c>
      <c r="BF154" s="14">
        <f>IF(N154="snížená",J154,0)</f>
        <v>0</v>
      </c>
      <c r="BG154" s="14">
        <f>IF(N154="zákl. přenesená",J154,0)</f>
        <v>0</v>
      </c>
      <c r="BH154" s="14">
        <f>IF(N154="sníž. přenesená",J154,0)</f>
        <v>0</v>
      </c>
      <c r="BI154" s="14">
        <f>IF(N154="nulová",J154,0)</f>
        <v>0</v>
      </c>
      <c r="BJ154" s="13" t="s">
        <v>74</v>
      </c>
      <c r="BK154" s="14">
        <f>ROUND(I154*H154,2)</f>
        <v>0</v>
      </c>
      <c r="BL154" s="13" t="s">
        <v>135</v>
      </c>
      <c r="BM154" s="12" t="s">
        <v>147</v>
      </c>
    </row>
    <row r="155" spans="1:65" s="5" customFormat="1" ht="16.5" customHeight="1" x14ac:dyDescent="0.2">
      <c r="A155" s="105"/>
      <c r="B155" s="140"/>
      <c r="C155" s="33" t="s">
        <v>150</v>
      </c>
      <c r="D155" s="33" t="s">
        <v>131</v>
      </c>
      <c r="E155" s="34" t="s">
        <v>246</v>
      </c>
      <c r="F155" s="7" t="s">
        <v>724</v>
      </c>
      <c r="G155" s="35" t="s">
        <v>723</v>
      </c>
      <c r="H155" s="36">
        <v>0.28399999999999997</v>
      </c>
      <c r="I155" s="1"/>
      <c r="J155" s="6">
        <f>ROUND(I155*H155,2)</f>
        <v>0</v>
      </c>
      <c r="K155" s="151" t="s">
        <v>1</v>
      </c>
      <c r="L155" s="17"/>
      <c r="M155" s="8" t="s">
        <v>1</v>
      </c>
      <c r="N155" s="9" t="s">
        <v>33</v>
      </c>
      <c r="O155" s="10">
        <v>0</v>
      </c>
      <c r="P155" s="10">
        <f>O155*H155</f>
        <v>0</v>
      </c>
      <c r="Q155" s="10">
        <v>0</v>
      </c>
      <c r="R155" s="10">
        <f>Q155*H155</f>
        <v>0</v>
      </c>
      <c r="S155" s="10">
        <v>0</v>
      </c>
      <c r="T155" s="11">
        <f>S155*H155</f>
        <v>0</v>
      </c>
      <c r="U155" s="105"/>
      <c r="V155" s="17"/>
      <c r="W155" s="17"/>
      <c r="X155" s="17"/>
      <c r="Y155" s="17"/>
      <c r="Z155" s="17"/>
      <c r="AA155" s="17"/>
      <c r="AB155" s="17"/>
      <c r="AC155" s="105"/>
      <c r="AD155" s="105"/>
      <c r="AE155" s="105"/>
      <c r="AR155" s="12" t="s">
        <v>135</v>
      </c>
      <c r="AT155" s="12" t="s">
        <v>131</v>
      </c>
      <c r="AU155" s="12" t="s">
        <v>74</v>
      </c>
      <c r="AY155" s="13" t="s">
        <v>130</v>
      </c>
      <c r="BE155" s="14">
        <f>IF(N155="základní",J155,0)</f>
        <v>0</v>
      </c>
      <c r="BF155" s="14">
        <f>IF(N155="snížená",J155,0)</f>
        <v>0</v>
      </c>
      <c r="BG155" s="14">
        <f>IF(N155="zákl. přenesená",J155,0)</f>
        <v>0</v>
      </c>
      <c r="BH155" s="14">
        <f>IF(N155="sníž. přenesená",J155,0)</f>
        <v>0</v>
      </c>
      <c r="BI155" s="14">
        <f>IF(N155="nulová",J155,0)</f>
        <v>0</v>
      </c>
      <c r="BJ155" s="13" t="s">
        <v>74</v>
      </c>
      <c r="BK155" s="14">
        <f>ROUND(I155*H155,2)</f>
        <v>0</v>
      </c>
      <c r="BL155" s="13" t="s">
        <v>135</v>
      </c>
      <c r="BM155" s="12" t="s">
        <v>72</v>
      </c>
    </row>
    <row r="156" spans="1:65" s="5" customFormat="1" ht="16.5" customHeight="1" x14ac:dyDescent="0.2">
      <c r="A156" s="105"/>
      <c r="B156" s="140"/>
      <c r="C156" s="33" t="s">
        <v>144</v>
      </c>
      <c r="D156" s="33" t="s">
        <v>131</v>
      </c>
      <c r="E156" s="34" t="s">
        <v>725</v>
      </c>
      <c r="F156" s="7" t="s">
        <v>726</v>
      </c>
      <c r="G156" s="35" t="s">
        <v>134</v>
      </c>
      <c r="H156" s="36">
        <v>132.56200000000001</v>
      </c>
      <c r="I156" s="1"/>
      <c r="J156" s="6">
        <f>ROUND(I156*H156,2)</f>
        <v>0</v>
      </c>
      <c r="K156" s="151" t="s">
        <v>1</v>
      </c>
      <c r="L156" s="17"/>
      <c r="M156" s="8" t="s">
        <v>1</v>
      </c>
      <c r="N156" s="9" t="s">
        <v>33</v>
      </c>
      <c r="O156" s="10">
        <v>0</v>
      </c>
      <c r="P156" s="10">
        <f>O156*H156</f>
        <v>0</v>
      </c>
      <c r="Q156" s="10">
        <v>0</v>
      </c>
      <c r="R156" s="10">
        <f>Q156*H156</f>
        <v>0</v>
      </c>
      <c r="S156" s="10">
        <v>0</v>
      </c>
      <c r="T156" s="11">
        <f>S156*H156</f>
        <v>0</v>
      </c>
      <c r="U156" s="105"/>
      <c r="V156" s="17"/>
      <c r="W156" s="17"/>
      <c r="X156" s="17"/>
      <c r="Y156" s="17"/>
      <c r="Z156" s="17"/>
      <c r="AA156" s="17"/>
      <c r="AB156" s="17"/>
      <c r="AC156" s="105"/>
      <c r="AD156" s="105"/>
      <c r="AE156" s="105"/>
      <c r="AR156" s="12" t="s">
        <v>135</v>
      </c>
      <c r="AT156" s="12" t="s">
        <v>131</v>
      </c>
      <c r="AU156" s="12" t="s">
        <v>74</v>
      </c>
      <c r="AY156" s="13" t="s">
        <v>130</v>
      </c>
      <c r="BE156" s="14">
        <f>IF(N156="základní",J156,0)</f>
        <v>0</v>
      </c>
      <c r="BF156" s="14">
        <f>IF(N156="snížená",J156,0)</f>
        <v>0</v>
      </c>
      <c r="BG156" s="14">
        <f>IF(N156="zákl. přenesená",J156,0)</f>
        <v>0</v>
      </c>
      <c r="BH156" s="14">
        <f>IF(N156="sníž. přenesená",J156,0)</f>
        <v>0</v>
      </c>
      <c r="BI156" s="14">
        <f>IF(N156="nulová",J156,0)</f>
        <v>0</v>
      </c>
      <c r="BJ156" s="13" t="s">
        <v>74</v>
      </c>
      <c r="BK156" s="14">
        <f>ROUND(I156*H156,2)</f>
        <v>0</v>
      </c>
      <c r="BL156" s="13" t="s">
        <v>135</v>
      </c>
      <c r="BM156" s="12" t="s">
        <v>79</v>
      </c>
    </row>
    <row r="157" spans="1:65" s="5" customFormat="1" ht="19.5" x14ac:dyDescent="0.2">
      <c r="A157" s="105"/>
      <c r="B157" s="140"/>
      <c r="C157" s="17"/>
      <c r="D157" s="141" t="s">
        <v>148</v>
      </c>
      <c r="E157" s="17"/>
      <c r="F157" s="142" t="s">
        <v>727</v>
      </c>
      <c r="G157" s="17"/>
      <c r="H157" s="17"/>
      <c r="I157" s="17"/>
      <c r="J157" s="17"/>
      <c r="K157" s="143"/>
      <c r="L157" s="17"/>
      <c r="M157" s="15"/>
      <c r="N157" s="16"/>
      <c r="O157" s="17"/>
      <c r="P157" s="17"/>
      <c r="Q157" s="17"/>
      <c r="R157" s="17"/>
      <c r="S157" s="17"/>
      <c r="T157" s="18"/>
      <c r="U157" s="105"/>
      <c r="V157" s="17"/>
      <c r="W157" s="17"/>
      <c r="X157" s="17"/>
      <c r="Y157" s="17"/>
      <c r="Z157" s="17"/>
      <c r="AA157" s="17"/>
      <c r="AB157" s="17"/>
      <c r="AC157" s="105"/>
      <c r="AD157" s="105"/>
      <c r="AE157" s="105"/>
      <c r="AT157" s="13" t="s">
        <v>148</v>
      </c>
      <c r="AU157" s="13" t="s">
        <v>74</v>
      </c>
    </row>
    <row r="158" spans="1:65" s="5" customFormat="1" ht="16.5" customHeight="1" x14ac:dyDescent="0.2">
      <c r="A158" s="105"/>
      <c r="B158" s="140"/>
      <c r="C158" s="33" t="s">
        <v>158</v>
      </c>
      <c r="D158" s="33" t="s">
        <v>131</v>
      </c>
      <c r="E158" s="34" t="s">
        <v>728</v>
      </c>
      <c r="F158" s="7" t="s">
        <v>729</v>
      </c>
      <c r="G158" s="35" t="s">
        <v>134</v>
      </c>
      <c r="H158" s="36">
        <v>132.56200000000001</v>
      </c>
      <c r="I158" s="1"/>
      <c r="J158" s="6">
        <f>ROUND(I158*H158,2)</f>
        <v>0</v>
      </c>
      <c r="K158" s="151" t="s">
        <v>1</v>
      </c>
      <c r="L158" s="17"/>
      <c r="M158" s="8" t="s">
        <v>1</v>
      </c>
      <c r="N158" s="9" t="s">
        <v>33</v>
      </c>
      <c r="O158" s="10">
        <v>0</v>
      </c>
      <c r="P158" s="10">
        <f>O158*H158</f>
        <v>0</v>
      </c>
      <c r="Q158" s="10">
        <v>0</v>
      </c>
      <c r="R158" s="10">
        <f>Q158*H158</f>
        <v>0</v>
      </c>
      <c r="S158" s="10">
        <v>0</v>
      </c>
      <c r="T158" s="11">
        <f>S158*H158</f>
        <v>0</v>
      </c>
      <c r="U158" s="105"/>
      <c r="V158" s="17"/>
      <c r="W158" s="17"/>
      <c r="X158" s="17"/>
      <c r="Y158" s="17"/>
      <c r="Z158" s="17"/>
      <c r="AA158" s="17"/>
      <c r="AB158" s="17"/>
      <c r="AC158" s="105"/>
      <c r="AD158" s="105"/>
      <c r="AE158" s="105"/>
      <c r="AR158" s="12" t="s">
        <v>135</v>
      </c>
      <c r="AT158" s="12" t="s">
        <v>131</v>
      </c>
      <c r="AU158" s="12" t="s">
        <v>74</v>
      </c>
      <c r="AY158" s="13" t="s">
        <v>130</v>
      </c>
      <c r="BE158" s="14">
        <f>IF(N158="základní",J158,0)</f>
        <v>0</v>
      </c>
      <c r="BF158" s="14">
        <f>IF(N158="snížená",J158,0)</f>
        <v>0</v>
      </c>
      <c r="BG158" s="14">
        <f>IF(N158="zákl. přenesená",J158,0)</f>
        <v>0</v>
      </c>
      <c r="BH158" s="14">
        <f>IF(N158="sníž. přenesená",J158,0)</f>
        <v>0</v>
      </c>
      <c r="BI158" s="14">
        <f>IF(N158="nulová",J158,0)</f>
        <v>0</v>
      </c>
      <c r="BJ158" s="13" t="s">
        <v>74</v>
      </c>
      <c r="BK158" s="14">
        <f>ROUND(I158*H158,2)</f>
        <v>0</v>
      </c>
      <c r="BL158" s="13" t="s">
        <v>135</v>
      </c>
      <c r="BM158" s="12" t="s">
        <v>83</v>
      </c>
    </row>
    <row r="159" spans="1:65" s="5" customFormat="1" ht="16.5" customHeight="1" x14ac:dyDescent="0.2">
      <c r="A159" s="105"/>
      <c r="B159" s="140"/>
      <c r="C159" s="33" t="s">
        <v>147</v>
      </c>
      <c r="D159" s="33" t="s">
        <v>131</v>
      </c>
      <c r="E159" s="34" t="s">
        <v>730</v>
      </c>
      <c r="F159" s="7" t="s">
        <v>731</v>
      </c>
      <c r="G159" s="35" t="s">
        <v>134</v>
      </c>
      <c r="H159" s="36">
        <v>3.2549999999999999</v>
      </c>
      <c r="I159" s="1"/>
      <c r="J159" s="6">
        <f>ROUND(I159*H159,2)</f>
        <v>0</v>
      </c>
      <c r="K159" s="151" t="s">
        <v>1</v>
      </c>
      <c r="L159" s="17"/>
      <c r="M159" s="8" t="s">
        <v>1</v>
      </c>
      <c r="N159" s="9" t="s">
        <v>33</v>
      </c>
      <c r="O159" s="10">
        <v>0</v>
      </c>
      <c r="P159" s="10">
        <f>O159*H159</f>
        <v>0</v>
      </c>
      <c r="Q159" s="10">
        <v>0</v>
      </c>
      <c r="R159" s="10">
        <f>Q159*H159</f>
        <v>0</v>
      </c>
      <c r="S159" s="10">
        <v>0</v>
      </c>
      <c r="T159" s="11">
        <f>S159*H159</f>
        <v>0</v>
      </c>
      <c r="U159" s="105"/>
      <c r="V159" s="17"/>
      <c r="W159" s="17"/>
      <c r="X159" s="17"/>
      <c r="Y159" s="17"/>
      <c r="Z159" s="17"/>
      <c r="AA159" s="17"/>
      <c r="AB159" s="17"/>
      <c r="AC159" s="105"/>
      <c r="AD159" s="105"/>
      <c r="AE159" s="105"/>
      <c r="AR159" s="12" t="s">
        <v>135</v>
      </c>
      <c r="AT159" s="12" t="s">
        <v>131</v>
      </c>
      <c r="AU159" s="12" t="s">
        <v>74</v>
      </c>
      <c r="AY159" s="13" t="s">
        <v>130</v>
      </c>
      <c r="BE159" s="14">
        <f>IF(N159="základní",J159,0)</f>
        <v>0</v>
      </c>
      <c r="BF159" s="14">
        <f>IF(N159="snížená",J159,0)</f>
        <v>0</v>
      </c>
      <c r="BG159" s="14">
        <f>IF(N159="zákl. přenesená",J159,0)</f>
        <v>0</v>
      </c>
      <c r="BH159" s="14">
        <f>IF(N159="sníž. přenesená",J159,0)</f>
        <v>0</v>
      </c>
      <c r="BI159" s="14">
        <f>IF(N159="nulová",J159,0)</f>
        <v>0</v>
      </c>
      <c r="BJ159" s="13" t="s">
        <v>74</v>
      </c>
      <c r="BK159" s="14">
        <f>ROUND(I159*H159,2)</f>
        <v>0</v>
      </c>
      <c r="BL159" s="13" t="s">
        <v>135</v>
      </c>
      <c r="BM159" s="12" t="s">
        <v>163</v>
      </c>
    </row>
    <row r="160" spans="1:65" s="152" customFormat="1" x14ac:dyDescent="0.2">
      <c r="B160" s="153"/>
      <c r="C160" s="154"/>
      <c r="D160" s="141" t="s">
        <v>340</v>
      </c>
      <c r="E160" s="155" t="s">
        <v>1</v>
      </c>
      <c r="F160" s="156" t="s">
        <v>732</v>
      </c>
      <c r="G160" s="154"/>
      <c r="H160" s="157"/>
      <c r="I160" s="154"/>
      <c r="J160" s="154"/>
      <c r="K160" s="158"/>
      <c r="L160" s="154"/>
      <c r="M160" s="159"/>
      <c r="N160" s="154"/>
      <c r="O160" s="154"/>
      <c r="P160" s="154"/>
      <c r="Q160" s="154"/>
      <c r="R160" s="154"/>
      <c r="S160" s="154"/>
      <c r="T160" s="160"/>
      <c r="V160" s="154"/>
      <c r="W160" s="154"/>
      <c r="X160" s="154"/>
      <c r="Y160" s="154"/>
      <c r="Z160" s="154"/>
      <c r="AA160" s="154"/>
      <c r="AB160" s="154"/>
      <c r="AT160" s="161" t="s">
        <v>340</v>
      </c>
      <c r="AU160" s="161" t="s">
        <v>74</v>
      </c>
      <c r="AV160" s="152" t="s">
        <v>76</v>
      </c>
      <c r="AW160" s="152" t="s">
        <v>25</v>
      </c>
      <c r="AX160" s="152" t="s">
        <v>68</v>
      </c>
      <c r="AY160" s="161" t="s">
        <v>130</v>
      </c>
    </row>
    <row r="161" spans="1:65" s="162" customFormat="1" x14ac:dyDescent="0.2">
      <c r="B161" s="163"/>
      <c r="C161" s="164"/>
      <c r="D161" s="141" t="s">
        <v>340</v>
      </c>
      <c r="E161" s="165" t="s">
        <v>1</v>
      </c>
      <c r="F161" s="166" t="s">
        <v>342</v>
      </c>
      <c r="G161" s="164"/>
      <c r="H161" s="167">
        <v>3.2549999999999999</v>
      </c>
      <c r="I161" s="164"/>
      <c r="J161" s="164"/>
      <c r="K161" s="168"/>
      <c r="L161" s="164"/>
      <c r="M161" s="169"/>
      <c r="N161" s="164"/>
      <c r="O161" s="164"/>
      <c r="P161" s="164"/>
      <c r="Q161" s="164"/>
      <c r="R161" s="164"/>
      <c r="S161" s="164"/>
      <c r="T161" s="170"/>
      <c r="V161" s="164"/>
      <c r="W161" s="164"/>
      <c r="X161" s="164"/>
      <c r="Y161" s="164"/>
      <c r="Z161" s="164"/>
      <c r="AA161" s="164"/>
      <c r="AB161" s="164"/>
      <c r="AT161" s="171" t="s">
        <v>340</v>
      </c>
      <c r="AU161" s="171" t="s">
        <v>74</v>
      </c>
      <c r="AV161" s="162" t="s">
        <v>135</v>
      </c>
      <c r="AW161" s="162" t="s">
        <v>25</v>
      </c>
      <c r="AX161" s="162" t="s">
        <v>74</v>
      </c>
      <c r="AY161" s="171" t="s">
        <v>130</v>
      </c>
    </row>
    <row r="162" spans="1:65" s="20" customFormat="1" ht="25.9" customHeight="1" x14ac:dyDescent="0.2">
      <c r="B162" s="172"/>
      <c r="C162" s="23"/>
      <c r="D162" s="173" t="s">
        <v>67</v>
      </c>
      <c r="E162" s="174" t="s">
        <v>139</v>
      </c>
      <c r="F162" s="174" t="s">
        <v>733</v>
      </c>
      <c r="G162" s="23"/>
      <c r="H162" s="23"/>
      <c r="I162" s="23"/>
      <c r="J162" s="175">
        <f>BK162</f>
        <v>0</v>
      </c>
      <c r="K162" s="176"/>
      <c r="L162" s="23"/>
      <c r="M162" s="22"/>
      <c r="N162" s="23"/>
      <c r="O162" s="23"/>
      <c r="P162" s="24">
        <f>SUM(P165:P184)</f>
        <v>0</v>
      </c>
      <c r="Q162" s="23"/>
      <c r="R162" s="24">
        <f>SUM(R165:R184)</f>
        <v>0</v>
      </c>
      <c r="S162" s="23"/>
      <c r="T162" s="25">
        <f>SUM(T165:T184)</f>
        <v>0</v>
      </c>
      <c r="V162" s="23"/>
      <c r="W162" s="23"/>
      <c r="X162" s="23"/>
      <c r="Y162" s="23"/>
      <c r="Z162" s="23"/>
      <c r="AA162" s="23"/>
      <c r="AB162" s="23"/>
      <c r="AR162" s="26" t="s">
        <v>74</v>
      </c>
      <c r="AT162" s="27" t="s">
        <v>67</v>
      </c>
      <c r="AU162" s="27" t="s">
        <v>68</v>
      </c>
      <c r="AY162" s="26" t="s">
        <v>130</v>
      </c>
      <c r="BK162" s="28">
        <f>SUM(BK165:BK184)</f>
        <v>0</v>
      </c>
    </row>
    <row r="163" spans="1:65" s="5" customFormat="1" ht="19.5" x14ac:dyDescent="0.2">
      <c r="B163" s="177"/>
      <c r="C163" s="16"/>
      <c r="D163" s="178" t="s">
        <v>340</v>
      </c>
      <c r="E163" s="16"/>
      <c r="F163" s="200" t="s">
        <v>1234</v>
      </c>
      <c r="G163" s="16"/>
      <c r="H163" s="180">
        <f>((0.31+1.03+0.91+0.2+2.01+0.17+0.89+1+1.73+1.35+5.18+1.07+0.4+0.4+1.3+5.19+1.43+1.67+0.18+3.75+0.18+0.27)*4.37)-(2*1.3*3.28)-(0.85*2.16)+(2.04*0.7)+(2.41*0.7)</f>
        <v>126.5604</v>
      </c>
      <c r="I163" s="16"/>
      <c r="J163" s="16"/>
      <c r="K163" s="181"/>
      <c r="L163" s="52"/>
      <c r="M163" s="52"/>
      <c r="N163" s="52"/>
      <c r="O163" s="52"/>
      <c r="P163" s="52"/>
      <c r="Q163" s="52"/>
      <c r="R163" s="52"/>
      <c r="S163" s="128"/>
      <c r="V163" s="16"/>
      <c r="W163" s="16"/>
      <c r="X163" s="16"/>
      <c r="Y163" s="16"/>
      <c r="Z163" s="16"/>
      <c r="AA163" s="16"/>
      <c r="AB163" s="16"/>
      <c r="AZ163" s="126" t="s">
        <v>148</v>
      </c>
      <c r="BA163" s="126" t="s">
        <v>74</v>
      </c>
    </row>
    <row r="164" spans="1:65" s="5" customFormat="1" ht="10.15" customHeight="1" x14ac:dyDescent="0.2">
      <c r="B164" s="177"/>
      <c r="C164" s="16"/>
      <c r="D164" s="178" t="s">
        <v>340</v>
      </c>
      <c r="E164" s="16"/>
      <c r="F164" s="200" t="s">
        <v>1235</v>
      </c>
      <c r="G164" s="16"/>
      <c r="H164" s="180">
        <f>(4.83*5.18)+(2.1*1.7)+(3.4*3.6)+(2.04*0.27)+(2.41*0.4)</f>
        <v>42.344200000000001</v>
      </c>
      <c r="I164" s="16"/>
      <c r="J164" s="16"/>
      <c r="K164" s="181"/>
      <c r="L164" s="52"/>
      <c r="M164" s="52"/>
      <c r="N164" s="52"/>
      <c r="O164" s="52"/>
      <c r="P164" s="52"/>
      <c r="Q164" s="52"/>
      <c r="R164" s="52"/>
      <c r="S164" s="128"/>
      <c r="V164" s="16"/>
      <c r="W164" s="16"/>
      <c r="X164" s="16"/>
      <c r="Y164" s="16"/>
      <c r="Z164" s="16"/>
      <c r="AA164" s="16"/>
      <c r="AB164" s="16"/>
      <c r="AZ164" s="126" t="s">
        <v>148</v>
      </c>
      <c r="BA164" s="126" t="s">
        <v>74</v>
      </c>
    </row>
    <row r="165" spans="1:65" s="5" customFormat="1" ht="16.5" customHeight="1" x14ac:dyDescent="0.2">
      <c r="A165" s="105"/>
      <c r="B165" s="140"/>
      <c r="C165" s="33" t="s">
        <v>164</v>
      </c>
      <c r="D165" s="33" t="s">
        <v>131</v>
      </c>
      <c r="E165" s="34" t="s">
        <v>713</v>
      </c>
      <c r="F165" s="7" t="s">
        <v>714</v>
      </c>
      <c r="G165" s="35" t="s">
        <v>134</v>
      </c>
      <c r="H165" s="36">
        <v>168.904</v>
      </c>
      <c r="I165" s="1"/>
      <c r="J165" s="6">
        <f>ROUND(I165*H165,2)</f>
        <v>0</v>
      </c>
      <c r="K165" s="151" t="s">
        <v>1</v>
      </c>
      <c r="L165" s="17"/>
      <c r="M165" s="8" t="s">
        <v>1</v>
      </c>
      <c r="N165" s="9" t="s">
        <v>33</v>
      </c>
      <c r="O165" s="10">
        <v>0</v>
      </c>
      <c r="P165" s="10">
        <f>O165*H165</f>
        <v>0</v>
      </c>
      <c r="Q165" s="10">
        <v>0</v>
      </c>
      <c r="R165" s="10">
        <f>Q165*H165</f>
        <v>0</v>
      </c>
      <c r="S165" s="10">
        <v>0</v>
      </c>
      <c r="T165" s="11">
        <f>S165*H165</f>
        <v>0</v>
      </c>
      <c r="U165" s="105"/>
      <c r="V165" s="17"/>
      <c r="W165" s="17"/>
      <c r="X165" s="17"/>
      <c r="Y165" s="17"/>
      <c r="Z165" s="17"/>
      <c r="AA165" s="17"/>
      <c r="AB165" s="17"/>
      <c r="AC165" s="105"/>
      <c r="AD165" s="105"/>
      <c r="AE165" s="105"/>
      <c r="AR165" s="12" t="s">
        <v>135</v>
      </c>
      <c r="AT165" s="12" t="s">
        <v>131</v>
      </c>
      <c r="AU165" s="12" t="s">
        <v>74</v>
      </c>
      <c r="AY165" s="13" t="s">
        <v>130</v>
      </c>
      <c r="BE165" s="14">
        <f>IF(N165="základní",J165,0)</f>
        <v>0</v>
      </c>
      <c r="BF165" s="14">
        <f>IF(N165="snížená",J165,0)</f>
        <v>0</v>
      </c>
      <c r="BG165" s="14">
        <f>IF(N165="zákl. přenesená",J165,0)</f>
        <v>0</v>
      </c>
      <c r="BH165" s="14">
        <f>IF(N165="sníž. přenesená",J165,0)</f>
        <v>0</v>
      </c>
      <c r="BI165" s="14">
        <f>IF(N165="nulová",J165,0)</f>
        <v>0</v>
      </c>
      <c r="BJ165" s="13" t="s">
        <v>74</v>
      </c>
      <c r="BK165" s="14">
        <f>ROUND(I165*H165,2)</f>
        <v>0</v>
      </c>
      <c r="BL165" s="13" t="s">
        <v>135</v>
      </c>
      <c r="BM165" s="12" t="s">
        <v>165</v>
      </c>
    </row>
    <row r="166" spans="1:65" s="152" customFormat="1" x14ac:dyDescent="0.2">
      <c r="B166" s="153"/>
      <c r="C166" s="154"/>
      <c r="D166" s="141" t="s">
        <v>340</v>
      </c>
      <c r="E166" s="155" t="s">
        <v>1</v>
      </c>
      <c r="F166" s="156" t="s">
        <v>734</v>
      </c>
      <c r="G166" s="154"/>
      <c r="H166" s="157"/>
      <c r="I166" s="154"/>
      <c r="J166" s="154"/>
      <c r="K166" s="158"/>
      <c r="L166" s="154"/>
      <c r="M166" s="159"/>
      <c r="N166" s="154"/>
      <c r="O166" s="154"/>
      <c r="P166" s="154"/>
      <c r="Q166" s="154"/>
      <c r="R166" s="154"/>
      <c r="S166" s="154"/>
      <c r="T166" s="160"/>
      <c r="V166" s="154"/>
      <c r="W166" s="154"/>
      <c r="X166" s="154"/>
      <c r="Y166" s="154"/>
      <c r="Z166" s="154"/>
      <c r="AA166" s="154"/>
      <c r="AB166" s="154"/>
      <c r="AT166" s="161" t="s">
        <v>340</v>
      </c>
      <c r="AU166" s="161" t="s">
        <v>74</v>
      </c>
      <c r="AV166" s="152" t="s">
        <v>76</v>
      </c>
      <c r="AW166" s="152" t="s">
        <v>25</v>
      </c>
      <c r="AX166" s="152" t="s">
        <v>68</v>
      </c>
      <c r="AY166" s="161" t="s">
        <v>130</v>
      </c>
    </row>
    <row r="167" spans="1:65" s="162" customFormat="1" x14ac:dyDescent="0.2">
      <c r="B167" s="163"/>
      <c r="C167" s="164"/>
      <c r="D167" s="141" t="s">
        <v>340</v>
      </c>
      <c r="E167" s="165" t="s">
        <v>1</v>
      </c>
      <c r="F167" s="166" t="s">
        <v>342</v>
      </c>
      <c r="G167" s="164"/>
      <c r="H167" s="167">
        <v>168.904</v>
      </c>
      <c r="I167" s="164"/>
      <c r="J167" s="164"/>
      <c r="K167" s="168"/>
      <c r="L167" s="164"/>
      <c r="M167" s="169"/>
      <c r="N167" s="164"/>
      <c r="O167" s="164"/>
      <c r="P167" s="164"/>
      <c r="Q167" s="164"/>
      <c r="R167" s="164"/>
      <c r="S167" s="164"/>
      <c r="T167" s="170"/>
      <c r="V167" s="164"/>
      <c r="W167" s="164"/>
      <c r="X167" s="164"/>
      <c r="Y167" s="164"/>
      <c r="Z167" s="164"/>
      <c r="AA167" s="164"/>
      <c r="AB167" s="164"/>
      <c r="AT167" s="171" t="s">
        <v>340</v>
      </c>
      <c r="AU167" s="171" t="s">
        <v>74</v>
      </c>
      <c r="AV167" s="162" t="s">
        <v>135</v>
      </c>
      <c r="AW167" s="162" t="s">
        <v>25</v>
      </c>
      <c r="AX167" s="162" t="s">
        <v>74</v>
      </c>
      <c r="AY167" s="171" t="s">
        <v>130</v>
      </c>
    </row>
    <row r="168" spans="1:65" s="5" customFormat="1" ht="16.5" customHeight="1" x14ac:dyDescent="0.2">
      <c r="A168" s="105"/>
      <c r="B168" s="140"/>
      <c r="C168" s="33" t="s">
        <v>72</v>
      </c>
      <c r="D168" s="33" t="s">
        <v>131</v>
      </c>
      <c r="E168" s="34" t="s">
        <v>716</v>
      </c>
      <c r="F168" s="7" t="s">
        <v>717</v>
      </c>
      <c r="G168" s="35" t="s">
        <v>134</v>
      </c>
      <c r="H168" s="36">
        <v>33.780999999999999</v>
      </c>
      <c r="I168" s="1"/>
      <c r="J168" s="6">
        <f>ROUND(I168*H168,2)</f>
        <v>0</v>
      </c>
      <c r="K168" s="151" t="s">
        <v>1</v>
      </c>
      <c r="L168" s="17"/>
      <c r="M168" s="8" t="s">
        <v>1</v>
      </c>
      <c r="N168" s="9" t="s">
        <v>33</v>
      </c>
      <c r="O168" s="10">
        <v>0</v>
      </c>
      <c r="P168" s="10">
        <f>O168*H168</f>
        <v>0</v>
      </c>
      <c r="Q168" s="10">
        <v>0</v>
      </c>
      <c r="R168" s="10">
        <f>Q168*H168</f>
        <v>0</v>
      </c>
      <c r="S168" s="10">
        <v>0</v>
      </c>
      <c r="T168" s="11">
        <f>S168*H168</f>
        <v>0</v>
      </c>
      <c r="U168" s="105"/>
      <c r="V168" s="17"/>
      <c r="W168" s="17"/>
      <c r="X168" s="17"/>
      <c r="Y168" s="17"/>
      <c r="Z168" s="17"/>
      <c r="AA168" s="17"/>
      <c r="AB168" s="17"/>
      <c r="AC168" s="105"/>
      <c r="AD168" s="105"/>
      <c r="AE168" s="105"/>
      <c r="AR168" s="12" t="s">
        <v>135</v>
      </c>
      <c r="AT168" s="12" t="s">
        <v>131</v>
      </c>
      <c r="AU168" s="12" t="s">
        <v>74</v>
      </c>
      <c r="AY168" s="13" t="s">
        <v>130</v>
      </c>
      <c r="BE168" s="14">
        <f>IF(N168="základní",J168,0)</f>
        <v>0</v>
      </c>
      <c r="BF168" s="14">
        <f>IF(N168="snížená",J168,0)</f>
        <v>0</v>
      </c>
      <c r="BG168" s="14">
        <f>IF(N168="zákl. přenesená",J168,0)</f>
        <v>0</v>
      </c>
      <c r="BH168" s="14">
        <f>IF(N168="sníž. přenesená",J168,0)</f>
        <v>0</v>
      </c>
      <c r="BI168" s="14">
        <f>IF(N168="nulová",J168,0)</f>
        <v>0</v>
      </c>
      <c r="BJ168" s="13" t="s">
        <v>74</v>
      </c>
      <c r="BK168" s="14">
        <f>ROUND(I168*H168,2)</f>
        <v>0</v>
      </c>
      <c r="BL168" s="13" t="s">
        <v>135</v>
      </c>
      <c r="BM168" s="12" t="s">
        <v>171</v>
      </c>
    </row>
    <row r="169" spans="1:65" s="5" customFormat="1" ht="19.5" x14ac:dyDescent="0.2">
      <c r="A169" s="105"/>
      <c r="B169" s="140"/>
      <c r="C169" s="17"/>
      <c r="D169" s="141" t="s">
        <v>148</v>
      </c>
      <c r="E169" s="17"/>
      <c r="F169" s="142" t="s">
        <v>718</v>
      </c>
      <c r="G169" s="17"/>
      <c r="H169" s="17"/>
      <c r="I169" s="17"/>
      <c r="J169" s="17"/>
      <c r="K169" s="143"/>
      <c r="L169" s="17"/>
      <c r="M169" s="15"/>
      <c r="N169" s="16"/>
      <c r="O169" s="17"/>
      <c r="P169" s="17"/>
      <c r="Q169" s="17"/>
      <c r="R169" s="17"/>
      <c r="S169" s="17"/>
      <c r="T169" s="18"/>
      <c r="U169" s="105"/>
      <c r="V169" s="17"/>
      <c r="W169" s="17"/>
      <c r="X169" s="17"/>
      <c r="Y169" s="17"/>
      <c r="Z169" s="17"/>
      <c r="AA169" s="17"/>
      <c r="AB169" s="17"/>
      <c r="AC169" s="105"/>
      <c r="AD169" s="105"/>
      <c r="AE169" s="105"/>
      <c r="AT169" s="13" t="s">
        <v>148</v>
      </c>
      <c r="AU169" s="13" t="s">
        <v>74</v>
      </c>
    </row>
    <row r="170" spans="1:65" s="5" customFormat="1" ht="16.5" customHeight="1" x14ac:dyDescent="0.2">
      <c r="A170" s="105"/>
      <c r="B170" s="140"/>
      <c r="C170" s="33" t="s">
        <v>77</v>
      </c>
      <c r="D170" s="33" t="s">
        <v>131</v>
      </c>
      <c r="E170" s="34" t="s">
        <v>232</v>
      </c>
      <c r="F170" s="7" t="s">
        <v>722</v>
      </c>
      <c r="G170" s="35" t="s">
        <v>723</v>
      </c>
      <c r="H170" s="36">
        <v>0.27</v>
      </c>
      <c r="I170" s="1"/>
      <c r="J170" s="6">
        <f>ROUND(I170*H170,2)</f>
        <v>0</v>
      </c>
      <c r="K170" s="151" t="s">
        <v>1</v>
      </c>
      <c r="L170" s="17"/>
      <c r="M170" s="8" t="s">
        <v>1</v>
      </c>
      <c r="N170" s="9" t="s">
        <v>33</v>
      </c>
      <c r="O170" s="10">
        <v>0</v>
      </c>
      <c r="P170" s="10">
        <f>O170*H170</f>
        <v>0</v>
      </c>
      <c r="Q170" s="10">
        <v>0</v>
      </c>
      <c r="R170" s="10">
        <f>Q170*H170</f>
        <v>0</v>
      </c>
      <c r="S170" s="10">
        <v>0</v>
      </c>
      <c r="T170" s="11">
        <f>S170*H170</f>
        <v>0</v>
      </c>
      <c r="U170" s="105"/>
      <c r="V170" s="17"/>
      <c r="W170" s="17"/>
      <c r="X170" s="17"/>
      <c r="Y170" s="17"/>
      <c r="Z170" s="17"/>
      <c r="AA170" s="17"/>
      <c r="AB170" s="17"/>
      <c r="AC170" s="105"/>
      <c r="AD170" s="105"/>
      <c r="AE170" s="105"/>
      <c r="AR170" s="12" t="s">
        <v>135</v>
      </c>
      <c r="AT170" s="12" t="s">
        <v>131</v>
      </c>
      <c r="AU170" s="12" t="s">
        <v>74</v>
      </c>
      <c r="AY170" s="13" t="s">
        <v>130</v>
      </c>
      <c r="BE170" s="14">
        <f>IF(N170="základní",J170,0)</f>
        <v>0</v>
      </c>
      <c r="BF170" s="14">
        <f>IF(N170="snížená",J170,0)</f>
        <v>0</v>
      </c>
      <c r="BG170" s="14">
        <f>IF(N170="zákl. přenesená",J170,0)</f>
        <v>0</v>
      </c>
      <c r="BH170" s="14">
        <f>IF(N170="sníž. přenesená",J170,0)</f>
        <v>0</v>
      </c>
      <c r="BI170" s="14">
        <f>IF(N170="nulová",J170,0)</f>
        <v>0</v>
      </c>
      <c r="BJ170" s="13" t="s">
        <v>74</v>
      </c>
      <c r="BK170" s="14">
        <f>ROUND(I170*H170,2)</f>
        <v>0</v>
      </c>
      <c r="BL170" s="13" t="s">
        <v>135</v>
      </c>
      <c r="BM170" s="12" t="s">
        <v>174</v>
      </c>
    </row>
    <row r="171" spans="1:65" s="5" customFormat="1" ht="16.5" customHeight="1" x14ac:dyDescent="0.2">
      <c r="A171" s="105"/>
      <c r="B171" s="140"/>
      <c r="C171" s="33" t="s">
        <v>79</v>
      </c>
      <c r="D171" s="33" t="s">
        <v>131</v>
      </c>
      <c r="E171" s="34" t="s">
        <v>246</v>
      </c>
      <c r="F171" s="7" t="s">
        <v>724</v>
      </c>
      <c r="G171" s="35" t="s">
        <v>723</v>
      </c>
      <c r="H171" s="36">
        <v>0.27</v>
      </c>
      <c r="I171" s="1"/>
      <c r="J171" s="6">
        <f>ROUND(I171*H171,2)</f>
        <v>0</v>
      </c>
      <c r="K171" s="151" t="s">
        <v>1</v>
      </c>
      <c r="L171" s="17"/>
      <c r="M171" s="8" t="s">
        <v>1</v>
      </c>
      <c r="N171" s="9" t="s">
        <v>33</v>
      </c>
      <c r="O171" s="10">
        <v>0</v>
      </c>
      <c r="P171" s="10">
        <f>O171*H171</f>
        <v>0</v>
      </c>
      <c r="Q171" s="10">
        <v>0</v>
      </c>
      <c r="R171" s="10">
        <f>Q171*H171</f>
        <v>0</v>
      </c>
      <c r="S171" s="10">
        <v>0</v>
      </c>
      <c r="T171" s="11">
        <f>S171*H171</f>
        <v>0</v>
      </c>
      <c r="U171" s="105"/>
      <c r="V171" s="17"/>
      <c r="W171" s="17"/>
      <c r="X171" s="17"/>
      <c r="Y171" s="17"/>
      <c r="Z171" s="17"/>
      <c r="AA171" s="17"/>
      <c r="AB171" s="17"/>
      <c r="AC171" s="105"/>
      <c r="AD171" s="105"/>
      <c r="AE171" s="105"/>
      <c r="AR171" s="12" t="s">
        <v>135</v>
      </c>
      <c r="AT171" s="12" t="s">
        <v>131</v>
      </c>
      <c r="AU171" s="12" t="s">
        <v>74</v>
      </c>
      <c r="AY171" s="13" t="s">
        <v>130</v>
      </c>
      <c r="BE171" s="14">
        <f>IF(N171="základní",J171,0)</f>
        <v>0</v>
      </c>
      <c r="BF171" s="14">
        <f>IF(N171="snížená",J171,0)</f>
        <v>0</v>
      </c>
      <c r="BG171" s="14">
        <f>IF(N171="zákl. přenesená",J171,0)</f>
        <v>0</v>
      </c>
      <c r="BH171" s="14">
        <f>IF(N171="sníž. přenesená",J171,0)</f>
        <v>0</v>
      </c>
      <c r="BI171" s="14">
        <f>IF(N171="nulová",J171,0)</f>
        <v>0</v>
      </c>
      <c r="BJ171" s="13" t="s">
        <v>74</v>
      </c>
      <c r="BK171" s="14">
        <f>ROUND(I171*H171,2)</f>
        <v>0</v>
      </c>
      <c r="BL171" s="13" t="s">
        <v>135</v>
      </c>
      <c r="BM171" s="12" t="s">
        <v>177</v>
      </c>
    </row>
    <row r="172" spans="1:65" s="5" customFormat="1" ht="16.5" customHeight="1" x14ac:dyDescent="0.2">
      <c r="A172" s="105"/>
      <c r="B172" s="140"/>
      <c r="C172" s="33" t="s">
        <v>81</v>
      </c>
      <c r="D172" s="33" t="s">
        <v>131</v>
      </c>
      <c r="E172" s="34" t="s">
        <v>728</v>
      </c>
      <c r="F172" s="7" t="s">
        <v>729</v>
      </c>
      <c r="G172" s="35" t="s">
        <v>134</v>
      </c>
      <c r="H172" s="36">
        <v>168.904</v>
      </c>
      <c r="I172" s="1"/>
      <c r="J172" s="6">
        <f>ROUND(I172*H172,2)</f>
        <v>0</v>
      </c>
      <c r="K172" s="151" t="s">
        <v>1</v>
      </c>
      <c r="L172" s="17"/>
      <c r="M172" s="8" t="s">
        <v>1</v>
      </c>
      <c r="N172" s="9" t="s">
        <v>33</v>
      </c>
      <c r="O172" s="10">
        <v>0</v>
      </c>
      <c r="P172" s="10">
        <f>O172*H172</f>
        <v>0</v>
      </c>
      <c r="Q172" s="10">
        <v>0</v>
      </c>
      <c r="R172" s="10">
        <f>Q172*H172</f>
        <v>0</v>
      </c>
      <c r="S172" s="10">
        <v>0</v>
      </c>
      <c r="T172" s="11">
        <f>S172*H172</f>
        <v>0</v>
      </c>
      <c r="U172" s="105"/>
      <c r="V172" s="17"/>
      <c r="W172" s="17"/>
      <c r="X172" s="17"/>
      <c r="Y172" s="17"/>
      <c r="Z172" s="17"/>
      <c r="AA172" s="17"/>
      <c r="AB172" s="17"/>
      <c r="AC172" s="105"/>
      <c r="AD172" s="105"/>
      <c r="AE172" s="105"/>
      <c r="AR172" s="12" t="s">
        <v>135</v>
      </c>
      <c r="AT172" s="12" t="s">
        <v>131</v>
      </c>
      <c r="AU172" s="12" t="s">
        <v>74</v>
      </c>
      <c r="AY172" s="13" t="s">
        <v>130</v>
      </c>
      <c r="BE172" s="14">
        <f>IF(N172="základní",J172,0)</f>
        <v>0</v>
      </c>
      <c r="BF172" s="14">
        <f>IF(N172="snížená",J172,0)</f>
        <v>0</v>
      </c>
      <c r="BG172" s="14">
        <f>IF(N172="zákl. přenesená",J172,0)</f>
        <v>0</v>
      </c>
      <c r="BH172" s="14">
        <f>IF(N172="sníž. přenesená",J172,0)</f>
        <v>0</v>
      </c>
      <c r="BI172" s="14">
        <f>IF(N172="nulová",J172,0)</f>
        <v>0</v>
      </c>
      <c r="BJ172" s="13" t="s">
        <v>74</v>
      </c>
      <c r="BK172" s="14">
        <f>ROUND(I172*H172,2)</f>
        <v>0</v>
      </c>
      <c r="BL172" s="13" t="s">
        <v>135</v>
      </c>
      <c r="BM172" s="12" t="s">
        <v>180</v>
      </c>
    </row>
    <row r="173" spans="1:65" s="5" customFormat="1" ht="16.5" customHeight="1" x14ac:dyDescent="0.2">
      <c r="A173" s="105"/>
      <c r="B173" s="140"/>
      <c r="C173" s="33" t="s">
        <v>83</v>
      </c>
      <c r="D173" s="33" t="s">
        <v>131</v>
      </c>
      <c r="E173" s="34" t="s">
        <v>735</v>
      </c>
      <c r="F173" s="7" t="s">
        <v>736</v>
      </c>
      <c r="G173" s="35" t="s">
        <v>134</v>
      </c>
      <c r="H173" s="36">
        <v>50</v>
      </c>
      <c r="I173" s="1"/>
      <c r="J173" s="6">
        <f>ROUND(I173*H173,2)</f>
        <v>0</v>
      </c>
      <c r="K173" s="151" t="s">
        <v>1</v>
      </c>
      <c r="L173" s="17"/>
      <c r="M173" s="8" t="s">
        <v>1</v>
      </c>
      <c r="N173" s="9" t="s">
        <v>33</v>
      </c>
      <c r="O173" s="10">
        <v>0</v>
      </c>
      <c r="P173" s="10">
        <f>O173*H173</f>
        <v>0</v>
      </c>
      <c r="Q173" s="10">
        <v>0</v>
      </c>
      <c r="R173" s="10">
        <f>Q173*H173</f>
        <v>0</v>
      </c>
      <c r="S173" s="10">
        <v>0</v>
      </c>
      <c r="T173" s="11">
        <f>S173*H173</f>
        <v>0</v>
      </c>
      <c r="U173" s="105"/>
      <c r="V173" s="17"/>
      <c r="W173" s="17"/>
      <c r="X173" s="17"/>
      <c r="Y173" s="17"/>
      <c r="Z173" s="17"/>
      <c r="AA173" s="17"/>
      <c r="AB173" s="17"/>
      <c r="AC173" s="105"/>
      <c r="AD173" s="105"/>
      <c r="AE173" s="105"/>
      <c r="AR173" s="12" t="s">
        <v>135</v>
      </c>
      <c r="AT173" s="12" t="s">
        <v>131</v>
      </c>
      <c r="AU173" s="12" t="s">
        <v>74</v>
      </c>
      <c r="AY173" s="13" t="s">
        <v>130</v>
      </c>
      <c r="BE173" s="14">
        <f>IF(N173="základní",J173,0)</f>
        <v>0</v>
      </c>
      <c r="BF173" s="14">
        <f>IF(N173="snížená",J173,0)</f>
        <v>0</v>
      </c>
      <c r="BG173" s="14">
        <f>IF(N173="zákl. přenesená",J173,0)</f>
        <v>0</v>
      </c>
      <c r="BH173" s="14">
        <f>IF(N173="sníž. přenesená",J173,0)</f>
        <v>0</v>
      </c>
      <c r="BI173" s="14">
        <f>IF(N173="nulová",J173,0)</f>
        <v>0</v>
      </c>
      <c r="BJ173" s="13" t="s">
        <v>74</v>
      </c>
      <c r="BK173" s="14">
        <f>ROUND(I173*H173,2)</f>
        <v>0</v>
      </c>
      <c r="BL173" s="13" t="s">
        <v>135</v>
      </c>
      <c r="BM173" s="12" t="s">
        <v>183</v>
      </c>
    </row>
    <row r="174" spans="1:65" s="5" customFormat="1" ht="19.5" x14ac:dyDescent="0.2">
      <c r="A174" s="105"/>
      <c r="B174" s="140"/>
      <c r="C174" s="17"/>
      <c r="D174" s="141" t="s">
        <v>148</v>
      </c>
      <c r="E174" s="17"/>
      <c r="F174" s="142" t="s">
        <v>737</v>
      </c>
      <c r="G174" s="17"/>
      <c r="H174" s="17"/>
      <c r="I174" s="17"/>
      <c r="J174" s="17"/>
      <c r="K174" s="143"/>
      <c r="L174" s="17"/>
      <c r="M174" s="15"/>
      <c r="N174" s="16"/>
      <c r="O174" s="17"/>
      <c r="P174" s="17"/>
      <c r="Q174" s="17"/>
      <c r="R174" s="17"/>
      <c r="S174" s="17"/>
      <c r="T174" s="18"/>
      <c r="U174" s="105"/>
      <c r="V174" s="17"/>
      <c r="W174" s="17"/>
      <c r="X174" s="17"/>
      <c r="Y174" s="17"/>
      <c r="Z174" s="17"/>
      <c r="AA174" s="17"/>
      <c r="AB174" s="17"/>
      <c r="AC174" s="105"/>
      <c r="AD174" s="105"/>
      <c r="AE174" s="105"/>
      <c r="AT174" s="13" t="s">
        <v>148</v>
      </c>
      <c r="AU174" s="13" t="s">
        <v>74</v>
      </c>
    </row>
    <row r="175" spans="1:65" s="5" customFormat="1" ht="16.5" customHeight="1" x14ac:dyDescent="0.2">
      <c r="A175" s="105"/>
      <c r="B175" s="140"/>
      <c r="C175" s="33" t="s">
        <v>8</v>
      </c>
      <c r="D175" s="33" t="s">
        <v>131</v>
      </c>
      <c r="E175" s="34" t="s">
        <v>738</v>
      </c>
      <c r="F175" s="7" t="s">
        <v>739</v>
      </c>
      <c r="G175" s="35" t="s">
        <v>134</v>
      </c>
      <c r="H175" s="36">
        <v>30</v>
      </c>
      <c r="I175" s="1"/>
      <c r="J175" s="6">
        <f>ROUND(I175*H175,2)</f>
        <v>0</v>
      </c>
      <c r="K175" s="151" t="s">
        <v>1</v>
      </c>
      <c r="L175" s="17"/>
      <c r="M175" s="8" t="s">
        <v>1</v>
      </c>
      <c r="N175" s="9" t="s">
        <v>33</v>
      </c>
      <c r="O175" s="10">
        <v>0</v>
      </c>
      <c r="P175" s="10">
        <f>O175*H175</f>
        <v>0</v>
      </c>
      <c r="Q175" s="10">
        <v>0</v>
      </c>
      <c r="R175" s="10">
        <f>Q175*H175</f>
        <v>0</v>
      </c>
      <c r="S175" s="10">
        <v>0</v>
      </c>
      <c r="T175" s="11">
        <f>S175*H175</f>
        <v>0</v>
      </c>
      <c r="U175" s="105"/>
      <c r="V175" s="17"/>
      <c r="W175" s="17"/>
      <c r="X175" s="17"/>
      <c r="Y175" s="17"/>
      <c r="Z175" s="17"/>
      <c r="AA175" s="17"/>
      <c r="AB175" s="17"/>
      <c r="AC175" s="105"/>
      <c r="AD175" s="105"/>
      <c r="AE175" s="105"/>
      <c r="AR175" s="12" t="s">
        <v>135</v>
      </c>
      <c r="AT175" s="12" t="s">
        <v>131</v>
      </c>
      <c r="AU175" s="12" t="s">
        <v>74</v>
      </c>
      <c r="AY175" s="13" t="s">
        <v>130</v>
      </c>
      <c r="BE175" s="14">
        <f>IF(N175="základní",J175,0)</f>
        <v>0</v>
      </c>
      <c r="BF175" s="14">
        <f>IF(N175="snížená",J175,0)</f>
        <v>0</v>
      </c>
      <c r="BG175" s="14">
        <f>IF(N175="zákl. přenesená",J175,0)</f>
        <v>0</v>
      </c>
      <c r="BH175" s="14">
        <f>IF(N175="sníž. přenesená",J175,0)</f>
        <v>0</v>
      </c>
      <c r="BI175" s="14">
        <f>IF(N175="nulová",J175,0)</f>
        <v>0</v>
      </c>
      <c r="BJ175" s="13" t="s">
        <v>74</v>
      </c>
      <c r="BK175" s="14">
        <f>ROUND(I175*H175,2)</f>
        <v>0</v>
      </c>
      <c r="BL175" s="13" t="s">
        <v>135</v>
      </c>
      <c r="BM175" s="12" t="s">
        <v>186</v>
      </c>
    </row>
    <row r="176" spans="1:65" s="5" customFormat="1" ht="19.5" x14ac:dyDescent="0.2">
      <c r="A176" s="105"/>
      <c r="B176" s="140"/>
      <c r="C176" s="17"/>
      <c r="D176" s="141" t="s">
        <v>148</v>
      </c>
      <c r="E176" s="17"/>
      <c r="F176" s="142" t="s">
        <v>740</v>
      </c>
      <c r="G176" s="17"/>
      <c r="H176" s="17"/>
      <c r="I176" s="17"/>
      <c r="J176" s="17"/>
      <c r="K176" s="143"/>
      <c r="L176" s="17"/>
      <c r="M176" s="15"/>
      <c r="N176" s="16"/>
      <c r="O176" s="17"/>
      <c r="P176" s="17"/>
      <c r="Q176" s="17"/>
      <c r="R176" s="17"/>
      <c r="S176" s="17"/>
      <c r="T176" s="18"/>
      <c r="U176" s="105"/>
      <c r="V176" s="17"/>
      <c r="W176" s="17"/>
      <c r="X176" s="17"/>
      <c r="Y176" s="17"/>
      <c r="Z176" s="17"/>
      <c r="AA176" s="17"/>
      <c r="AB176" s="17"/>
      <c r="AC176" s="105"/>
      <c r="AD176" s="105"/>
      <c r="AE176" s="105"/>
      <c r="AT176" s="13" t="s">
        <v>148</v>
      </c>
      <c r="AU176" s="13" t="s">
        <v>74</v>
      </c>
    </row>
    <row r="177" spans="1:65" s="5" customFormat="1" ht="16.5" customHeight="1" x14ac:dyDescent="0.2">
      <c r="A177" s="105"/>
      <c r="B177" s="140"/>
      <c r="C177" s="33" t="s">
        <v>163</v>
      </c>
      <c r="D177" s="33" t="s">
        <v>131</v>
      </c>
      <c r="E177" s="34" t="s">
        <v>741</v>
      </c>
      <c r="F177" s="7" t="s">
        <v>742</v>
      </c>
      <c r="G177" s="35" t="s">
        <v>134</v>
      </c>
      <c r="H177" s="36">
        <v>50</v>
      </c>
      <c r="I177" s="1"/>
      <c r="J177" s="6">
        <f>ROUND(I177*H177,2)</f>
        <v>0</v>
      </c>
      <c r="K177" s="151" t="s">
        <v>1</v>
      </c>
      <c r="L177" s="17"/>
      <c r="M177" s="8" t="s">
        <v>1</v>
      </c>
      <c r="N177" s="9" t="s">
        <v>33</v>
      </c>
      <c r="O177" s="10">
        <v>0</v>
      </c>
      <c r="P177" s="10">
        <f>O177*H177</f>
        <v>0</v>
      </c>
      <c r="Q177" s="10">
        <v>0</v>
      </c>
      <c r="R177" s="10">
        <f>Q177*H177</f>
        <v>0</v>
      </c>
      <c r="S177" s="10">
        <v>0</v>
      </c>
      <c r="T177" s="11">
        <f>S177*H177</f>
        <v>0</v>
      </c>
      <c r="U177" s="105"/>
      <c r="V177" s="17"/>
      <c r="W177" s="17"/>
      <c r="X177" s="17"/>
      <c r="Y177" s="17"/>
      <c r="Z177" s="17"/>
      <c r="AA177" s="17"/>
      <c r="AB177" s="17"/>
      <c r="AC177" s="105"/>
      <c r="AD177" s="105"/>
      <c r="AE177" s="105"/>
      <c r="AR177" s="12" t="s">
        <v>135</v>
      </c>
      <c r="AT177" s="12" t="s">
        <v>131</v>
      </c>
      <c r="AU177" s="12" t="s">
        <v>74</v>
      </c>
      <c r="AY177" s="13" t="s">
        <v>130</v>
      </c>
      <c r="BE177" s="14">
        <f>IF(N177="základní",J177,0)</f>
        <v>0</v>
      </c>
      <c r="BF177" s="14">
        <f>IF(N177="snížená",J177,0)</f>
        <v>0</v>
      </c>
      <c r="BG177" s="14">
        <f>IF(N177="zákl. přenesená",J177,0)</f>
        <v>0</v>
      </c>
      <c r="BH177" s="14">
        <f>IF(N177="sníž. přenesená",J177,0)</f>
        <v>0</v>
      </c>
      <c r="BI177" s="14">
        <f>IF(N177="nulová",J177,0)</f>
        <v>0</v>
      </c>
      <c r="BJ177" s="13" t="s">
        <v>74</v>
      </c>
      <c r="BK177" s="14">
        <f>ROUND(I177*H177,2)</f>
        <v>0</v>
      </c>
      <c r="BL177" s="13" t="s">
        <v>135</v>
      </c>
      <c r="BM177" s="12" t="s">
        <v>189</v>
      </c>
    </row>
    <row r="178" spans="1:65" s="5" customFormat="1" ht="39" x14ac:dyDescent="0.2">
      <c r="A178" s="105"/>
      <c r="B178" s="140"/>
      <c r="C178" s="17"/>
      <c r="D178" s="141" t="s">
        <v>148</v>
      </c>
      <c r="E178" s="17"/>
      <c r="F178" s="142" t="s">
        <v>743</v>
      </c>
      <c r="G178" s="17"/>
      <c r="H178" s="17"/>
      <c r="I178" s="17"/>
      <c r="J178" s="17"/>
      <c r="K178" s="143"/>
      <c r="L178" s="17"/>
      <c r="M178" s="15"/>
      <c r="N178" s="16"/>
      <c r="O178" s="17"/>
      <c r="P178" s="17"/>
      <c r="Q178" s="17"/>
      <c r="R178" s="17"/>
      <c r="S178" s="17"/>
      <c r="T178" s="18"/>
      <c r="U178" s="105"/>
      <c r="V178" s="17"/>
      <c r="W178" s="17"/>
      <c r="X178" s="17"/>
      <c r="Y178" s="17"/>
      <c r="Z178" s="17"/>
      <c r="AA178" s="17"/>
      <c r="AB178" s="17"/>
      <c r="AC178" s="105"/>
      <c r="AD178" s="105"/>
      <c r="AE178" s="105"/>
      <c r="AT178" s="13" t="s">
        <v>148</v>
      </c>
      <c r="AU178" s="13" t="s">
        <v>74</v>
      </c>
    </row>
    <row r="179" spans="1:65" s="5" customFormat="1" ht="16.5" customHeight="1" x14ac:dyDescent="0.2">
      <c r="A179" s="105"/>
      <c r="B179" s="140"/>
      <c r="C179" s="33" t="s">
        <v>193</v>
      </c>
      <c r="D179" s="33" t="s">
        <v>131</v>
      </c>
      <c r="E179" s="34" t="s">
        <v>744</v>
      </c>
      <c r="F179" s="7" t="s">
        <v>745</v>
      </c>
      <c r="G179" s="35" t="s">
        <v>134</v>
      </c>
      <c r="H179" s="36">
        <v>50</v>
      </c>
      <c r="I179" s="1"/>
      <c r="J179" s="6">
        <f>ROUND(I179*H179,2)</f>
        <v>0</v>
      </c>
      <c r="K179" s="151" t="s">
        <v>1</v>
      </c>
      <c r="L179" s="17"/>
      <c r="M179" s="8" t="s">
        <v>1</v>
      </c>
      <c r="N179" s="9" t="s">
        <v>33</v>
      </c>
      <c r="O179" s="10">
        <v>0</v>
      </c>
      <c r="P179" s="10">
        <f>O179*H179</f>
        <v>0</v>
      </c>
      <c r="Q179" s="10">
        <v>0</v>
      </c>
      <c r="R179" s="10">
        <f>Q179*H179</f>
        <v>0</v>
      </c>
      <c r="S179" s="10">
        <v>0</v>
      </c>
      <c r="T179" s="11">
        <f>S179*H179</f>
        <v>0</v>
      </c>
      <c r="U179" s="105"/>
      <c r="V179" s="17"/>
      <c r="W179" s="17"/>
      <c r="X179" s="17"/>
      <c r="Y179" s="17"/>
      <c r="Z179" s="17"/>
      <c r="AA179" s="17"/>
      <c r="AB179" s="17"/>
      <c r="AC179" s="105"/>
      <c r="AD179" s="105"/>
      <c r="AE179" s="105"/>
      <c r="AR179" s="12" t="s">
        <v>135</v>
      </c>
      <c r="AT179" s="12" t="s">
        <v>131</v>
      </c>
      <c r="AU179" s="12" t="s">
        <v>74</v>
      </c>
      <c r="AY179" s="13" t="s">
        <v>130</v>
      </c>
      <c r="BE179" s="14">
        <f>IF(N179="základní",J179,0)</f>
        <v>0</v>
      </c>
      <c r="BF179" s="14">
        <f>IF(N179="snížená",J179,0)</f>
        <v>0</v>
      </c>
      <c r="BG179" s="14">
        <f>IF(N179="zákl. přenesená",J179,0)</f>
        <v>0</v>
      </c>
      <c r="BH179" s="14">
        <f>IF(N179="sníž. přenesená",J179,0)</f>
        <v>0</v>
      </c>
      <c r="BI179" s="14">
        <f>IF(N179="nulová",J179,0)</f>
        <v>0</v>
      </c>
      <c r="BJ179" s="13" t="s">
        <v>74</v>
      </c>
      <c r="BK179" s="14">
        <f>ROUND(I179*H179,2)</f>
        <v>0</v>
      </c>
      <c r="BL179" s="13" t="s">
        <v>135</v>
      </c>
      <c r="BM179" s="12" t="s">
        <v>196</v>
      </c>
    </row>
    <row r="180" spans="1:65" s="5" customFormat="1" ht="16.5" customHeight="1" x14ac:dyDescent="0.2">
      <c r="A180" s="105"/>
      <c r="B180" s="140"/>
      <c r="C180" s="33" t="s">
        <v>165</v>
      </c>
      <c r="D180" s="33" t="s">
        <v>131</v>
      </c>
      <c r="E180" s="34" t="s">
        <v>746</v>
      </c>
      <c r="F180" s="7" t="s">
        <v>726</v>
      </c>
      <c r="G180" s="35" t="s">
        <v>134</v>
      </c>
      <c r="H180" s="36">
        <v>168.904</v>
      </c>
      <c r="I180" s="1"/>
      <c r="J180" s="6">
        <f>ROUND(I180*H180,2)</f>
        <v>0</v>
      </c>
      <c r="K180" s="151" t="s">
        <v>1</v>
      </c>
      <c r="L180" s="17"/>
      <c r="M180" s="8" t="s">
        <v>1</v>
      </c>
      <c r="N180" s="9" t="s">
        <v>33</v>
      </c>
      <c r="O180" s="10">
        <v>0</v>
      </c>
      <c r="P180" s="10">
        <f>O180*H180</f>
        <v>0</v>
      </c>
      <c r="Q180" s="10">
        <v>0</v>
      </c>
      <c r="R180" s="10">
        <f>Q180*H180</f>
        <v>0</v>
      </c>
      <c r="S180" s="10">
        <v>0</v>
      </c>
      <c r="T180" s="11">
        <f>S180*H180</f>
        <v>0</v>
      </c>
      <c r="U180" s="105"/>
      <c r="V180" s="17"/>
      <c r="W180" s="17"/>
      <c r="X180" s="17"/>
      <c r="Y180" s="17"/>
      <c r="Z180" s="17"/>
      <c r="AA180" s="17"/>
      <c r="AB180" s="17"/>
      <c r="AC180" s="105"/>
      <c r="AD180" s="105"/>
      <c r="AE180" s="105"/>
      <c r="AR180" s="12" t="s">
        <v>135</v>
      </c>
      <c r="AT180" s="12" t="s">
        <v>131</v>
      </c>
      <c r="AU180" s="12" t="s">
        <v>74</v>
      </c>
      <c r="AY180" s="13" t="s">
        <v>130</v>
      </c>
      <c r="BE180" s="14">
        <f>IF(N180="základní",J180,0)</f>
        <v>0</v>
      </c>
      <c r="BF180" s="14">
        <f>IF(N180="snížená",J180,0)</f>
        <v>0</v>
      </c>
      <c r="BG180" s="14">
        <f>IF(N180="zákl. přenesená",J180,0)</f>
        <v>0</v>
      </c>
      <c r="BH180" s="14">
        <f>IF(N180="sníž. přenesená",J180,0)</f>
        <v>0</v>
      </c>
      <c r="BI180" s="14">
        <f>IF(N180="nulová",J180,0)</f>
        <v>0</v>
      </c>
      <c r="BJ180" s="13" t="s">
        <v>74</v>
      </c>
      <c r="BK180" s="14">
        <f>ROUND(I180*H180,2)</f>
        <v>0</v>
      </c>
      <c r="BL180" s="13" t="s">
        <v>135</v>
      </c>
      <c r="BM180" s="12" t="s">
        <v>199</v>
      </c>
    </row>
    <row r="181" spans="1:65" s="5" customFormat="1" ht="29.25" x14ac:dyDescent="0.2">
      <c r="A181" s="105"/>
      <c r="B181" s="140"/>
      <c r="C181" s="17"/>
      <c r="D181" s="141" t="s">
        <v>148</v>
      </c>
      <c r="E181" s="17"/>
      <c r="F181" s="142" t="s">
        <v>747</v>
      </c>
      <c r="G181" s="17"/>
      <c r="H181" s="17"/>
      <c r="I181" s="17"/>
      <c r="J181" s="17"/>
      <c r="K181" s="143"/>
      <c r="L181" s="17"/>
      <c r="M181" s="15"/>
      <c r="N181" s="16"/>
      <c r="O181" s="17"/>
      <c r="P181" s="17"/>
      <c r="Q181" s="17"/>
      <c r="R181" s="17"/>
      <c r="S181" s="17"/>
      <c r="T181" s="18"/>
      <c r="U181" s="105"/>
      <c r="V181" s="17"/>
      <c r="W181" s="17"/>
      <c r="X181" s="17"/>
      <c r="Y181" s="17"/>
      <c r="Z181" s="17"/>
      <c r="AA181" s="17"/>
      <c r="AB181" s="17"/>
      <c r="AC181" s="105"/>
      <c r="AD181" s="105"/>
      <c r="AE181" s="105"/>
      <c r="AT181" s="13" t="s">
        <v>148</v>
      </c>
      <c r="AU181" s="13" t="s">
        <v>74</v>
      </c>
    </row>
    <row r="182" spans="1:65" s="5" customFormat="1" ht="21.75" customHeight="1" x14ac:dyDescent="0.2">
      <c r="A182" s="105"/>
      <c r="B182" s="140"/>
      <c r="C182" s="33" t="s">
        <v>200</v>
      </c>
      <c r="D182" s="33" t="s">
        <v>131</v>
      </c>
      <c r="E182" s="34" t="s">
        <v>748</v>
      </c>
      <c r="F182" s="7" t="s">
        <v>749</v>
      </c>
      <c r="G182" s="35" t="s">
        <v>134</v>
      </c>
      <c r="H182" s="36">
        <v>67.924999999999997</v>
      </c>
      <c r="I182" s="1"/>
      <c r="J182" s="6">
        <f>ROUND(I182*H182,2)</f>
        <v>0</v>
      </c>
      <c r="K182" s="151" t="s">
        <v>1</v>
      </c>
      <c r="L182" s="17"/>
      <c r="M182" s="8" t="s">
        <v>1</v>
      </c>
      <c r="N182" s="9" t="s">
        <v>33</v>
      </c>
      <c r="O182" s="10">
        <v>0</v>
      </c>
      <c r="P182" s="10">
        <f>O182*H182</f>
        <v>0</v>
      </c>
      <c r="Q182" s="10">
        <v>0</v>
      </c>
      <c r="R182" s="10">
        <f>Q182*H182</f>
        <v>0</v>
      </c>
      <c r="S182" s="10">
        <v>0</v>
      </c>
      <c r="T182" s="11">
        <f>S182*H182</f>
        <v>0</v>
      </c>
      <c r="U182" s="105"/>
      <c r="V182" s="17"/>
      <c r="W182" s="17"/>
      <c r="X182" s="17"/>
      <c r="Y182" s="17"/>
      <c r="Z182" s="17"/>
      <c r="AA182" s="17"/>
      <c r="AB182" s="17"/>
      <c r="AC182" s="105"/>
      <c r="AD182" s="105"/>
      <c r="AE182" s="105"/>
      <c r="AR182" s="12" t="s">
        <v>135</v>
      </c>
      <c r="AT182" s="12" t="s">
        <v>131</v>
      </c>
      <c r="AU182" s="12" t="s">
        <v>74</v>
      </c>
      <c r="AY182" s="13" t="s">
        <v>130</v>
      </c>
      <c r="BE182" s="14">
        <f>IF(N182="základní",J182,0)</f>
        <v>0</v>
      </c>
      <c r="BF182" s="14">
        <f>IF(N182="snížená",J182,0)</f>
        <v>0</v>
      </c>
      <c r="BG182" s="14">
        <f>IF(N182="zákl. přenesená",J182,0)</f>
        <v>0</v>
      </c>
      <c r="BH182" s="14">
        <f>IF(N182="sníž. přenesená",J182,0)</f>
        <v>0</v>
      </c>
      <c r="BI182" s="14">
        <f>IF(N182="nulová",J182,0)</f>
        <v>0</v>
      </c>
      <c r="BJ182" s="13" t="s">
        <v>74</v>
      </c>
      <c r="BK182" s="14">
        <f>ROUND(I182*H182,2)</f>
        <v>0</v>
      </c>
      <c r="BL182" s="13" t="s">
        <v>135</v>
      </c>
      <c r="BM182" s="12" t="s">
        <v>201</v>
      </c>
    </row>
    <row r="183" spans="1:65" s="152" customFormat="1" ht="22.5" x14ac:dyDescent="0.2">
      <c r="B183" s="153"/>
      <c r="C183" s="154"/>
      <c r="D183" s="141" t="s">
        <v>340</v>
      </c>
      <c r="E183" s="155" t="s">
        <v>1</v>
      </c>
      <c r="F183" s="156" t="s">
        <v>750</v>
      </c>
      <c r="G183" s="154"/>
      <c r="H183" s="157"/>
      <c r="I183" s="154"/>
      <c r="J183" s="154"/>
      <c r="K183" s="158"/>
      <c r="L183" s="154"/>
      <c r="M183" s="159"/>
      <c r="N183" s="154"/>
      <c r="O183" s="154"/>
      <c r="P183" s="154"/>
      <c r="Q183" s="154"/>
      <c r="R183" s="154"/>
      <c r="S183" s="154"/>
      <c r="T183" s="160"/>
      <c r="V183" s="154"/>
      <c r="W183" s="154"/>
      <c r="X183" s="154"/>
      <c r="Y183" s="154"/>
      <c r="Z183" s="154"/>
      <c r="AA183" s="154"/>
      <c r="AB183" s="154"/>
      <c r="AT183" s="161" t="s">
        <v>340</v>
      </c>
      <c r="AU183" s="161" t="s">
        <v>74</v>
      </c>
      <c r="AV183" s="152" t="s">
        <v>76</v>
      </c>
      <c r="AW183" s="152" t="s">
        <v>25</v>
      </c>
      <c r="AX183" s="152" t="s">
        <v>68</v>
      </c>
      <c r="AY183" s="161" t="s">
        <v>130</v>
      </c>
    </row>
    <row r="184" spans="1:65" s="162" customFormat="1" x14ac:dyDescent="0.2">
      <c r="B184" s="163"/>
      <c r="C184" s="164"/>
      <c r="D184" s="141" t="s">
        <v>340</v>
      </c>
      <c r="E184" s="165" t="s">
        <v>1</v>
      </c>
      <c r="F184" s="166" t="s">
        <v>342</v>
      </c>
      <c r="G184" s="164"/>
      <c r="H184" s="167">
        <v>67.924999999999997</v>
      </c>
      <c r="I184" s="164"/>
      <c r="J184" s="164"/>
      <c r="K184" s="168"/>
      <c r="L184" s="164"/>
      <c r="M184" s="169"/>
      <c r="N184" s="164"/>
      <c r="O184" s="164"/>
      <c r="P184" s="164"/>
      <c r="Q184" s="164"/>
      <c r="R184" s="164"/>
      <c r="S184" s="164"/>
      <c r="T184" s="170"/>
      <c r="V184" s="164"/>
      <c r="W184" s="164"/>
      <c r="X184" s="164"/>
      <c r="Y184" s="164"/>
      <c r="Z184" s="164"/>
      <c r="AA184" s="164"/>
      <c r="AB184" s="164"/>
      <c r="AT184" s="171" t="s">
        <v>340</v>
      </c>
      <c r="AU184" s="171" t="s">
        <v>74</v>
      </c>
      <c r="AV184" s="162" t="s">
        <v>135</v>
      </c>
      <c r="AW184" s="162" t="s">
        <v>25</v>
      </c>
      <c r="AX184" s="162" t="s">
        <v>74</v>
      </c>
      <c r="AY184" s="171" t="s">
        <v>130</v>
      </c>
    </row>
    <row r="185" spans="1:65" s="20" customFormat="1" ht="25.9" customHeight="1" x14ac:dyDescent="0.2">
      <c r="B185" s="172"/>
      <c r="C185" s="23"/>
      <c r="D185" s="173" t="s">
        <v>67</v>
      </c>
      <c r="E185" s="174" t="s">
        <v>153</v>
      </c>
      <c r="F185" s="174" t="s">
        <v>751</v>
      </c>
      <c r="G185" s="23"/>
      <c r="H185" s="23"/>
      <c r="I185" s="23"/>
      <c r="J185" s="175">
        <f>BK185</f>
        <v>0</v>
      </c>
      <c r="K185" s="176"/>
      <c r="L185" s="23"/>
      <c r="M185" s="22"/>
      <c r="N185" s="23"/>
      <c r="O185" s="23"/>
      <c r="P185" s="24">
        <f>SUM(P188:P202)</f>
        <v>0</v>
      </c>
      <c r="Q185" s="23"/>
      <c r="R185" s="24">
        <f>SUM(R188:R202)</f>
        <v>0</v>
      </c>
      <c r="S185" s="23"/>
      <c r="T185" s="25">
        <f>SUM(T188:T202)</f>
        <v>0</v>
      </c>
      <c r="V185" s="23"/>
      <c r="W185" s="23"/>
      <c r="X185" s="23"/>
      <c r="Y185" s="23"/>
      <c r="Z185" s="23"/>
      <c r="AA185" s="23"/>
      <c r="AB185" s="23"/>
      <c r="AR185" s="26" t="s">
        <v>74</v>
      </c>
      <c r="AT185" s="27" t="s">
        <v>67</v>
      </c>
      <c r="AU185" s="27" t="s">
        <v>68</v>
      </c>
      <c r="AY185" s="26" t="s">
        <v>130</v>
      </c>
      <c r="BK185" s="28">
        <f>SUM(BK188:BK202)</f>
        <v>0</v>
      </c>
    </row>
    <row r="186" spans="1:65" s="5" customFormat="1" x14ac:dyDescent="0.2">
      <c r="B186" s="177"/>
      <c r="C186" s="16"/>
      <c r="D186" s="178" t="s">
        <v>340</v>
      </c>
      <c r="E186" s="16"/>
      <c r="F186" s="200" t="s">
        <v>1236</v>
      </c>
      <c r="G186" s="16"/>
      <c r="H186" s="180">
        <f>((0.1+1.11+0.13+0.13+1.11+0.1)*4.37)+(1.86*0.7)+(1.86*0.7)</f>
        <v>14.3156</v>
      </c>
      <c r="I186" s="16"/>
      <c r="J186" s="16"/>
      <c r="K186" s="181"/>
      <c r="L186" s="52"/>
      <c r="M186" s="52"/>
      <c r="N186" s="52"/>
      <c r="O186" s="52"/>
      <c r="P186" s="52"/>
      <c r="Q186" s="52"/>
      <c r="R186" s="52"/>
      <c r="S186" s="128"/>
      <c r="V186" s="16"/>
      <c r="W186" s="16"/>
      <c r="X186" s="16"/>
      <c r="Y186" s="16"/>
      <c r="Z186" s="16"/>
      <c r="AA186" s="16"/>
      <c r="AB186" s="16"/>
      <c r="AZ186" s="126" t="s">
        <v>148</v>
      </c>
      <c r="BA186" s="126" t="s">
        <v>74</v>
      </c>
    </row>
    <row r="187" spans="1:65" s="5" customFormat="1" ht="10.15" customHeight="1" x14ac:dyDescent="0.2">
      <c r="B187" s="177"/>
      <c r="C187" s="16"/>
      <c r="D187" s="178" t="s">
        <v>340</v>
      </c>
      <c r="E187" s="16"/>
      <c r="F187" s="200" t="s">
        <v>1237</v>
      </c>
      <c r="G187" s="16"/>
      <c r="H187" s="180">
        <f>(2.1*1.11)</f>
        <v>2.3310000000000004</v>
      </c>
      <c r="I187" s="16"/>
      <c r="J187" s="16"/>
      <c r="K187" s="181"/>
      <c r="L187" s="52"/>
      <c r="M187" s="52"/>
      <c r="N187" s="52"/>
      <c r="O187" s="52"/>
      <c r="P187" s="52"/>
      <c r="Q187" s="52"/>
      <c r="R187" s="52"/>
      <c r="S187" s="128"/>
      <c r="V187" s="16"/>
      <c r="W187" s="16"/>
      <c r="X187" s="16"/>
      <c r="Y187" s="16"/>
      <c r="Z187" s="16"/>
      <c r="AA187" s="16"/>
      <c r="AB187" s="16"/>
      <c r="AZ187" s="126" t="s">
        <v>148</v>
      </c>
      <c r="BA187" s="126" t="s">
        <v>74</v>
      </c>
    </row>
    <row r="188" spans="1:65" s="5" customFormat="1" ht="16.5" customHeight="1" x14ac:dyDescent="0.2">
      <c r="A188" s="105"/>
      <c r="B188" s="140"/>
      <c r="C188" s="33" t="s">
        <v>171</v>
      </c>
      <c r="D188" s="33" t="s">
        <v>131</v>
      </c>
      <c r="E188" s="34" t="s">
        <v>713</v>
      </c>
      <c r="F188" s="7" t="s">
        <v>714</v>
      </c>
      <c r="G188" s="35" t="s">
        <v>134</v>
      </c>
      <c r="H188" s="36">
        <v>16.646999999999998</v>
      </c>
      <c r="I188" s="1"/>
      <c r="J188" s="6">
        <f>ROUND(I188*H188,2)</f>
        <v>0</v>
      </c>
      <c r="K188" s="151" t="s">
        <v>1</v>
      </c>
      <c r="L188" s="17"/>
      <c r="M188" s="8" t="s">
        <v>1</v>
      </c>
      <c r="N188" s="9" t="s">
        <v>33</v>
      </c>
      <c r="O188" s="10">
        <v>0</v>
      </c>
      <c r="P188" s="10">
        <f>O188*H188</f>
        <v>0</v>
      </c>
      <c r="Q188" s="10">
        <v>0</v>
      </c>
      <c r="R188" s="10">
        <f>Q188*H188</f>
        <v>0</v>
      </c>
      <c r="S188" s="10">
        <v>0</v>
      </c>
      <c r="T188" s="11">
        <f>S188*H188</f>
        <v>0</v>
      </c>
      <c r="U188" s="105"/>
      <c r="V188" s="17"/>
      <c r="W188" s="17"/>
      <c r="X188" s="17"/>
      <c r="Y188" s="17"/>
      <c r="Z188" s="17"/>
      <c r="AA188" s="17"/>
      <c r="AB188" s="17"/>
      <c r="AC188" s="105"/>
      <c r="AD188" s="105"/>
      <c r="AE188" s="105"/>
      <c r="AR188" s="12" t="s">
        <v>135</v>
      </c>
      <c r="AT188" s="12" t="s">
        <v>131</v>
      </c>
      <c r="AU188" s="12" t="s">
        <v>74</v>
      </c>
      <c r="AY188" s="13" t="s">
        <v>130</v>
      </c>
      <c r="BE188" s="14">
        <f>IF(N188="základní",J188,0)</f>
        <v>0</v>
      </c>
      <c r="BF188" s="14">
        <f>IF(N188="snížená",J188,0)</f>
        <v>0</v>
      </c>
      <c r="BG188" s="14">
        <f>IF(N188="zákl. přenesená",J188,0)</f>
        <v>0</v>
      </c>
      <c r="BH188" s="14">
        <f>IF(N188="sníž. přenesená",J188,0)</f>
        <v>0</v>
      </c>
      <c r="BI188" s="14">
        <f>IF(N188="nulová",J188,0)</f>
        <v>0</v>
      </c>
      <c r="BJ188" s="13" t="s">
        <v>74</v>
      </c>
      <c r="BK188" s="14">
        <f>ROUND(I188*H188,2)</f>
        <v>0</v>
      </c>
      <c r="BL188" s="13" t="s">
        <v>135</v>
      </c>
      <c r="BM188" s="12" t="s">
        <v>202</v>
      </c>
    </row>
    <row r="189" spans="1:65" s="152" customFormat="1" x14ac:dyDescent="0.2">
      <c r="B189" s="153"/>
      <c r="C189" s="154"/>
      <c r="D189" s="141" t="s">
        <v>340</v>
      </c>
      <c r="E189" s="155" t="s">
        <v>1</v>
      </c>
      <c r="F189" s="156" t="s">
        <v>752</v>
      </c>
      <c r="G189" s="154"/>
      <c r="H189" s="157"/>
      <c r="I189" s="154"/>
      <c r="J189" s="154"/>
      <c r="K189" s="158"/>
      <c r="L189" s="154"/>
      <c r="M189" s="159"/>
      <c r="N189" s="154"/>
      <c r="O189" s="154"/>
      <c r="P189" s="154"/>
      <c r="Q189" s="154"/>
      <c r="R189" s="154"/>
      <c r="S189" s="154"/>
      <c r="T189" s="160"/>
      <c r="V189" s="154"/>
      <c r="W189" s="154"/>
      <c r="X189" s="154"/>
      <c r="Y189" s="154"/>
      <c r="Z189" s="154"/>
      <c r="AA189" s="154"/>
      <c r="AB189" s="154"/>
      <c r="AT189" s="161" t="s">
        <v>340</v>
      </c>
      <c r="AU189" s="161" t="s">
        <v>74</v>
      </c>
      <c r="AV189" s="152" t="s">
        <v>76</v>
      </c>
      <c r="AW189" s="152" t="s">
        <v>25</v>
      </c>
      <c r="AX189" s="152" t="s">
        <v>68</v>
      </c>
      <c r="AY189" s="161" t="s">
        <v>130</v>
      </c>
    </row>
    <row r="190" spans="1:65" s="162" customFormat="1" x14ac:dyDescent="0.2">
      <c r="B190" s="163"/>
      <c r="C190" s="164"/>
      <c r="D190" s="141" t="s">
        <v>340</v>
      </c>
      <c r="E190" s="165" t="s">
        <v>1</v>
      </c>
      <c r="F190" s="166" t="s">
        <v>342</v>
      </c>
      <c r="G190" s="164"/>
      <c r="H190" s="167">
        <v>16.646999999999998</v>
      </c>
      <c r="I190" s="164"/>
      <c r="J190" s="164"/>
      <c r="K190" s="168"/>
      <c r="L190" s="164"/>
      <c r="M190" s="169"/>
      <c r="N190" s="164"/>
      <c r="O190" s="164"/>
      <c r="P190" s="164"/>
      <c r="Q190" s="164"/>
      <c r="R190" s="164"/>
      <c r="S190" s="164"/>
      <c r="T190" s="170"/>
      <c r="V190" s="164"/>
      <c r="W190" s="164"/>
      <c r="X190" s="164"/>
      <c r="Y190" s="164"/>
      <c r="Z190" s="164"/>
      <c r="AA190" s="164"/>
      <c r="AB190" s="164"/>
      <c r="AT190" s="171" t="s">
        <v>340</v>
      </c>
      <c r="AU190" s="171" t="s">
        <v>74</v>
      </c>
      <c r="AV190" s="162" t="s">
        <v>135</v>
      </c>
      <c r="AW190" s="162" t="s">
        <v>25</v>
      </c>
      <c r="AX190" s="162" t="s">
        <v>74</v>
      </c>
      <c r="AY190" s="171" t="s">
        <v>130</v>
      </c>
    </row>
    <row r="191" spans="1:65" s="5" customFormat="1" ht="16.5" customHeight="1" x14ac:dyDescent="0.2">
      <c r="A191" s="105"/>
      <c r="B191" s="140"/>
      <c r="C191" s="33" t="s">
        <v>7</v>
      </c>
      <c r="D191" s="33" t="s">
        <v>131</v>
      </c>
      <c r="E191" s="34" t="s">
        <v>716</v>
      </c>
      <c r="F191" s="7" t="s">
        <v>717</v>
      </c>
      <c r="G191" s="35" t="s">
        <v>134</v>
      </c>
      <c r="H191" s="36">
        <v>3.3290000000000002</v>
      </c>
      <c r="I191" s="1"/>
      <c r="J191" s="6">
        <f>ROUND(I191*H191,2)</f>
        <v>0</v>
      </c>
      <c r="K191" s="151" t="s">
        <v>1</v>
      </c>
      <c r="L191" s="17"/>
      <c r="M191" s="8" t="s">
        <v>1</v>
      </c>
      <c r="N191" s="9" t="s">
        <v>33</v>
      </c>
      <c r="O191" s="10">
        <v>0</v>
      </c>
      <c r="P191" s="10">
        <f>O191*H191</f>
        <v>0</v>
      </c>
      <c r="Q191" s="10">
        <v>0</v>
      </c>
      <c r="R191" s="10">
        <f>Q191*H191</f>
        <v>0</v>
      </c>
      <c r="S191" s="10">
        <v>0</v>
      </c>
      <c r="T191" s="11">
        <f>S191*H191</f>
        <v>0</v>
      </c>
      <c r="U191" s="105"/>
      <c r="V191" s="17"/>
      <c r="W191" s="17"/>
      <c r="X191" s="17"/>
      <c r="Y191" s="17"/>
      <c r="Z191" s="17"/>
      <c r="AA191" s="17"/>
      <c r="AB191" s="17"/>
      <c r="AC191" s="105"/>
      <c r="AD191" s="105"/>
      <c r="AE191" s="105"/>
      <c r="AR191" s="12" t="s">
        <v>135</v>
      </c>
      <c r="AT191" s="12" t="s">
        <v>131</v>
      </c>
      <c r="AU191" s="12" t="s">
        <v>74</v>
      </c>
      <c r="AY191" s="13" t="s">
        <v>130</v>
      </c>
      <c r="BE191" s="14">
        <f>IF(N191="základní",J191,0)</f>
        <v>0</v>
      </c>
      <c r="BF191" s="14">
        <f>IF(N191="snížená",J191,0)</f>
        <v>0</v>
      </c>
      <c r="BG191" s="14">
        <f>IF(N191="zákl. přenesená",J191,0)</f>
        <v>0</v>
      </c>
      <c r="BH191" s="14">
        <f>IF(N191="sníž. přenesená",J191,0)</f>
        <v>0</v>
      </c>
      <c r="BI191" s="14">
        <f>IF(N191="nulová",J191,0)</f>
        <v>0</v>
      </c>
      <c r="BJ191" s="13" t="s">
        <v>74</v>
      </c>
      <c r="BK191" s="14">
        <f>ROUND(I191*H191,2)</f>
        <v>0</v>
      </c>
      <c r="BL191" s="13" t="s">
        <v>135</v>
      </c>
      <c r="BM191" s="12" t="s">
        <v>205</v>
      </c>
    </row>
    <row r="192" spans="1:65" s="5" customFormat="1" ht="19.5" x14ac:dyDescent="0.2">
      <c r="A192" s="105"/>
      <c r="B192" s="140"/>
      <c r="C192" s="17"/>
      <c r="D192" s="141" t="s">
        <v>148</v>
      </c>
      <c r="E192" s="17"/>
      <c r="F192" s="142" t="s">
        <v>718</v>
      </c>
      <c r="G192" s="17"/>
      <c r="H192" s="17"/>
      <c r="I192" s="17"/>
      <c r="J192" s="17"/>
      <c r="K192" s="143"/>
      <c r="L192" s="17"/>
      <c r="M192" s="15"/>
      <c r="N192" s="16"/>
      <c r="O192" s="17"/>
      <c r="P192" s="17"/>
      <c r="Q192" s="17"/>
      <c r="R192" s="17"/>
      <c r="S192" s="17"/>
      <c r="T192" s="18"/>
      <c r="U192" s="105"/>
      <c r="V192" s="17"/>
      <c r="W192" s="17"/>
      <c r="X192" s="17"/>
      <c r="Y192" s="17"/>
      <c r="Z192" s="17"/>
      <c r="AA192" s="17"/>
      <c r="AB192" s="17"/>
      <c r="AC192" s="105"/>
      <c r="AD192" s="105"/>
      <c r="AE192" s="105"/>
      <c r="AT192" s="13" t="s">
        <v>148</v>
      </c>
      <c r="AU192" s="13" t="s">
        <v>74</v>
      </c>
    </row>
    <row r="193" spans="1:65" s="5" customFormat="1" ht="16.5" customHeight="1" x14ac:dyDescent="0.2">
      <c r="A193" s="105"/>
      <c r="B193" s="140"/>
      <c r="C193" s="33" t="s">
        <v>174</v>
      </c>
      <c r="D193" s="33" t="s">
        <v>131</v>
      </c>
      <c r="E193" s="34" t="s">
        <v>232</v>
      </c>
      <c r="F193" s="7" t="s">
        <v>722</v>
      </c>
      <c r="G193" s="35" t="s">
        <v>723</v>
      </c>
      <c r="H193" s="36">
        <v>2.7E-2</v>
      </c>
      <c r="I193" s="1"/>
      <c r="J193" s="6">
        <f>ROUND(I193*H193,2)</f>
        <v>0</v>
      </c>
      <c r="K193" s="151" t="s">
        <v>1</v>
      </c>
      <c r="L193" s="17"/>
      <c r="M193" s="8" t="s">
        <v>1</v>
      </c>
      <c r="N193" s="9" t="s">
        <v>33</v>
      </c>
      <c r="O193" s="10">
        <v>0</v>
      </c>
      <c r="P193" s="10">
        <f>O193*H193</f>
        <v>0</v>
      </c>
      <c r="Q193" s="10">
        <v>0</v>
      </c>
      <c r="R193" s="10">
        <f>Q193*H193</f>
        <v>0</v>
      </c>
      <c r="S193" s="10">
        <v>0</v>
      </c>
      <c r="T193" s="11">
        <f>S193*H193</f>
        <v>0</v>
      </c>
      <c r="U193" s="105"/>
      <c r="V193" s="17"/>
      <c r="W193" s="17"/>
      <c r="X193" s="17"/>
      <c r="Y193" s="17"/>
      <c r="Z193" s="17"/>
      <c r="AA193" s="17"/>
      <c r="AB193" s="17"/>
      <c r="AC193" s="105"/>
      <c r="AD193" s="105"/>
      <c r="AE193" s="105"/>
      <c r="AR193" s="12" t="s">
        <v>135</v>
      </c>
      <c r="AT193" s="12" t="s">
        <v>131</v>
      </c>
      <c r="AU193" s="12" t="s">
        <v>74</v>
      </c>
      <c r="AY193" s="13" t="s">
        <v>130</v>
      </c>
      <c r="BE193" s="14">
        <f>IF(N193="základní",J193,0)</f>
        <v>0</v>
      </c>
      <c r="BF193" s="14">
        <f>IF(N193="snížená",J193,0)</f>
        <v>0</v>
      </c>
      <c r="BG193" s="14">
        <f>IF(N193="zákl. přenesená",J193,0)</f>
        <v>0</v>
      </c>
      <c r="BH193" s="14">
        <f>IF(N193="sníž. přenesená",J193,0)</f>
        <v>0</v>
      </c>
      <c r="BI193" s="14">
        <f>IF(N193="nulová",J193,0)</f>
        <v>0</v>
      </c>
      <c r="BJ193" s="13" t="s">
        <v>74</v>
      </c>
      <c r="BK193" s="14">
        <f>ROUND(I193*H193,2)</f>
        <v>0</v>
      </c>
      <c r="BL193" s="13" t="s">
        <v>135</v>
      </c>
      <c r="BM193" s="12" t="s">
        <v>206</v>
      </c>
    </row>
    <row r="194" spans="1:65" s="5" customFormat="1" ht="16.5" customHeight="1" x14ac:dyDescent="0.2">
      <c r="A194" s="105"/>
      <c r="B194" s="140"/>
      <c r="C194" s="33" t="s">
        <v>209</v>
      </c>
      <c r="D194" s="33" t="s">
        <v>131</v>
      </c>
      <c r="E194" s="34" t="s">
        <v>246</v>
      </c>
      <c r="F194" s="7" t="s">
        <v>724</v>
      </c>
      <c r="G194" s="35" t="s">
        <v>723</v>
      </c>
      <c r="H194" s="36">
        <v>2.7E-2</v>
      </c>
      <c r="I194" s="1"/>
      <c r="J194" s="6">
        <f>ROUND(I194*H194,2)</f>
        <v>0</v>
      </c>
      <c r="K194" s="151" t="s">
        <v>1</v>
      </c>
      <c r="L194" s="17"/>
      <c r="M194" s="8" t="s">
        <v>1</v>
      </c>
      <c r="N194" s="9" t="s">
        <v>33</v>
      </c>
      <c r="O194" s="10">
        <v>0</v>
      </c>
      <c r="P194" s="10">
        <f>O194*H194</f>
        <v>0</v>
      </c>
      <c r="Q194" s="10">
        <v>0</v>
      </c>
      <c r="R194" s="10">
        <f>Q194*H194</f>
        <v>0</v>
      </c>
      <c r="S194" s="10">
        <v>0</v>
      </c>
      <c r="T194" s="11">
        <f>S194*H194</f>
        <v>0</v>
      </c>
      <c r="U194" s="105"/>
      <c r="V194" s="17"/>
      <c r="W194" s="17"/>
      <c r="X194" s="17"/>
      <c r="Y194" s="17"/>
      <c r="Z194" s="17"/>
      <c r="AA194" s="17"/>
      <c r="AB194" s="17"/>
      <c r="AC194" s="105"/>
      <c r="AD194" s="105"/>
      <c r="AE194" s="105"/>
      <c r="AR194" s="12" t="s">
        <v>135</v>
      </c>
      <c r="AT194" s="12" t="s">
        <v>131</v>
      </c>
      <c r="AU194" s="12" t="s">
        <v>74</v>
      </c>
      <c r="AY194" s="13" t="s">
        <v>130</v>
      </c>
      <c r="BE194" s="14">
        <f>IF(N194="základní",J194,0)</f>
        <v>0</v>
      </c>
      <c r="BF194" s="14">
        <f>IF(N194="snížená",J194,0)</f>
        <v>0</v>
      </c>
      <c r="BG194" s="14">
        <f>IF(N194="zákl. přenesená",J194,0)</f>
        <v>0</v>
      </c>
      <c r="BH194" s="14">
        <f>IF(N194="sníž. přenesená",J194,0)</f>
        <v>0</v>
      </c>
      <c r="BI194" s="14">
        <f>IF(N194="nulová",J194,0)</f>
        <v>0</v>
      </c>
      <c r="BJ194" s="13" t="s">
        <v>74</v>
      </c>
      <c r="BK194" s="14">
        <f>ROUND(I194*H194,2)</f>
        <v>0</v>
      </c>
      <c r="BL194" s="13" t="s">
        <v>135</v>
      </c>
      <c r="BM194" s="12" t="s">
        <v>210</v>
      </c>
    </row>
    <row r="195" spans="1:65" s="5" customFormat="1" ht="16.5" customHeight="1" x14ac:dyDescent="0.2">
      <c r="A195" s="105"/>
      <c r="B195" s="140"/>
      <c r="C195" s="33" t="s">
        <v>177</v>
      </c>
      <c r="D195" s="33" t="s">
        <v>131</v>
      </c>
      <c r="E195" s="34" t="s">
        <v>753</v>
      </c>
      <c r="F195" s="7" t="s">
        <v>754</v>
      </c>
      <c r="G195" s="35" t="s">
        <v>134</v>
      </c>
      <c r="H195" s="36">
        <v>16.646999999999998</v>
      </c>
      <c r="I195" s="1"/>
      <c r="J195" s="6">
        <f>ROUND(I195*H195,2)</f>
        <v>0</v>
      </c>
      <c r="K195" s="151" t="s">
        <v>1</v>
      </c>
      <c r="L195" s="17"/>
      <c r="M195" s="8" t="s">
        <v>1</v>
      </c>
      <c r="N195" s="9" t="s">
        <v>33</v>
      </c>
      <c r="O195" s="10">
        <v>0</v>
      </c>
      <c r="P195" s="10">
        <f>O195*H195</f>
        <v>0</v>
      </c>
      <c r="Q195" s="10">
        <v>0</v>
      </c>
      <c r="R195" s="10">
        <f>Q195*H195</f>
        <v>0</v>
      </c>
      <c r="S195" s="10">
        <v>0</v>
      </c>
      <c r="T195" s="11">
        <f>S195*H195</f>
        <v>0</v>
      </c>
      <c r="U195" s="105"/>
      <c r="V195" s="17"/>
      <c r="W195" s="17"/>
      <c r="X195" s="17"/>
      <c r="Y195" s="17"/>
      <c r="Z195" s="17"/>
      <c r="AA195" s="17"/>
      <c r="AB195" s="17"/>
      <c r="AC195" s="105"/>
      <c r="AD195" s="105"/>
      <c r="AE195" s="105"/>
      <c r="AR195" s="12" t="s">
        <v>135</v>
      </c>
      <c r="AT195" s="12" t="s">
        <v>131</v>
      </c>
      <c r="AU195" s="12" t="s">
        <v>74</v>
      </c>
      <c r="AY195" s="13" t="s">
        <v>130</v>
      </c>
      <c r="BE195" s="14">
        <f>IF(N195="základní",J195,0)</f>
        <v>0</v>
      </c>
      <c r="BF195" s="14">
        <f>IF(N195="snížená",J195,0)</f>
        <v>0</v>
      </c>
      <c r="BG195" s="14">
        <f>IF(N195="zákl. přenesená",J195,0)</f>
        <v>0</v>
      </c>
      <c r="BH195" s="14">
        <f>IF(N195="sníž. přenesená",J195,0)</f>
        <v>0</v>
      </c>
      <c r="BI195" s="14">
        <f>IF(N195="nulová",J195,0)</f>
        <v>0</v>
      </c>
      <c r="BJ195" s="13" t="s">
        <v>74</v>
      </c>
      <c r="BK195" s="14">
        <f>ROUND(I195*H195,2)</f>
        <v>0</v>
      </c>
      <c r="BL195" s="13" t="s">
        <v>135</v>
      </c>
      <c r="BM195" s="12" t="s">
        <v>211</v>
      </c>
    </row>
    <row r="196" spans="1:65" s="5" customFormat="1" ht="29.25" x14ac:dyDescent="0.2">
      <c r="A196" s="105"/>
      <c r="B196" s="140"/>
      <c r="C196" s="17"/>
      <c r="D196" s="141" t="s">
        <v>148</v>
      </c>
      <c r="E196" s="17"/>
      <c r="F196" s="142" t="s">
        <v>747</v>
      </c>
      <c r="G196" s="17"/>
      <c r="H196" s="17"/>
      <c r="I196" s="17"/>
      <c r="J196" s="17"/>
      <c r="K196" s="143"/>
      <c r="L196" s="17"/>
      <c r="M196" s="15"/>
      <c r="N196" s="16"/>
      <c r="O196" s="17"/>
      <c r="P196" s="17"/>
      <c r="Q196" s="17"/>
      <c r="R196" s="17"/>
      <c r="S196" s="17"/>
      <c r="T196" s="18"/>
      <c r="U196" s="105"/>
      <c r="V196" s="17"/>
      <c r="W196" s="17"/>
      <c r="X196" s="17"/>
      <c r="Y196" s="17"/>
      <c r="Z196" s="17"/>
      <c r="AA196" s="17"/>
      <c r="AB196" s="17"/>
      <c r="AC196" s="105"/>
      <c r="AD196" s="105"/>
      <c r="AE196" s="105"/>
      <c r="AT196" s="13" t="s">
        <v>148</v>
      </c>
      <c r="AU196" s="13" t="s">
        <v>74</v>
      </c>
    </row>
    <row r="197" spans="1:65" s="5" customFormat="1" ht="16.5" customHeight="1" x14ac:dyDescent="0.2">
      <c r="A197" s="105"/>
      <c r="B197" s="140"/>
      <c r="C197" s="33" t="s">
        <v>214</v>
      </c>
      <c r="D197" s="33" t="s">
        <v>131</v>
      </c>
      <c r="E197" s="34" t="s">
        <v>728</v>
      </c>
      <c r="F197" s="7" t="s">
        <v>729</v>
      </c>
      <c r="G197" s="35" t="s">
        <v>134</v>
      </c>
      <c r="H197" s="36">
        <v>16.646999999999998</v>
      </c>
      <c r="I197" s="1"/>
      <c r="J197" s="6">
        <f>ROUND(I197*H197,2)</f>
        <v>0</v>
      </c>
      <c r="K197" s="151" t="s">
        <v>1</v>
      </c>
      <c r="L197" s="17"/>
      <c r="M197" s="8" t="s">
        <v>1</v>
      </c>
      <c r="N197" s="9" t="s">
        <v>33</v>
      </c>
      <c r="O197" s="10">
        <v>0</v>
      </c>
      <c r="P197" s="10">
        <f>O197*H197</f>
        <v>0</v>
      </c>
      <c r="Q197" s="10">
        <v>0</v>
      </c>
      <c r="R197" s="10">
        <f>Q197*H197</f>
        <v>0</v>
      </c>
      <c r="S197" s="10">
        <v>0</v>
      </c>
      <c r="T197" s="11">
        <f>S197*H197</f>
        <v>0</v>
      </c>
      <c r="U197" s="105"/>
      <c r="V197" s="17"/>
      <c r="W197" s="17"/>
      <c r="X197" s="17"/>
      <c r="Y197" s="17"/>
      <c r="Z197" s="17"/>
      <c r="AA197" s="17"/>
      <c r="AB197" s="17"/>
      <c r="AC197" s="105"/>
      <c r="AD197" s="105"/>
      <c r="AE197" s="105"/>
      <c r="AR197" s="12" t="s">
        <v>135</v>
      </c>
      <c r="AT197" s="12" t="s">
        <v>131</v>
      </c>
      <c r="AU197" s="12" t="s">
        <v>74</v>
      </c>
      <c r="AY197" s="13" t="s">
        <v>130</v>
      </c>
      <c r="BE197" s="14">
        <f>IF(N197="základní",J197,0)</f>
        <v>0</v>
      </c>
      <c r="BF197" s="14">
        <f>IF(N197="snížená",J197,0)</f>
        <v>0</v>
      </c>
      <c r="BG197" s="14">
        <f>IF(N197="zákl. přenesená",J197,0)</f>
        <v>0</v>
      </c>
      <c r="BH197" s="14">
        <f>IF(N197="sníž. přenesená",J197,0)</f>
        <v>0</v>
      </c>
      <c r="BI197" s="14">
        <f>IF(N197="nulová",J197,0)</f>
        <v>0</v>
      </c>
      <c r="BJ197" s="13" t="s">
        <v>74</v>
      </c>
      <c r="BK197" s="14">
        <f>ROUND(I197*H197,2)</f>
        <v>0</v>
      </c>
      <c r="BL197" s="13" t="s">
        <v>135</v>
      </c>
      <c r="BM197" s="12" t="s">
        <v>215</v>
      </c>
    </row>
    <row r="198" spans="1:65" s="5" customFormat="1" ht="16.5" customHeight="1" x14ac:dyDescent="0.2">
      <c r="A198" s="105"/>
      <c r="B198" s="140"/>
      <c r="C198" s="33" t="s">
        <v>180</v>
      </c>
      <c r="D198" s="33" t="s">
        <v>131</v>
      </c>
      <c r="E198" s="34" t="s">
        <v>735</v>
      </c>
      <c r="F198" s="7" t="s">
        <v>736</v>
      </c>
      <c r="G198" s="35" t="s">
        <v>134</v>
      </c>
      <c r="H198" s="36">
        <v>10</v>
      </c>
      <c r="I198" s="1"/>
      <c r="J198" s="6">
        <f>ROUND(I198*H198,2)</f>
        <v>0</v>
      </c>
      <c r="K198" s="151" t="s">
        <v>1</v>
      </c>
      <c r="L198" s="17"/>
      <c r="M198" s="8" t="s">
        <v>1</v>
      </c>
      <c r="N198" s="9" t="s">
        <v>33</v>
      </c>
      <c r="O198" s="10">
        <v>0</v>
      </c>
      <c r="P198" s="10">
        <f>O198*H198</f>
        <v>0</v>
      </c>
      <c r="Q198" s="10">
        <v>0</v>
      </c>
      <c r="R198" s="10">
        <f>Q198*H198</f>
        <v>0</v>
      </c>
      <c r="S198" s="10">
        <v>0</v>
      </c>
      <c r="T198" s="11">
        <f>S198*H198</f>
        <v>0</v>
      </c>
      <c r="U198" s="105"/>
      <c r="V198" s="17"/>
      <c r="W198" s="17"/>
      <c r="X198" s="17"/>
      <c r="Y198" s="17"/>
      <c r="Z198" s="17"/>
      <c r="AA198" s="17"/>
      <c r="AB198" s="17"/>
      <c r="AC198" s="105"/>
      <c r="AD198" s="105"/>
      <c r="AE198" s="105"/>
      <c r="AR198" s="12" t="s">
        <v>135</v>
      </c>
      <c r="AT198" s="12" t="s">
        <v>131</v>
      </c>
      <c r="AU198" s="12" t="s">
        <v>74</v>
      </c>
      <c r="AY198" s="13" t="s">
        <v>130</v>
      </c>
      <c r="BE198" s="14">
        <f>IF(N198="základní",J198,0)</f>
        <v>0</v>
      </c>
      <c r="BF198" s="14">
        <f>IF(N198="snížená",J198,0)</f>
        <v>0</v>
      </c>
      <c r="BG198" s="14">
        <f>IF(N198="zákl. přenesená",J198,0)</f>
        <v>0</v>
      </c>
      <c r="BH198" s="14">
        <f>IF(N198="sníž. přenesená",J198,0)</f>
        <v>0</v>
      </c>
      <c r="BI198" s="14">
        <f>IF(N198="nulová",J198,0)</f>
        <v>0</v>
      </c>
      <c r="BJ198" s="13" t="s">
        <v>74</v>
      </c>
      <c r="BK198" s="14">
        <f>ROUND(I198*H198,2)</f>
        <v>0</v>
      </c>
      <c r="BL198" s="13" t="s">
        <v>135</v>
      </c>
      <c r="BM198" s="12" t="s">
        <v>216</v>
      </c>
    </row>
    <row r="199" spans="1:65" s="5" customFormat="1" ht="19.5" x14ac:dyDescent="0.2">
      <c r="A199" s="105"/>
      <c r="B199" s="140"/>
      <c r="C199" s="17"/>
      <c r="D199" s="141" t="s">
        <v>148</v>
      </c>
      <c r="E199" s="17"/>
      <c r="F199" s="142" t="s">
        <v>737</v>
      </c>
      <c r="G199" s="17"/>
      <c r="H199" s="17"/>
      <c r="I199" s="17"/>
      <c r="J199" s="17"/>
      <c r="K199" s="143"/>
      <c r="L199" s="17"/>
      <c r="M199" s="15"/>
      <c r="N199" s="16"/>
      <c r="O199" s="17"/>
      <c r="P199" s="17"/>
      <c r="Q199" s="17"/>
      <c r="R199" s="17"/>
      <c r="S199" s="17"/>
      <c r="T199" s="18"/>
      <c r="U199" s="105"/>
      <c r="V199" s="17"/>
      <c r="W199" s="17"/>
      <c r="X199" s="17"/>
      <c r="Y199" s="17"/>
      <c r="Z199" s="17"/>
      <c r="AA199" s="17"/>
      <c r="AB199" s="17"/>
      <c r="AC199" s="105"/>
      <c r="AD199" s="105"/>
      <c r="AE199" s="105"/>
      <c r="AT199" s="13" t="s">
        <v>148</v>
      </c>
      <c r="AU199" s="13" t="s">
        <v>74</v>
      </c>
    </row>
    <row r="200" spans="1:65" s="5" customFormat="1" ht="16.5" customHeight="1" x14ac:dyDescent="0.2">
      <c r="A200" s="105"/>
      <c r="B200" s="140"/>
      <c r="C200" s="33" t="s">
        <v>217</v>
      </c>
      <c r="D200" s="33" t="s">
        <v>131</v>
      </c>
      <c r="E200" s="34" t="s">
        <v>741</v>
      </c>
      <c r="F200" s="7" t="s">
        <v>742</v>
      </c>
      <c r="G200" s="35" t="s">
        <v>134</v>
      </c>
      <c r="H200" s="36">
        <v>10</v>
      </c>
      <c r="I200" s="1"/>
      <c r="J200" s="6">
        <f>ROUND(I200*H200,2)</f>
        <v>0</v>
      </c>
      <c r="K200" s="151" t="s">
        <v>1</v>
      </c>
      <c r="L200" s="17"/>
      <c r="M200" s="8" t="s">
        <v>1</v>
      </c>
      <c r="N200" s="9" t="s">
        <v>33</v>
      </c>
      <c r="O200" s="10">
        <v>0</v>
      </c>
      <c r="P200" s="10">
        <f>O200*H200</f>
        <v>0</v>
      </c>
      <c r="Q200" s="10">
        <v>0</v>
      </c>
      <c r="R200" s="10">
        <f>Q200*H200</f>
        <v>0</v>
      </c>
      <c r="S200" s="10">
        <v>0</v>
      </c>
      <c r="T200" s="11">
        <f>S200*H200</f>
        <v>0</v>
      </c>
      <c r="U200" s="105"/>
      <c r="V200" s="17"/>
      <c r="W200" s="17"/>
      <c r="X200" s="17"/>
      <c r="Y200" s="17"/>
      <c r="Z200" s="17"/>
      <c r="AA200" s="17"/>
      <c r="AB200" s="17"/>
      <c r="AC200" s="105"/>
      <c r="AD200" s="105"/>
      <c r="AE200" s="105"/>
      <c r="AR200" s="12" t="s">
        <v>135</v>
      </c>
      <c r="AT200" s="12" t="s">
        <v>131</v>
      </c>
      <c r="AU200" s="12" t="s">
        <v>74</v>
      </c>
      <c r="AY200" s="13" t="s">
        <v>130</v>
      </c>
      <c r="BE200" s="14">
        <f>IF(N200="základní",J200,0)</f>
        <v>0</v>
      </c>
      <c r="BF200" s="14">
        <f>IF(N200="snížená",J200,0)</f>
        <v>0</v>
      </c>
      <c r="BG200" s="14">
        <f>IF(N200="zákl. přenesená",J200,0)</f>
        <v>0</v>
      </c>
      <c r="BH200" s="14">
        <f>IF(N200="sníž. přenesená",J200,0)</f>
        <v>0</v>
      </c>
      <c r="BI200" s="14">
        <f>IF(N200="nulová",J200,0)</f>
        <v>0</v>
      </c>
      <c r="BJ200" s="13" t="s">
        <v>74</v>
      </c>
      <c r="BK200" s="14">
        <f>ROUND(I200*H200,2)</f>
        <v>0</v>
      </c>
      <c r="BL200" s="13" t="s">
        <v>135</v>
      </c>
      <c r="BM200" s="12" t="s">
        <v>219</v>
      </c>
    </row>
    <row r="201" spans="1:65" s="5" customFormat="1" ht="39" x14ac:dyDescent="0.2">
      <c r="A201" s="105"/>
      <c r="B201" s="140"/>
      <c r="C201" s="17"/>
      <c r="D201" s="141" t="s">
        <v>148</v>
      </c>
      <c r="E201" s="17"/>
      <c r="F201" s="142" t="s">
        <v>755</v>
      </c>
      <c r="G201" s="17"/>
      <c r="H201" s="17"/>
      <c r="I201" s="17"/>
      <c r="J201" s="17"/>
      <c r="K201" s="143"/>
      <c r="L201" s="17"/>
      <c r="M201" s="15"/>
      <c r="N201" s="16"/>
      <c r="O201" s="17"/>
      <c r="P201" s="17"/>
      <c r="Q201" s="17"/>
      <c r="R201" s="17"/>
      <c r="S201" s="17"/>
      <c r="T201" s="18"/>
      <c r="U201" s="105"/>
      <c r="V201" s="17"/>
      <c r="W201" s="17"/>
      <c r="X201" s="17"/>
      <c r="Y201" s="17"/>
      <c r="Z201" s="17"/>
      <c r="AA201" s="17"/>
      <c r="AB201" s="17"/>
      <c r="AC201" s="105"/>
      <c r="AD201" s="105"/>
      <c r="AE201" s="105"/>
      <c r="AT201" s="13" t="s">
        <v>148</v>
      </c>
      <c r="AU201" s="13" t="s">
        <v>74</v>
      </c>
    </row>
    <row r="202" spans="1:65" s="5" customFormat="1" ht="16.5" customHeight="1" x14ac:dyDescent="0.2">
      <c r="A202" s="105"/>
      <c r="B202" s="140"/>
      <c r="C202" s="33" t="s">
        <v>183</v>
      </c>
      <c r="D202" s="33" t="s">
        <v>131</v>
      </c>
      <c r="E202" s="34" t="s">
        <v>744</v>
      </c>
      <c r="F202" s="7" t="s">
        <v>745</v>
      </c>
      <c r="G202" s="35" t="s">
        <v>134</v>
      </c>
      <c r="H202" s="36">
        <v>10</v>
      </c>
      <c r="I202" s="1"/>
      <c r="J202" s="6">
        <f>ROUND(I202*H202,2)</f>
        <v>0</v>
      </c>
      <c r="K202" s="151" t="s">
        <v>1</v>
      </c>
      <c r="L202" s="17"/>
      <c r="M202" s="8" t="s">
        <v>1</v>
      </c>
      <c r="N202" s="9" t="s">
        <v>33</v>
      </c>
      <c r="O202" s="10">
        <v>0</v>
      </c>
      <c r="P202" s="10">
        <f>O202*H202</f>
        <v>0</v>
      </c>
      <c r="Q202" s="10">
        <v>0</v>
      </c>
      <c r="R202" s="10">
        <f>Q202*H202</f>
        <v>0</v>
      </c>
      <c r="S202" s="10">
        <v>0</v>
      </c>
      <c r="T202" s="11">
        <f>S202*H202</f>
        <v>0</v>
      </c>
      <c r="U202" s="105"/>
      <c r="V202" s="17"/>
      <c r="W202" s="17"/>
      <c r="X202" s="17"/>
      <c r="Y202" s="17"/>
      <c r="Z202" s="17"/>
      <c r="AA202" s="17"/>
      <c r="AB202" s="17"/>
      <c r="AC202" s="105"/>
      <c r="AD202" s="105"/>
      <c r="AE202" s="105"/>
      <c r="AR202" s="12" t="s">
        <v>135</v>
      </c>
      <c r="AT202" s="12" t="s">
        <v>131</v>
      </c>
      <c r="AU202" s="12" t="s">
        <v>74</v>
      </c>
      <c r="AY202" s="13" t="s">
        <v>130</v>
      </c>
      <c r="BE202" s="14">
        <f>IF(N202="základní",J202,0)</f>
        <v>0</v>
      </c>
      <c r="BF202" s="14">
        <f>IF(N202="snížená",J202,0)</f>
        <v>0</v>
      </c>
      <c r="BG202" s="14">
        <f>IF(N202="zákl. přenesená",J202,0)</f>
        <v>0</v>
      </c>
      <c r="BH202" s="14">
        <f>IF(N202="sníž. přenesená",J202,0)</f>
        <v>0</v>
      </c>
      <c r="BI202" s="14">
        <f>IF(N202="nulová",J202,0)</f>
        <v>0</v>
      </c>
      <c r="BJ202" s="13" t="s">
        <v>74</v>
      </c>
      <c r="BK202" s="14">
        <f>ROUND(I202*H202,2)</f>
        <v>0</v>
      </c>
      <c r="BL202" s="13" t="s">
        <v>135</v>
      </c>
      <c r="BM202" s="12" t="s">
        <v>222</v>
      </c>
    </row>
    <row r="203" spans="1:65" s="20" customFormat="1" ht="25.9" customHeight="1" x14ac:dyDescent="0.2">
      <c r="B203" s="172"/>
      <c r="C203" s="23"/>
      <c r="D203" s="173" t="s">
        <v>67</v>
      </c>
      <c r="E203" s="174" t="s">
        <v>161</v>
      </c>
      <c r="F203" s="174" t="s">
        <v>756</v>
      </c>
      <c r="G203" s="23"/>
      <c r="H203" s="23"/>
      <c r="I203" s="23"/>
      <c r="J203" s="175">
        <f>BK203</f>
        <v>0</v>
      </c>
      <c r="K203" s="176"/>
      <c r="L203" s="23"/>
      <c r="M203" s="22"/>
      <c r="N203" s="23"/>
      <c r="O203" s="23"/>
      <c r="P203" s="24">
        <f>SUM(P206:P227)</f>
        <v>0</v>
      </c>
      <c r="Q203" s="23"/>
      <c r="R203" s="24">
        <f>SUM(R206:R227)</f>
        <v>0</v>
      </c>
      <c r="S203" s="23"/>
      <c r="T203" s="25">
        <f>SUM(T206:T227)</f>
        <v>0</v>
      </c>
      <c r="V203" s="23"/>
      <c r="W203" s="23"/>
      <c r="X203" s="23"/>
      <c r="Y203" s="23"/>
      <c r="Z203" s="23"/>
      <c r="AA203" s="23"/>
      <c r="AB203" s="23"/>
      <c r="AR203" s="26" t="s">
        <v>74</v>
      </c>
      <c r="AT203" s="27" t="s">
        <v>67</v>
      </c>
      <c r="AU203" s="27" t="s">
        <v>68</v>
      </c>
      <c r="AY203" s="26" t="s">
        <v>130</v>
      </c>
      <c r="BK203" s="28">
        <f>SUM(BK206:BK227)</f>
        <v>0</v>
      </c>
    </row>
    <row r="204" spans="1:65" s="5" customFormat="1" x14ac:dyDescent="0.2">
      <c r="B204" s="177"/>
      <c r="C204" s="16"/>
      <c r="D204" s="178" t="s">
        <v>340</v>
      </c>
      <c r="E204" s="16"/>
      <c r="F204" s="200" t="s">
        <v>1238</v>
      </c>
      <c r="G204" s="16"/>
      <c r="H204" s="180">
        <f>((0.38+1.36+2.87+1.88+3.53+0.39+1.65)*4.37)-(1.28*2.18)-(2.35*2.7)+((0.45+0.48)*2.7)+(2.41*1.7)+(0.31*2*2.18)+(1.28*0.31)</f>
        <v>51.923200000000008</v>
      </c>
      <c r="I204" s="16"/>
      <c r="J204" s="16"/>
      <c r="K204" s="181"/>
      <c r="L204" s="52"/>
      <c r="M204" s="52"/>
      <c r="N204" s="52"/>
      <c r="O204" s="52"/>
      <c r="P204" s="52"/>
      <c r="Q204" s="52"/>
      <c r="R204" s="52"/>
      <c r="S204" s="128"/>
      <c r="V204" s="16"/>
      <c r="W204" s="16"/>
      <c r="X204" s="16"/>
      <c r="Y204" s="16"/>
      <c r="Z204" s="16"/>
      <c r="AA204" s="16"/>
      <c r="AB204" s="16"/>
      <c r="AZ204" s="126" t="s">
        <v>148</v>
      </c>
      <c r="BA204" s="126" t="s">
        <v>74</v>
      </c>
    </row>
    <row r="205" spans="1:65" s="5" customFormat="1" ht="10.15" customHeight="1" x14ac:dyDescent="0.2">
      <c r="B205" s="177"/>
      <c r="C205" s="16"/>
      <c r="D205" s="178" t="s">
        <v>340</v>
      </c>
      <c r="E205" s="16"/>
      <c r="F205" s="200" t="s">
        <v>1239</v>
      </c>
      <c r="G205" s="16"/>
      <c r="H205" s="180">
        <f>(5.17*1.61)+(1.47*1.59)+(1.84*0.35)</f>
        <v>11.305000000000001</v>
      </c>
      <c r="I205" s="16"/>
      <c r="J205" s="16"/>
      <c r="K205" s="181"/>
      <c r="L205" s="52"/>
      <c r="M205" s="52"/>
      <c r="N205" s="52"/>
      <c r="O205" s="52"/>
      <c r="P205" s="52"/>
      <c r="Q205" s="52"/>
      <c r="R205" s="52"/>
      <c r="S205" s="128"/>
      <c r="V205" s="16"/>
      <c r="W205" s="16"/>
      <c r="X205" s="16"/>
      <c r="Y205" s="16"/>
      <c r="Z205" s="16"/>
      <c r="AA205" s="16"/>
      <c r="AB205" s="16"/>
      <c r="AZ205" s="126" t="s">
        <v>148</v>
      </c>
      <c r="BA205" s="126" t="s">
        <v>74</v>
      </c>
    </row>
    <row r="206" spans="1:65" s="5" customFormat="1" ht="16.5" customHeight="1" x14ac:dyDescent="0.2">
      <c r="A206" s="105"/>
      <c r="B206" s="140"/>
      <c r="C206" s="33" t="s">
        <v>223</v>
      </c>
      <c r="D206" s="33" t="s">
        <v>131</v>
      </c>
      <c r="E206" s="34" t="s">
        <v>713</v>
      </c>
      <c r="F206" s="7" t="s">
        <v>714</v>
      </c>
      <c r="G206" s="35" t="s">
        <v>134</v>
      </c>
      <c r="H206" s="36">
        <v>63.228000000000002</v>
      </c>
      <c r="I206" s="1"/>
      <c r="J206" s="6">
        <f>ROUND(I206*H206,2)</f>
        <v>0</v>
      </c>
      <c r="K206" s="151" t="s">
        <v>1</v>
      </c>
      <c r="L206" s="17"/>
      <c r="M206" s="8" t="s">
        <v>1</v>
      </c>
      <c r="N206" s="9" t="s">
        <v>33</v>
      </c>
      <c r="O206" s="10">
        <v>0</v>
      </c>
      <c r="P206" s="10">
        <f>O206*H206</f>
        <v>0</v>
      </c>
      <c r="Q206" s="10">
        <v>0</v>
      </c>
      <c r="R206" s="10">
        <f>Q206*H206</f>
        <v>0</v>
      </c>
      <c r="S206" s="10">
        <v>0</v>
      </c>
      <c r="T206" s="11">
        <f>S206*H206</f>
        <v>0</v>
      </c>
      <c r="U206" s="105"/>
      <c r="V206" s="17"/>
      <c r="W206" s="17"/>
      <c r="X206" s="17"/>
      <c r="Y206" s="17"/>
      <c r="Z206" s="17"/>
      <c r="AA206" s="17"/>
      <c r="AB206" s="17"/>
      <c r="AC206" s="105"/>
      <c r="AD206" s="105"/>
      <c r="AE206" s="105"/>
      <c r="AR206" s="12" t="s">
        <v>135</v>
      </c>
      <c r="AT206" s="12" t="s">
        <v>131</v>
      </c>
      <c r="AU206" s="12" t="s">
        <v>74</v>
      </c>
      <c r="AY206" s="13" t="s">
        <v>130</v>
      </c>
      <c r="BE206" s="14">
        <f>IF(N206="základní",J206,0)</f>
        <v>0</v>
      </c>
      <c r="BF206" s="14">
        <f>IF(N206="snížená",J206,0)</f>
        <v>0</v>
      </c>
      <c r="BG206" s="14">
        <f>IF(N206="zákl. přenesená",J206,0)</f>
        <v>0</v>
      </c>
      <c r="BH206" s="14">
        <f>IF(N206="sníž. přenesená",J206,0)</f>
        <v>0</v>
      </c>
      <c r="BI206" s="14">
        <f>IF(N206="nulová",J206,0)</f>
        <v>0</v>
      </c>
      <c r="BJ206" s="13" t="s">
        <v>74</v>
      </c>
      <c r="BK206" s="14">
        <f>ROUND(I206*H206,2)</f>
        <v>0</v>
      </c>
      <c r="BL206" s="13" t="s">
        <v>135</v>
      </c>
      <c r="BM206" s="12" t="s">
        <v>224</v>
      </c>
    </row>
    <row r="207" spans="1:65" s="152" customFormat="1" x14ac:dyDescent="0.2">
      <c r="B207" s="153"/>
      <c r="C207" s="154"/>
      <c r="D207" s="141" t="s">
        <v>340</v>
      </c>
      <c r="E207" s="155" t="s">
        <v>1</v>
      </c>
      <c r="F207" s="156" t="s">
        <v>757</v>
      </c>
      <c r="G207" s="154"/>
      <c r="H207" s="157"/>
      <c r="I207" s="154"/>
      <c r="J207" s="154"/>
      <c r="K207" s="158"/>
      <c r="L207" s="154"/>
      <c r="M207" s="159"/>
      <c r="N207" s="154"/>
      <c r="O207" s="154"/>
      <c r="P207" s="154"/>
      <c r="Q207" s="154"/>
      <c r="R207" s="154"/>
      <c r="S207" s="154"/>
      <c r="T207" s="160"/>
      <c r="V207" s="154"/>
      <c r="W207" s="154"/>
      <c r="X207" s="154"/>
      <c r="Y207" s="154"/>
      <c r="Z207" s="154"/>
      <c r="AA207" s="154"/>
      <c r="AB207" s="154"/>
      <c r="AT207" s="161" t="s">
        <v>340</v>
      </c>
      <c r="AU207" s="161" t="s">
        <v>74</v>
      </c>
      <c r="AV207" s="152" t="s">
        <v>76</v>
      </c>
      <c r="AW207" s="152" t="s">
        <v>25</v>
      </c>
      <c r="AX207" s="152" t="s">
        <v>68</v>
      </c>
      <c r="AY207" s="161" t="s">
        <v>130</v>
      </c>
    </row>
    <row r="208" spans="1:65" s="162" customFormat="1" x14ac:dyDescent="0.2">
      <c r="B208" s="163"/>
      <c r="C208" s="164"/>
      <c r="D208" s="141" t="s">
        <v>340</v>
      </c>
      <c r="E208" s="165" t="s">
        <v>1</v>
      </c>
      <c r="F208" s="166" t="s">
        <v>342</v>
      </c>
      <c r="G208" s="164"/>
      <c r="H208" s="167">
        <v>63.228000000000002</v>
      </c>
      <c r="I208" s="164"/>
      <c r="J208" s="164"/>
      <c r="K208" s="168"/>
      <c r="L208" s="164"/>
      <c r="M208" s="169"/>
      <c r="N208" s="164"/>
      <c r="O208" s="164"/>
      <c r="P208" s="164"/>
      <c r="Q208" s="164"/>
      <c r="R208" s="164"/>
      <c r="S208" s="164"/>
      <c r="T208" s="170"/>
      <c r="V208" s="164"/>
      <c r="W208" s="164"/>
      <c r="X208" s="164"/>
      <c r="Y208" s="164"/>
      <c r="Z208" s="164"/>
      <c r="AA208" s="164"/>
      <c r="AB208" s="164"/>
      <c r="AT208" s="171" t="s">
        <v>340</v>
      </c>
      <c r="AU208" s="171" t="s">
        <v>74</v>
      </c>
      <c r="AV208" s="162" t="s">
        <v>135</v>
      </c>
      <c r="AW208" s="162" t="s">
        <v>25</v>
      </c>
      <c r="AX208" s="162" t="s">
        <v>74</v>
      </c>
      <c r="AY208" s="171" t="s">
        <v>130</v>
      </c>
    </row>
    <row r="209" spans="1:65" s="5" customFormat="1" ht="16.5" customHeight="1" x14ac:dyDescent="0.2">
      <c r="A209" s="105"/>
      <c r="B209" s="140"/>
      <c r="C209" s="33" t="s">
        <v>186</v>
      </c>
      <c r="D209" s="33" t="s">
        <v>131</v>
      </c>
      <c r="E209" s="34" t="s">
        <v>716</v>
      </c>
      <c r="F209" s="7" t="s">
        <v>717</v>
      </c>
      <c r="G209" s="35" t="s">
        <v>134</v>
      </c>
      <c r="H209" s="36">
        <v>12.646000000000001</v>
      </c>
      <c r="I209" s="1"/>
      <c r="J209" s="6">
        <f>ROUND(I209*H209,2)</f>
        <v>0</v>
      </c>
      <c r="K209" s="151" t="s">
        <v>1</v>
      </c>
      <c r="L209" s="17"/>
      <c r="M209" s="8" t="s">
        <v>1</v>
      </c>
      <c r="N209" s="9" t="s">
        <v>33</v>
      </c>
      <c r="O209" s="10">
        <v>0</v>
      </c>
      <c r="P209" s="10">
        <f>O209*H209</f>
        <v>0</v>
      </c>
      <c r="Q209" s="10">
        <v>0</v>
      </c>
      <c r="R209" s="10">
        <f>Q209*H209</f>
        <v>0</v>
      </c>
      <c r="S209" s="10">
        <v>0</v>
      </c>
      <c r="T209" s="11">
        <f>S209*H209</f>
        <v>0</v>
      </c>
      <c r="U209" s="105"/>
      <c r="V209" s="17"/>
      <c r="W209" s="17"/>
      <c r="X209" s="17"/>
      <c r="Y209" s="17"/>
      <c r="Z209" s="17"/>
      <c r="AA209" s="17"/>
      <c r="AB209" s="17"/>
      <c r="AC209" s="105"/>
      <c r="AD209" s="105"/>
      <c r="AE209" s="105"/>
      <c r="AR209" s="12" t="s">
        <v>135</v>
      </c>
      <c r="AT209" s="12" t="s">
        <v>131</v>
      </c>
      <c r="AU209" s="12" t="s">
        <v>74</v>
      </c>
      <c r="AY209" s="13" t="s">
        <v>130</v>
      </c>
      <c r="BE209" s="14">
        <f>IF(N209="základní",J209,0)</f>
        <v>0</v>
      </c>
      <c r="BF209" s="14">
        <f>IF(N209="snížená",J209,0)</f>
        <v>0</v>
      </c>
      <c r="BG209" s="14">
        <f>IF(N209="zákl. přenesená",J209,0)</f>
        <v>0</v>
      </c>
      <c r="BH209" s="14">
        <f>IF(N209="sníž. přenesená",J209,0)</f>
        <v>0</v>
      </c>
      <c r="BI209" s="14">
        <f>IF(N209="nulová",J209,0)</f>
        <v>0</v>
      </c>
      <c r="BJ209" s="13" t="s">
        <v>74</v>
      </c>
      <c r="BK209" s="14">
        <f>ROUND(I209*H209,2)</f>
        <v>0</v>
      </c>
      <c r="BL209" s="13" t="s">
        <v>135</v>
      </c>
      <c r="BM209" s="12" t="s">
        <v>225</v>
      </c>
    </row>
    <row r="210" spans="1:65" s="5" customFormat="1" ht="19.5" x14ac:dyDescent="0.2">
      <c r="A210" s="105"/>
      <c r="B210" s="140"/>
      <c r="C210" s="17"/>
      <c r="D210" s="141" t="s">
        <v>148</v>
      </c>
      <c r="E210" s="17"/>
      <c r="F210" s="142" t="s">
        <v>718</v>
      </c>
      <c r="G210" s="17"/>
      <c r="H210" s="17"/>
      <c r="I210" s="17"/>
      <c r="J210" s="17"/>
      <c r="K210" s="143"/>
      <c r="L210" s="17"/>
      <c r="M210" s="15"/>
      <c r="N210" s="16"/>
      <c r="O210" s="17"/>
      <c r="P210" s="17"/>
      <c r="Q210" s="17"/>
      <c r="R210" s="17"/>
      <c r="S210" s="17"/>
      <c r="T210" s="18"/>
      <c r="U210" s="105"/>
      <c r="V210" s="17"/>
      <c r="W210" s="17"/>
      <c r="X210" s="17"/>
      <c r="Y210" s="17"/>
      <c r="Z210" s="17"/>
      <c r="AA210" s="17"/>
      <c r="AB210" s="17"/>
      <c r="AC210" s="105"/>
      <c r="AD210" s="105"/>
      <c r="AE210" s="105"/>
      <c r="AT210" s="13" t="s">
        <v>148</v>
      </c>
      <c r="AU210" s="13" t="s">
        <v>74</v>
      </c>
    </row>
    <row r="211" spans="1:65" s="5" customFormat="1" ht="16.5" customHeight="1" x14ac:dyDescent="0.2">
      <c r="A211" s="105"/>
      <c r="B211" s="140"/>
      <c r="C211" s="33" t="s">
        <v>228</v>
      </c>
      <c r="D211" s="33" t="s">
        <v>131</v>
      </c>
      <c r="E211" s="34" t="s">
        <v>232</v>
      </c>
      <c r="F211" s="7" t="s">
        <v>722</v>
      </c>
      <c r="G211" s="35" t="s">
        <v>723</v>
      </c>
      <c r="H211" s="36">
        <v>0.10100000000000001</v>
      </c>
      <c r="I211" s="1"/>
      <c r="J211" s="6">
        <f>ROUND(I211*H211,2)</f>
        <v>0</v>
      </c>
      <c r="K211" s="151" t="s">
        <v>1</v>
      </c>
      <c r="L211" s="17"/>
      <c r="M211" s="8" t="s">
        <v>1</v>
      </c>
      <c r="N211" s="9" t="s">
        <v>33</v>
      </c>
      <c r="O211" s="10">
        <v>0</v>
      </c>
      <c r="P211" s="10">
        <f>O211*H211</f>
        <v>0</v>
      </c>
      <c r="Q211" s="10">
        <v>0</v>
      </c>
      <c r="R211" s="10">
        <f>Q211*H211</f>
        <v>0</v>
      </c>
      <c r="S211" s="10">
        <v>0</v>
      </c>
      <c r="T211" s="11">
        <f>S211*H211</f>
        <v>0</v>
      </c>
      <c r="U211" s="105"/>
      <c r="V211" s="17"/>
      <c r="W211" s="17"/>
      <c r="X211" s="17"/>
      <c r="Y211" s="17"/>
      <c r="Z211" s="17"/>
      <c r="AA211" s="17"/>
      <c r="AB211" s="17"/>
      <c r="AC211" s="105"/>
      <c r="AD211" s="105"/>
      <c r="AE211" s="105"/>
      <c r="AR211" s="12" t="s">
        <v>135</v>
      </c>
      <c r="AT211" s="12" t="s">
        <v>131</v>
      </c>
      <c r="AU211" s="12" t="s">
        <v>74</v>
      </c>
      <c r="AY211" s="13" t="s">
        <v>130</v>
      </c>
      <c r="BE211" s="14">
        <f>IF(N211="základní",J211,0)</f>
        <v>0</v>
      </c>
      <c r="BF211" s="14">
        <f>IF(N211="snížená",J211,0)</f>
        <v>0</v>
      </c>
      <c r="BG211" s="14">
        <f>IF(N211="zákl. přenesená",J211,0)</f>
        <v>0</v>
      </c>
      <c r="BH211" s="14">
        <f>IF(N211="sníž. přenesená",J211,0)</f>
        <v>0</v>
      </c>
      <c r="BI211" s="14">
        <f>IF(N211="nulová",J211,0)</f>
        <v>0</v>
      </c>
      <c r="BJ211" s="13" t="s">
        <v>74</v>
      </c>
      <c r="BK211" s="14">
        <f>ROUND(I211*H211,2)</f>
        <v>0</v>
      </c>
      <c r="BL211" s="13" t="s">
        <v>135</v>
      </c>
      <c r="BM211" s="12" t="s">
        <v>231</v>
      </c>
    </row>
    <row r="212" spans="1:65" s="5" customFormat="1" ht="16.5" customHeight="1" x14ac:dyDescent="0.2">
      <c r="A212" s="105"/>
      <c r="B212" s="140"/>
      <c r="C212" s="33" t="s">
        <v>189</v>
      </c>
      <c r="D212" s="33" t="s">
        <v>131</v>
      </c>
      <c r="E212" s="34" t="s">
        <v>246</v>
      </c>
      <c r="F212" s="7" t="s">
        <v>724</v>
      </c>
      <c r="G212" s="35" t="s">
        <v>723</v>
      </c>
      <c r="H212" s="36">
        <v>0.10100000000000001</v>
      </c>
      <c r="I212" s="1"/>
      <c r="J212" s="6">
        <f>ROUND(I212*H212,2)</f>
        <v>0</v>
      </c>
      <c r="K212" s="151" t="s">
        <v>1</v>
      </c>
      <c r="L212" s="17"/>
      <c r="M212" s="8" t="s">
        <v>1</v>
      </c>
      <c r="N212" s="9" t="s">
        <v>33</v>
      </c>
      <c r="O212" s="10">
        <v>0</v>
      </c>
      <c r="P212" s="10">
        <f>O212*H212</f>
        <v>0</v>
      </c>
      <c r="Q212" s="10">
        <v>0</v>
      </c>
      <c r="R212" s="10">
        <f>Q212*H212</f>
        <v>0</v>
      </c>
      <c r="S212" s="10">
        <v>0</v>
      </c>
      <c r="T212" s="11">
        <f>S212*H212</f>
        <v>0</v>
      </c>
      <c r="U212" s="105"/>
      <c r="V212" s="17"/>
      <c r="W212" s="17"/>
      <c r="X212" s="17"/>
      <c r="Y212" s="17"/>
      <c r="Z212" s="17"/>
      <c r="AA212" s="17"/>
      <c r="AB212" s="17"/>
      <c r="AC212" s="105"/>
      <c r="AD212" s="105"/>
      <c r="AE212" s="105"/>
      <c r="AR212" s="12" t="s">
        <v>135</v>
      </c>
      <c r="AT212" s="12" t="s">
        <v>131</v>
      </c>
      <c r="AU212" s="12" t="s">
        <v>74</v>
      </c>
      <c r="AY212" s="13" t="s">
        <v>130</v>
      </c>
      <c r="BE212" s="14">
        <f>IF(N212="základní",J212,0)</f>
        <v>0</v>
      </c>
      <c r="BF212" s="14">
        <f>IF(N212="snížená",J212,0)</f>
        <v>0</v>
      </c>
      <c r="BG212" s="14">
        <f>IF(N212="zákl. přenesená",J212,0)</f>
        <v>0</v>
      </c>
      <c r="BH212" s="14">
        <f>IF(N212="sníž. přenesená",J212,0)</f>
        <v>0</v>
      </c>
      <c r="BI212" s="14">
        <f>IF(N212="nulová",J212,0)</f>
        <v>0</v>
      </c>
      <c r="BJ212" s="13" t="s">
        <v>74</v>
      </c>
      <c r="BK212" s="14">
        <f>ROUND(I212*H212,2)</f>
        <v>0</v>
      </c>
      <c r="BL212" s="13" t="s">
        <v>135</v>
      </c>
      <c r="BM212" s="12" t="s">
        <v>234</v>
      </c>
    </row>
    <row r="213" spans="1:65" s="5" customFormat="1" ht="16.5" customHeight="1" x14ac:dyDescent="0.2">
      <c r="A213" s="105"/>
      <c r="B213" s="140"/>
      <c r="C213" s="33" t="s">
        <v>238</v>
      </c>
      <c r="D213" s="33" t="s">
        <v>131</v>
      </c>
      <c r="E213" s="34" t="s">
        <v>728</v>
      </c>
      <c r="F213" s="7" t="s">
        <v>729</v>
      </c>
      <c r="G213" s="35" t="s">
        <v>134</v>
      </c>
      <c r="H213" s="36">
        <v>30</v>
      </c>
      <c r="I213" s="1"/>
      <c r="J213" s="6">
        <f>ROUND(I213*H213,2)</f>
        <v>0</v>
      </c>
      <c r="K213" s="151" t="s">
        <v>1</v>
      </c>
      <c r="L213" s="17"/>
      <c r="M213" s="8" t="s">
        <v>1</v>
      </c>
      <c r="N213" s="9" t="s">
        <v>33</v>
      </c>
      <c r="O213" s="10">
        <v>0</v>
      </c>
      <c r="P213" s="10">
        <f>O213*H213</f>
        <v>0</v>
      </c>
      <c r="Q213" s="10">
        <v>0</v>
      </c>
      <c r="R213" s="10">
        <f>Q213*H213</f>
        <v>0</v>
      </c>
      <c r="S213" s="10">
        <v>0</v>
      </c>
      <c r="T213" s="11">
        <f>S213*H213</f>
        <v>0</v>
      </c>
      <c r="U213" s="105"/>
      <c r="V213" s="17"/>
      <c r="W213" s="17"/>
      <c r="X213" s="17"/>
      <c r="Y213" s="17"/>
      <c r="Z213" s="17"/>
      <c r="AA213" s="17"/>
      <c r="AB213" s="17"/>
      <c r="AC213" s="105"/>
      <c r="AD213" s="105"/>
      <c r="AE213" s="105"/>
      <c r="AR213" s="12" t="s">
        <v>135</v>
      </c>
      <c r="AT213" s="12" t="s">
        <v>131</v>
      </c>
      <c r="AU213" s="12" t="s">
        <v>74</v>
      </c>
      <c r="AY213" s="13" t="s">
        <v>130</v>
      </c>
      <c r="BE213" s="14">
        <f>IF(N213="základní",J213,0)</f>
        <v>0</v>
      </c>
      <c r="BF213" s="14">
        <f>IF(N213="snížená",J213,0)</f>
        <v>0</v>
      </c>
      <c r="BG213" s="14">
        <f>IF(N213="zákl. přenesená",J213,0)</f>
        <v>0</v>
      </c>
      <c r="BH213" s="14">
        <f>IF(N213="sníž. přenesená",J213,0)</f>
        <v>0</v>
      </c>
      <c r="BI213" s="14">
        <f>IF(N213="nulová",J213,0)</f>
        <v>0</v>
      </c>
      <c r="BJ213" s="13" t="s">
        <v>74</v>
      </c>
      <c r="BK213" s="14">
        <f>ROUND(I213*H213,2)</f>
        <v>0</v>
      </c>
      <c r="BL213" s="13" t="s">
        <v>135</v>
      </c>
      <c r="BM213" s="12" t="s">
        <v>239</v>
      </c>
    </row>
    <row r="214" spans="1:65" s="5" customFormat="1" ht="16.5" customHeight="1" x14ac:dyDescent="0.2">
      <c r="A214" s="105"/>
      <c r="B214" s="140"/>
      <c r="C214" s="33" t="s">
        <v>196</v>
      </c>
      <c r="D214" s="33" t="s">
        <v>131</v>
      </c>
      <c r="E214" s="34" t="s">
        <v>735</v>
      </c>
      <c r="F214" s="7" t="s">
        <v>736</v>
      </c>
      <c r="G214" s="35" t="s">
        <v>134</v>
      </c>
      <c r="H214" s="36">
        <v>30</v>
      </c>
      <c r="I214" s="1"/>
      <c r="J214" s="6">
        <f>ROUND(I214*H214,2)</f>
        <v>0</v>
      </c>
      <c r="K214" s="151" t="s">
        <v>1</v>
      </c>
      <c r="L214" s="17"/>
      <c r="M214" s="8" t="s">
        <v>1</v>
      </c>
      <c r="N214" s="9" t="s">
        <v>33</v>
      </c>
      <c r="O214" s="10">
        <v>0</v>
      </c>
      <c r="P214" s="10">
        <f>O214*H214</f>
        <v>0</v>
      </c>
      <c r="Q214" s="10">
        <v>0</v>
      </c>
      <c r="R214" s="10">
        <f>Q214*H214</f>
        <v>0</v>
      </c>
      <c r="S214" s="10">
        <v>0</v>
      </c>
      <c r="T214" s="11">
        <f>S214*H214</f>
        <v>0</v>
      </c>
      <c r="U214" s="105"/>
      <c r="V214" s="17"/>
      <c r="W214" s="17"/>
      <c r="X214" s="17"/>
      <c r="Y214" s="17"/>
      <c r="Z214" s="17"/>
      <c r="AA214" s="17"/>
      <c r="AB214" s="17"/>
      <c r="AC214" s="105"/>
      <c r="AD214" s="105"/>
      <c r="AE214" s="105"/>
      <c r="AR214" s="12" t="s">
        <v>135</v>
      </c>
      <c r="AT214" s="12" t="s">
        <v>131</v>
      </c>
      <c r="AU214" s="12" t="s">
        <v>74</v>
      </c>
      <c r="AY214" s="13" t="s">
        <v>130</v>
      </c>
      <c r="BE214" s="14">
        <f>IF(N214="základní",J214,0)</f>
        <v>0</v>
      </c>
      <c r="BF214" s="14">
        <f>IF(N214="snížená",J214,0)</f>
        <v>0</v>
      </c>
      <c r="BG214" s="14">
        <f>IF(N214="zákl. přenesená",J214,0)</f>
        <v>0</v>
      </c>
      <c r="BH214" s="14">
        <f>IF(N214="sníž. přenesená",J214,0)</f>
        <v>0</v>
      </c>
      <c r="BI214" s="14">
        <f>IF(N214="nulová",J214,0)</f>
        <v>0</v>
      </c>
      <c r="BJ214" s="13" t="s">
        <v>74</v>
      </c>
      <c r="BK214" s="14">
        <f>ROUND(I214*H214,2)</f>
        <v>0</v>
      </c>
      <c r="BL214" s="13" t="s">
        <v>135</v>
      </c>
      <c r="BM214" s="12" t="s">
        <v>242</v>
      </c>
    </row>
    <row r="215" spans="1:65" s="5" customFormat="1" ht="19.5" x14ac:dyDescent="0.2">
      <c r="A215" s="105"/>
      <c r="B215" s="140"/>
      <c r="C215" s="17"/>
      <c r="D215" s="141" t="s">
        <v>148</v>
      </c>
      <c r="E215" s="17"/>
      <c r="F215" s="142" t="s">
        <v>737</v>
      </c>
      <c r="G215" s="17"/>
      <c r="H215" s="17"/>
      <c r="I215" s="17"/>
      <c r="J215" s="17"/>
      <c r="K215" s="143"/>
      <c r="L215" s="17"/>
      <c r="M215" s="15"/>
      <c r="N215" s="16"/>
      <c r="O215" s="17"/>
      <c r="P215" s="17"/>
      <c r="Q215" s="17"/>
      <c r="R215" s="17"/>
      <c r="S215" s="17"/>
      <c r="T215" s="18"/>
      <c r="U215" s="105"/>
      <c r="V215" s="17"/>
      <c r="W215" s="17"/>
      <c r="X215" s="17"/>
      <c r="Y215" s="17"/>
      <c r="Z215" s="17"/>
      <c r="AA215" s="17"/>
      <c r="AB215" s="17"/>
      <c r="AC215" s="105"/>
      <c r="AD215" s="105"/>
      <c r="AE215" s="105"/>
      <c r="AT215" s="13" t="s">
        <v>148</v>
      </c>
      <c r="AU215" s="13" t="s">
        <v>74</v>
      </c>
    </row>
    <row r="216" spans="1:65" s="5" customFormat="1" ht="16.5" customHeight="1" x14ac:dyDescent="0.2">
      <c r="A216" s="105"/>
      <c r="B216" s="140"/>
      <c r="C216" s="33" t="s">
        <v>245</v>
      </c>
      <c r="D216" s="33" t="s">
        <v>131</v>
      </c>
      <c r="E216" s="34" t="s">
        <v>738</v>
      </c>
      <c r="F216" s="7" t="s">
        <v>739</v>
      </c>
      <c r="G216" s="35" t="s">
        <v>134</v>
      </c>
      <c r="H216" s="36">
        <v>10</v>
      </c>
      <c r="I216" s="1"/>
      <c r="J216" s="6">
        <f>ROUND(I216*H216,2)</f>
        <v>0</v>
      </c>
      <c r="K216" s="151" t="s">
        <v>1</v>
      </c>
      <c r="L216" s="17"/>
      <c r="M216" s="8" t="s">
        <v>1</v>
      </c>
      <c r="N216" s="9" t="s">
        <v>33</v>
      </c>
      <c r="O216" s="10">
        <v>0</v>
      </c>
      <c r="P216" s="10">
        <f>O216*H216</f>
        <v>0</v>
      </c>
      <c r="Q216" s="10">
        <v>0</v>
      </c>
      <c r="R216" s="10">
        <f>Q216*H216</f>
        <v>0</v>
      </c>
      <c r="S216" s="10">
        <v>0</v>
      </c>
      <c r="T216" s="11">
        <f>S216*H216</f>
        <v>0</v>
      </c>
      <c r="U216" s="105"/>
      <c r="V216" s="17"/>
      <c r="W216" s="17"/>
      <c r="X216" s="17"/>
      <c r="Y216" s="17"/>
      <c r="Z216" s="17"/>
      <c r="AA216" s="17"/>
      <c r="AB216" s="17"/>
      <c r="AC216" s="105"/>
      <c r="AD216" s="105"/>
      <c r="AE216" s="105"/>
      <c r="AR216" s="12" t="s">
        <v>135</v>
      </c>
      <c r="AT216" s="12" t="s">
        <v>131</v>
      </c>
      <c r="AU216" s="12" t="s">
        <v>74</v>
      </c>
      <c r="AY216" s="13" t="s">
        <v>130</v>
      </c>
      <c r="BE216" s="14">
        <f>IF(N216="základní",J216,0)</f>
        <v>0</v>
      </c>
      <c r="BF216" s="14">
        <f>IF(N216="snížená",J216,0)</f>
        <v>0</v>
      </c>
      <c r="BG216" s="14">
        <f>IF(N216="zákl. přenesená",J216,0)</f>
        <v>0</v>
      </c>
      <c r="BH216" s="14">
        <f>IF(N216="sníž. přenesená",J216,0)</f>
        <v>0</v>
      </c>
      <c r="BI216" s="14">
        <f>IF(N216="nulová",J216,0)</f>
        <v>0</v>
      </c>
      <c r="BJ216" s="13" t="s">
        <v>74</v>
      </c>
      <c r="BK216" s="14">
        <f>ROUND(I216*H216,2)</f>
        <v>0</v>
      </c>
      <c r="BL216" s="13" t="s">
        <v>135</v>
      </c>
      <c r="BM216" s="12" t="s">
        <v>248</v>
      </c>
    </row>
    <row r="217" spans="1:65" s="5" customFormat="1" ht="19.5" x14ac:dyDescent="0.2">
      <c r="A217" s="105"/>
      <c r="B217" s="140"/>
      <c r="C217" s="17"/>
      <c r="D217" s="141" t="s">
        <v>148</v>
      </c>
      <c r="E217" s="17"/>
      <c r="F217" s="142" t="s">
        <v>740</v>
      </c>
      <c r="G217" s="17"/>
      <c r="H217" s="17"/>
      <c r="I217" s="17"/>
      <c r="J217" s="17"/>
      <c r="K217" s="143"/>
      <c r="L217" s="17"/>
      <c r="M217" s="15"/>
      <c r="N217" s="16"/>
      <c r="O217" s="17"/>
      <c r="P217" s="17"/>
      <c r="Q217" s="17"/>
      <c r="R217" s="17"/>
      <c r="S217" s="17"/>
      <c r="T217" s="18"/>
      <c r="U217" s="105"/>
      <c r="V217" s="17"/>
      <c r="W217" s="17"/>
      <c r="X217" s="17"/>
      <c r="Y217" s="17"/>
      <c r="Z217" s="17"/>
      <c r="AA217" s="17"/>
      <c r="AB217" s="17"/>
      <c r="AC217" s="105"/>
      <c r="AD217" s="105"/>
      <c r="AE217" s="105"/>
      <c r="AT217" s="13" t="s">
        <v>148</v>
      </c>
      <c r="AU217" s="13" t="s">
        <v>74</v>
      </c>
    </row>
    <row r="218" spans="1:65" s="5" customFormat="1" ht="16.5" customHeight="1" x14ac:dyDescent="0.2">
      <c r="A218" s="105"/>
      <c r="B218" s="140"/>
      <c r="C218" s="33" t="s">
        <v>199</v>
      </c>
      <c r="D218" s="33" t="s">
        <v>131</v>
      </c>
      <c r="E218" s="34" t="s">
        <v>741</v>
      </c>
      <c r="F218" s="7" t="s">
        <v>742</v>
      </c>
      <c r="G218" s="35" t="s">
        <v>134</v>
      </c>
      <c r="H218" s="36">
        <v>10</v>
      </c>
      <c r="I218" s="1"/>
      <c r="J218" s="6">
        <f>ROUND(I218*H218,2)</f>
        <v>0</v>
      </c>
      <c r="K218" s="151" t="s">
        <v>1</v>
      </c>
      <c r="L218" s="17"/>
      <c r="M218" s="8" t="s">
        <v>1</v>
      </c>
      <c r="N218" s="9" t="s">
        <v>33</v>
      </c>
      <c r="O218" s="10">
        <v>0</v>
      </c>
      <c r="P218" s="10">
        <f>O218*H218</f>
        <v>0</v>
      </c>
      <c r="Q218" s="10">
        <v>0</v>
      </c>
      <c r="R218" s="10">
        <f>Q218*H218</f>
        <v>0</v>
      </c>
      <c r="S218" s="10">
        <v>0</v>
      </c>
      <c r="T218" s="11">
        <f>S218*H218</f>
        <v>0</v>
      </c>
      <c r="U218" s="105"/>
      <c r="V218" s="17"/>
      <c r="W218" s="17"/>
      <c r="X218" s="17"/>
      <c r="Y218" s="17"/>
      <c r="Z218" s="17"/>
      <c r="AA218" s="17"/>
      <c r="AB218" s="17"/>
      <c r="AC218" s="105"/>
      <c r="AD218" s="105"/>
      <c r="AE218" s="105"/>
      <c r="AR218" s="12" t="s">
        <v>135</v>
      </c>
      <c r="AT218" s="12" t="s">
        <v>131</v>
      </c>
      <c r="AU218" s="12" t="s">
        <v>74</v>
      </c>
      <c r="AY218" s="13" t="s">
        <v>130</v>
      </c>
      <c r="BE218" s="14">
        <f>IF(N218="základní",J218,0)</f>
        <v>0</v>
      </c>
      <c r="BF218" s="14">
        <f>IF(N218="snížená",J218,0)</f>
        <v>0</v>
      </c>
      <c r="BG218" s="14">
        <f>IF(N218="zákl. přenesená",J218,0)</f>
        <v>0</v>
      </c>
      <c r="BH218" s="14">
        <f>IF(N218="sníž. přenesená",J218,0)</f>
        <v>0</v>
      </c>
      <c r="BI218" s="14">
        <f>IF(N218="nulová",J218,0)</f>
        <v>0</v>
      </c>
      <c r="BJ218" s="13" t="s">
        <v>74</v>
      </c>
      <c r="BK218" s="14">
        <f>ROUND(I218*H218,2)</f>
        <v>0</v>
      </c>
      <c r="BL218" s="13" t="s">
        <v>135</v>
      </c>
      <c r="BM218" s="12" t="s">
        <v>254</v>
      </c>
    </row>
    <row r="219" spans="1:65" s="5" customFormat="1" ht="39" x14ac:dyDescent="0.2">
      <c r="A219" s="105"/>
      <c r="B219" s="140"/>
      <c r="C219" s="17"/>
      <c r="D219" s="141" t="s">
        <v>148</v>
      </c>
      <c r="E219" s="17"/>
      <c r="F219" s="142" t="s">
        <v>743</v>
      </c>
      <c r="G219" s="17"/>
      <c r="H219" s="17"/>
      <c r="I219" s="17"/>
      <c r="J219" s="17"/>
      <c r="K219" s="143"/>
      <c r="L219" s="17"/>
      <c r="M219" s="15"/>
      <c r="N219" s="16"/>
      <c r="O219" s="17"/>
      <c r="P219" s="17"/>
      <c r="Q219" s="17"/>
      <c r="R219" s="17"/>
      <c r="S219" s="17"/>
      <c r="T219" s="18"/>
      <c r="U219" s="105"/>
      <c r="V219" s="17"/>
      <c r="W219" s="17"/>
      <c r="X219" s="17"/>
      <c r="Y219" s="17"/>
      <c r="Z219" s="17"/>
      <c r="AA219" s="17"/>
      <c r="AB219" s="17"/>
      <c r="AC219" s="105"/>
      <c r="AD219" s="105"/>
      <c r="AE219" s="105"/>
      <c r="AT219" s="13" t="s">
        <v>148</v>
      </c>
      <c r="AU219" s="13" t="s">
        <v>74</v>
      </c>
    </row>
    <row r="220" spans="1:65" s="5" customFormat="1" ht="16.5" customHeight="1" x14ac:dyDescent="0.2">
      <c r="A220" s="105"/>
      <c r="B220" s="140"/>
      <c r="C220" s="33" t="s">
        <v>258</v>
      </c>
      <c r="D220" s="33" t="s">
        <v>131</v>
      </c>
      <c r="E220" s="34" t="s">
        <v>744</v>
      </c>
      <c r="F220" s="7" t="s">
        <v>745</v>
      </c>
      <c r="G220" s="35" t="s">
        <v>134</v>
      </c>
      <c r="H220" s="36">
        <v>10</v>
      </c>
      <c r="I220" s="1"/>
      <c r="J220" s="6">
        <f>ROUND(I220*H220,2)</f>
        <v>0</v>
      </c>
      <c r="K220" s="151" t="s">
        <v>1</v>
      </c>
      <c r="L220" s="17"/>
      <c r="M220" s="8" t="s">
        <v>1</v>
      </c>
      <c r="N220" s="9" t="s">
        <v>33</v>
      </c>
      <c r="O220" s="10">
        <v>0</v>
      </c>
      <c r="P220" s="10">
        <f>O220*H220</f>
        <v>0</v>
      </c>
      <c r="Q220" s="10">
        <v>0</v>
      </c>
      <c r="R220" s="10">
        <f>Q220*H220</f>
        <v>0</v>
      </c>
      <c r="S220" s="10">
        <v>0</v>
      </c>
      <c r="T220" s="11">
        <f>S220*H220</f>
        <v>0</v>
      </c>
      <c r="U220" s="105"/>
      <c r="V220" s="17"/>
      <c r="W220" s="17"/>
      <c r="X220" s="17"/>
      <c r="Y220" s="17"/>
      <c r="Z220" s="17"/>
      <c r="AA220" s="17"/>
      <c r="AB220" s="17"/>
      <c r="AC220" s="105"/>
      <c r="AD220" s="105"/>
      <c r="AE220" s="105"/>
      <c r="AR220" s="12" t="s">
        <v>135</v>
      </c>
      <c r="AT220" s="12" t="s">
        <v>131</v>
      </c>
      <c r="AU220" s="12" t="s">
        <v>74</v>
      </c>
      <c r="AY220" s="13" t="s">
        <v>130</v>
      </c>
      <c r="BE220" s="14">
        <f>IF(N220="základní",J220,0)</f>
        <v>0</v>
      </c>
      <c r="BF220" s="14">
        <f>IF(N220="snížená",J220,0)</f>
        <v>0</v>
      </c>
      <c r="BG220" s="14">
        <f>IF(N220="zákl. přenesená",J220,0)</f>
        <v>0</v>
      </c>
      <c r="BH220" s="14">
        <f>IF(N220="sníž. přenesená",J220,0)</f>
        <v>0</v>
      </c>
      <c r="BI220" s="14">
        <f>IF(N220="nulová",J220,0)</f>
        <v>0</v>
      </c>
      <c r="BJ220" s="13" t="s">
        <v>74</v>
      </c>
      <c r="BK220" s="14">
        <f>ROUND(I220*H220,2)</f>
        <v>0</v>
      </c>
      <c r="BL220" s="13" t="s">
        <v>135</v>
      </c>
      <c r="BM220" s="12" t="s">
        <v>259</v>
      </c>
    </row>
    <row r="221" spans="1:65" s="5" customFormat="1" ht="16.5" customHeight="1" x14ac:dyDescent="0.2">
      <c r="A221" s="105"/>
      <c r="B221" s="140"/>
      <c r="C221" s="33" t="s">
        <v>201</v>
      </c>
      <c r="D221" s="33" t="s">
        <v>131</v>
      </c>
      <c r="E221" s="34" t="s">
        <v>746</v>
      </c>
      <c r="F221" s="7" t="s">
        <v>726</v>
      </c>
      <c r="G221" s="35" t="s">
        <v>134</v>
      </c>
      <c r="H221" s="36">
        <v>63.228000000000002</v>
      </c>
      <c r="I221" s="1"/>
      <c r="J221" s="6">
        <f>ROUND(I221*H221,2)</f>
        <v>0</v>
      </c>
      <c r="K221" s="151" t="s">
        <v>1</v>
      </c>
      <c r="L221" s="17"/>
      <c r="M221" s="8" t="s">
        <v>1</v>
      </c>
      <c r="N221" s="9" t="s">
        <v>33</v>
      </c>
      <c r="O221" s="10">
        <v>0</v>
      </c>
      <c r="P221" s="10">
        <f>O221*H221</f>
        <v>0</v>
      </c>
      <c r="Q221" s="10">
        <v>0</v>
      </c>
      <c r="R221" s="10">
        <f>Q221*H221</f>
        <v>0</v>
      </c>
      <c r="S221" s="10">
        <v>0</v>
      </c>
      <c r="T221" s="11">
        <f>S221*H221</f>
        <v>0</v>
      </c>
      <c r="U221" s="105"/>
      <c r="V221" s="17"/>
      <c r="W221" s="17"/>
      <c r="X221" s="17"/>
      <c r="Y221" s="17"/>
      <c r="Z221" s="17"/>
      <c r="AA221" s="17"/>
      <c r="AB221" s="17"/>
      <c r="AC221" s="105"/>
      <c r="AD221" s="105"/>
      <c r="AE221" s="105"/>
      <c r="AR221" s="12" t="s">
        <v>135</v>
      </c>
      <c r="AT221" s="12" t="s">
        <v>131</v>
      </c>
      <c r="AU221" s="12" t="s">
        <v>74</v>
      </c>
      <c r="AY221" s="13" t="s">
        <v>130</v>
      </c>
      <c r="BE221" s="14">
        <f>IF(N221="základní",J221,0)</f>
        <v>0</v>
      </c>
      <c r="BF221" s="14">
        <f>IF(N221="snížená",J221,0)</f>
        <v>0</v>
      </c>
      <c r="BG221" s="14">
        <f>IF(N221="zákl. přenesená",J221,0)</f>
        <v>0</v>
      </c>
      <c r="BH221" s="14">
        <f>IF(N221="sníž. přenesená",J221,0)</f>
        <v>0</v>
      </c>
      <c r="BI221" s="14">
        <f>IF(N221="nulová",J221,0)</f>
        <v>0</v>
      </c>
      <c r="BJ221" s="13" t="s">
        <v>74</v>
      </c>
      <c r="BK221" s="14">
        <f>ROUND(I221*H221,2)</f>
        <v>0</v>
      </c>
      <c r="BL221" s="13" t="s">
        <v>135</v>
      </c>
      <c r="BM221" s="12" t="s">
        <v>262</v>
      </c>
    </row>
    <row r="222" spans="1:65" s="5" customFormat="1" ht="29.25" x14ac:dyDescent="0.2">
      <c r="A222" s="105"/>
      <c r="B222" s="140"/>
      <c r="C222" s="17"/>
      <c r="D222" s="141" t="s">
        <v>148</v>
      </c>
      <c r="E222" s="17"/>
      <c r="F222" s="142" t="s">
        <v>747</v>
      </c>
      <c r="G222" s="17"/>
      <c r="H222" s="17"/>
      <c r="I222" s="17"/>
      <c r="J222" s="17"/>
      <c r="K222" s="143"/>
      <c r="L222" s="17"/>
      <c r="M222" s="15"/>
      <c r="N222" s="16"/>
      <c r="O222" s="17"/>
      <c r="P222" s="17"/>
      <c r="Q222" s="17"/>
      <c r="R222" s="17"/>
      <c r="S222" s="17"/>
      <c r="T222" s="18"/>
      <c r="U222" s="105"/>
      <c r="V222" s="17"/>
      <c r="W222" s="17"/>
      <c r="X222" s="17"/>
      <c r="Y222" s="17"/>
      <c r="Z222" s="17"/>
      <c r="AA222" s="17"/>
      <c r="AB222" s="17"/>
      <c r="AC222" s="105"/>
      <c r="AD222" s="105"/>
      <c r="AE222" s="105"/>
      <c r="AT222" s="13" t="s">
        <v>148</v>
      </c>
      <c r="AU222" s="13" t="s">
        <v>74</v>
      </c>
    </row>
    <row r="223" spans="1:65" s="5" customFormat="1" ht="16.5" customHeight="1" x14ac:dyDescent="0.2">
      <c r="A223" s="105"/>
      <c r="B223" s="140"/>
      <c r="C223" s="33" t="s">
        <v>265</v>
      </c>
      <c r="D223" s="33" t="s">
        <v>131</v>
      </c>
      <c r="E223" s="34" t="s">
        <v>758</v>
      </c>
      <c r="F223" s="7" t="s">
        <v>759</v>
      </c>
      <c r="G223" s="35" t="s">
        <v>134</v>
      </c>
      <c r="H223" s="36">
        <v>16.884</v>
      </c>
      <c r="I223" s="1"/>
      <c r="J223" s="6">
        <f>ROUND(I223*H223,2)</f>
        <v>0</v>
      </c>
      <c r="K223" s="151" t="s">
        <v>1</v>
      </c>
      <c r="L223" s="17"/>
      <c r="M223" s="8" t="s">
        <v>1</v>
      </c>
      <c r="N223" s="9" t="s">
        <v>33</v>
      </c>
      <c r="O223" s="10">
        <v>0</v>
      </c>
      <c r="P223" s="10">
        <f>O223*H223</f>
        <v>0</v>
      </c>
      <c r="Q223" s="10">
        <v>0</v>
      </c>
      <c r="R223" s="10">
        <f>Q223*H223</f>
        <v>0</v>
      </c>
      <c r="S223" s="10">
        <v>0</v>
      </c>
      <c r="T223" s="11">
        <f>S223*H223</f>
        <v>0</v>
      </c>
      <c r="U223" s="105"/>
      <c r="V223" s="17"/>
      <c r="W223" s="17"/>
      <c r="X223" s="17"/>
      <c r="Y223" s="17"/>
      <c r="Z223" s="17"/>
      <c r="AA223" s="17"/>
      <c r="AB223" s="17"/>
      <c r="AC223" s="105"/>
      <c r="AD223" s="105"/>
      <c r="AE223" s="105"/>
      <c r="AR223" s="12" t="s">
        <v>135</v>
      </c>
      <c r="AT223" s="12" t="s">
        <v>131</v>
      </c>
      <c r="AU223" s="12" t="s">
        <v>74</v>
      </c>
      <c r="AY223" s="13" t="s">
        <v>130</v>
      </c>
      <c r="BE223" s="14">
        <f>IF(N223="základní",J223,0)</f>
        <v>0</v>
      </c>
      <c r="BF223" s="14">
        <f>IF(N223="snížená",J223,0)</f>
        <v>0</v>
      </c>
      <c r="BG223" s="14">
        <f>IF(N223="zákl. přenesená",J223,0)</f>
        <v>0</v>
      </c>
      <c r="BH223" s="14">
        <f>IF(N223="sníž. přenesená",J223,0)</f>
        <v>0</v>
      </c>
      <c r="BI223" s="14">
        <f>IF(N223="nulová",J223,0)</f>
        <v>0</v>
      </c>
      <c r="BJ223" s="13" t="s">
        <v>74</v>
      </c>
      <c r="BK223" s="14">
        <f>ROUND(I223*H223,2)</f>
        <v>0</v>
      </c>
      <c r="BL223" s="13" t="s">
        <v>135</v>
      </c>
      <c r="BM223" s="12" t="s">
        <v>266</v>
      </c>
    </row>
    <row r="224" spans="1:65" s="5" customFormat="1" x14ac:dyDescent="0.2">
      <c r="B224" s="177"/>
      <c r="C224" s="16"/>
      <c r="D224" s="178" t="s">
        <v>340</v>
      </c>
      <c r="E224" s="16"/>
      <c r="F224" s="200" t="s">
        <v>1245</v>
      </c>
      <c r="G224" s="16">
        <f>(0.38+1.36+2.87+1.88+3.53+0.39+1.65)*1.4</f>
        <v>16.884</v>
      </c>
      <c r="H224" s="16"/>
      <c r="I224" s="16"/>
      <c r="J224" s="16"/>
      <c r="K224" s="181"/>
      <c r="L224" s="52"/>
      <c r="M224" s="52"/>
      <c r="N224" s="52"/>
      <c r="O224" s="52"/>
      <c r="P224" s="52"/>
      <c r="Q224" s="52"/>
      <c r="R224" s="52"/>
      <c r="S224" s="128"/>
      <c r="V224" s="16"/>
      <c r="W224" s="16"/>
      <c r="X224" s="16"/>
      <c r="Y224" s="16"/>
      <c r="Z224" s="16"/>
      <c r="AA224" s="16"/>
      <c r="AB224" s="16"/>
      <c r="AZ224" s="126" t="s">
        <v>148</v>
      </c>
      <c r="BA224" s="126" t="s">
        <v>74</v>
      </c>
    </row>
    <row r="225" spans="1:65" s="5" customFormat="1" ht="21.75" customHeight="1" x14ac:dyDescent="0.2">
      <c r="A225" s="105"/>
      <c r="B225" s="140"/>
      <c r="C225" s="33" t="s">
        <v>202</v>
      </c>
      <c r="D225" s="33" t="s">
        <v>131</v>
      </c>
      <c r="E225" s="34" t="s">
        <v>748</v>
      </c>
      <c r="F225" s="7" t="s">
        <v>749</v>
      </c>
      <c r="G225" s="35" t="s">
        <v>134</v>
      </c>
      <c r="H225" s="36">
        <v>16.8</v>
      </c>
      <c r="I225" s="1"/>
      <c r="J225" s="6">
        <f>ROUND(I225*H225,2)</f>
        <v>0</v>
      </c>
      <c r="K225" s="151" t="s">
        <v>1</v>
      </c>
      <c r="L225" s="17"/>
      <c r="M225" s="8" t="s">
        <v>1</v>
      </c>
      <c r="N225" s="9" t="s">
        <v>33</v>
      </c>
      <c r="O225" s="10">
        <v>0</v>
      </c>
      <c r="P225" s="10">
        <f>O225*H225</f>
        <v>0</v>
      </c>
      <c r="Q225" s="10">
        <v>0</v>
      </c>
      <c r="R225" s="10">
        <f>Q225*H225</f>
        <v>0</v>
      </c>
      <c r="S225" s="10">
        <v>0</v>
      </c>
      <c r="T225" s="11">
        <f>S225*H225</f>
        <v>0</v>
      </c>
      <c r="U225" s="105"/>
      <c r="V225" s="17"/>
      <c r="W225" s="17"/>
      <c r="X225" s="17"/>
      <c r="Y225" s="17"/>
      <c r="Z225" s="17"/>
      <c r="AA225" s="17"/>
      <c r="AB225" s="17"/>
      <c r="AC225" s="105"/>
      <c r="AD225" s="105"/>
      <c r="AE225" s="105"/>
      <c r="AR225" s="12" t="s">
        <v>135</v>
      </c>
      <c r="AT225" s="12" t="s">
        <v>131</v>
      </c>
      <c r="AU225" s="12" t="s">
        <v>74</v>
      </c>
      <c r="AY225" s="13" t="s">
        <v>130</v>
      </c>
      <c r="BE225" s="14">
        <f>IF(N225="základní",J225,0)</f>
        <v>0</v>
      </c>
      <c r="BF225" s="14">
        <f>IF(N225="snížená",J225,0)</f>
        <v>0</v>
      </c>
      <c r="BG225" s="14">
        <f>IF(N225="zákl. přenesená",J225,0)</f>
        <v>0</v>
      </c>
      <c r="BH225" s="14">
        <f>IF(N225="sníž. přenesená",J225,0)</f>
        <v>0</v>
      </c>
      <c r="BI225" s="14">
        <f>IF(N225="nulová",J225,0)</f>
        <v>0</v>
      </c>
      <c r="BJ225" s="13" t="s">
        <v>74</v>
      </c>
      <c r="BK225" s="14">
        <f>ROUND(I225*H225,2)</f>
        <v>0</v>
      </c>
      <c r="BL225" s="13" t="s">
        <v>135</v>
      </c>
      <c r="BM225" s="12" t="s">
        <v>269</v>
      </c>
    </row>
    <row r="226" spans="1:65" s="152" customFormat="1" x14ac:dyDescent="0.2">
      <c r="B226" s="153"/>
      <c r="C226" s="154"/>
      <c r="D226" s="141" t="s">
        <v>340</v>
      </c>
      <c r="E226" s="155" t="s">
        <v>1</v>
      </c>
      <c r="F226" s="156" t="s">
        <v>760</v>
      </c>
      <c r="G226" s="154"/>
      <c r="H226" s="157"/>
      <c r="I226" s="154"/>
      <c r="J226" s="154"/>
      <c r="K226" s="158"/>
      <c r="L226" s="154"/>
      <c r="M226" s="159"/>
      <c r="N226" s="154"/>
      <c r="O226" s="154"/>
      <c r="P226" s="154"/>
      <c r="Q226" s="154"/>
      <c r="R226" s="154"/>
      <c r="S226" s="154"/>
      <c r="T226" s="160"/>
      <c r="V226" s="154"/>
      <c r="W226" s="154"/>
      <c r="X226" s="154"/>
      <c r="Y226" s="154"/>
      <c r="Z226" s="154"/>
      <c r="AA226" s="154"/>
      <c r="AB226" s="154"/>
      <c r="AT226" s="161" t="s">
        <v>340</v>
      </c>
      <c r="AU226" s="161" t="s">
        <v>74</v>
      </c>
      <c r="AV226" s="152" t="s">
        <v>76</v>
      </c>
      <c r="AW226" s="152" t="s">
        <v>25</v>
      </c>
      <c r="AX226" s="152" t="s">
        <v>68</v>
      </c>
      <c r="AY226" s="161" t="s">
        <v>130</v>
      </c>
    </row>
    <row r="227" spans="1:65" s="162" customFormat="1" x14ac:dyDescent="0.2">
      <c r="B227" s="163"/>
      <c r="C227" s="164"/>
      <c r="D227" s="141" t="s">
        <v>340</v>
      </c>
      <c r="E227" s="165" t="s">
        <v>1</v>
      </c>
      <c r="F227" s="166" t="s">
        <v>342</v>
      </c>
      <c r="G227" s="164"/>
      <c r="H227" s="167">
        <v>16.8</v>
      </c>
      <c r="I227" s="164"/>
      <c r="J227" s="164"/>
      <c r="K227" s="168"/>
      <c r="L227" s="164"/>
      <c r="M227" s="169"/>
      <c r="N227" s="164"/>
      <c r="O227" s="164"/>
      <c r="P227" s="164"/>
      <c r="Q227" s="164"/>
      <c r="R227" s="164"/>
      <c r="S227" s="164"/>
      <c r="T227" s="170"/>
      <c r="V227" s="164"/>
      <c r="W227" s="164"/>
      <c r="X227" s="164"/>
      <c r="Y227" s="164"/>
      <c r="Z227" s="164"/>
      <c r="AA227" s="164"/>
      <c r="AB227" s="164"/>
      <c r="AT227" s="171" t="s">
        <v>340</v>
      </c>
      <c r="AU227" s="171" t="s">
        <v>74</v>
      </c>
      <c r="AV227" s="162" t="s">
        <v>135</v>
      </c>
      <c r="AW227" s="162" t="s">
        <v>25</v>
      </c>
      <c r="AX227" s="162" t="s">
        <v>74</v>
      </c>
      <c r="AY227" s="171" t="s">
        <v>130</v>
      </c>
    </row>
    <row r="228" spans="1:65" s="20" customFormat="1" ht="25.9" customHeight="1" x14ac:dyDescent="0.2">
      <c r="B228" s="172"/>
      <c r="C228" s="23"/>
      <c r="D228" s="173" t="s">
        <v>67</v>
      </c>
      <c r="E228" s="174" t="s">
        <v>166</v>
      </c>
      <c r="F228" s="174" t="s">
        <v>761</v>
      </c>
      <c r="G228" s="23"/>
      <c r="H228" s="23"/>
      <c r="I228" s="23"/>
      <c r="J228" s="175">
        <f>BK228</f>
        <v>0</v>
      </c>
      <c r="K228" s="176"/>
      <c r="L228" s="23"/>
      <c r="M228" s="22"/>
      <c r="N228" s="23"/>
      <c r="O228" s="23"/>
      <c r="P228" s="24">
        <f>SUM(P231:P253)</f>
        <v>0</v>
      </c>
      <c r="Q228" s="23"/>
      <c r="R228" s="24">
        <f>SUM(R231:R253)</f>
        <v>0</v>
      </c>
      <c r="S228" s="23"/>
      <c r="T228" s="25">
        <f>SUM(T231:T253)</f>
        <v>0</v>
      </c>
      <c r="V228" s="23"/>
      <c r="W228" s="23"/>
      <c r="X228" s="23"/>
      <c r="Y228" s="23"/>
      <c r="Z228" s="23"/>
      <c r="AA228" s="23"/>
      <c r="AB228" s="23"/>
      <c r="AR228" s="26" t="s">
        <v>74</v>
      </c>
      <c r="AT228" s="27" t="s">
        <v>67</v>
      </c>
      <c r="AU228" s="27" t="s">
        <v>68</v>
      </c>
      <c r="AY228" s="26" t="s">
        <v>130</v>
      </c>
      <c r="BK228" s="28">
        <f>SUM(BK231:BK253)</f>
        <v>0</v>
      </c>
    </row>
    <row r="229" spans="1:65" s="5" customFormat="1" x14ac:dyDescent="0.2">
      <c r="B229" s="177"/>
      <c r="C229" s="16"/>
      <c r="D229" s="178" t="s">
        <v>340</v>
      </c>
      <c r="E229" s="16"/>
      <c r="F229" s="200" t="s">
        <v>1240</v>
      </c>
      <c r="G229" s="16"/>
      <c r="H229" s="180">
        <f>((2.27+3.36+0.49+1.1+1.53+1.1+1.02)*5.2)-(1.17*1.65)-(2*1.1*1.88)+((1.17+1.65)*2*0.32)+(2*(1.1+1.88)*2*0.36)</f>
        <v>56.5535</v>
      </c>
      <c r="I229" s="16"/>
      <c r="J229" s="16"/>
      <c r="K229" s="181"/>
      <c r="L229" s="52"/>
      <c r="M229" s="52"/>
      <c r="N229" s="52"/>
      <c r="O229" s="52"/>
      <c r="P229" s="52"/>
      <c r="Q229" s="52"/>
      <c r="R229" s="52"/>
      <c r="S229" s="128"/>
      <c r="V229" s="16"/>
      <c r="W229" s="16"/>
      <c r="X229" s="16"/>
      <c r="Y229" s="16"/>
      <c r="Z229" s="16"/>
      <c r="AA229" s="16"/>
      <c r="AB229" s="16"/>
      <c r="AZ229" s="126" t="s">
        <v>148</v>
      </c>
      <c r="BA229" s="126" t="s">
        <v>74</v>
      </c>
    </row>
    <row r="230" spans="1:65" s="5" customFormat="1" ht="10.15" customHeight="1" x14ac:dyDescent="0.2">
      <c r="B230" s="177"/>
      <c r="C230" s="16"/>
      <c r="D230" s="178" t="s">
        <v>340</v>
      </c>
      <c r="E230" s="16"/>
      <c r="F230" s="200" t="s">
        <v>1241</v>
      </c>
      <c r="G230" s="16"/>
      <c r="H230" s="180">
        <f>7.2*1.59</f>
        <v>11.448</v>
      </c>
      <c r="I230" s="16"/>
      <c r="J230" s="16"/>
      <c r="K230" s="181"/>
      <c r="L230" s="52"/>
      <c r="M230" s="52"/>
      <c r="N230" s="52"/>
      <c r="O230" s="52"/>
      <c r="P230" s="52"/>
      <c r="Q230" s="52"/>
      <c r="R230" s="52"/>
      <c r="S230" s="128"/>
      <c r="V230" s="16"/>
      <c r="W230" s="16"/>
      <c r="X230" s="16"/>
      <c r="Y230" s="16"/>
      <c r="Z230" s="16"/>
      <c r="AA230" s="16"/>
      <c r="AB230" s="16"/>
      <c r="AZ230" s="126" t="s">
        <v>148</v>
      </c>
      <c r="BA230" s="126" t="s">
        <v>74</v>
      </c>
    </row>
    <row r="231" spans="1:65" s="5" customFormat="1" ht="16.5" customHeight="1" x14ac:dyDescent="0.2">
      <c r="A231" s="105"/>
      <c r="B231" s="140"/>
      <c r="C231" s="33" t="s">
        <v>273</v>
      </c>
      <c r="D231" s="33" t="s">
        <v>131</v>
      </c>
      <c r="E231" s="34" t="s">
        <v>713</v>
      </c>
      <c r="F231" s="7" t="s">
        <v>714</v>
      </c>
      <c r="G231" s="35" t="s">
        <v>134</v>
      </c>
      <c r="H231" s="36">
        <v>68.001999999999995</v>
      </c>
      <c r="I231" s="1"/>
      <c r="J231" s="6">
        <f>ROUND(I231*H231,2)</f>
        <v>0</v>
      </c>
      <c r="K231" s="151" t="s">
        <v>1</v>
      </c>
      <c r="L231" s="17"/>
      <c r="M231" s="8" t="s">
        <v>1</v>
      </c>
      <c r="N231" s="9" t="s">
        <v>33</v>
      </c>
      <c r="O231" s="10">
        <v>0</v>
      </c>
      <c r="P231" s="10">
        <f>O231*H231</f>
        <v>0</v>
      </c>
      <c r="Q231" s="10">
        <v>0</v>
      </c>
      <c r="R231" s="10">
        <f>Q231*H231</f>
        <v>0</v>
      </c>
      <c r="S231" s="10">
        <v>0</v>
      </c>
      <c r="T231" s="11">
        <f>S231*H231</f>
        <v>0</v>
      </c>
      <c r="U231" s="105"/>
      <c r="V231" s="17"/>
      <c r="W231" s="17"/>
      <c r="X231" s="17"/>
      <c r="Y231" s="17"/>
      <c r="Z231" s="17"/>
      <c r="AA231" s="17"/>
      <c r="AB231" s="17"/>
      <c r="AC231" s="105"/>
      <c r="AD231" s="105"/>
      <c r="AE231" s="105"/>
      <c r="AR231" s="12" t="s">
        <v>135</v>
      </c>
      <c r="AT231" s="12" t="s">
        <v>131</v>
      </c>
      <c r="AU231" s="12" t="s">
        <v>74</v>
      </c>
      <c r="AY231" s="13" t="s">
        <v>130</v>
      </c>
      <c r="BE231" s="14">
        <f>IF(N231="základní",J231,0)</f>
        <v>0</v>
      </c>
      <c r="BF231" s="14">
        <f>IF(N231="snížená",J231,0)</f>
        <v>0</v>
      </c>
      <c r="BG231" s="14">
        <f>IF(N231="zákl. přenesená",J231,0)</f>
        <v>0</v>
      </c>
      <c r="BH231" s="14">
        <f>IF(N231="sníž. přenesená",J231,0)</f>
        <v>0</v>
      </c>
      <c r="BI231" s="14">
        <f>IF(N231="nulová",J231,0)</f>
        <v>0</v>
      </c>
      <c r="BJ231" s="13" t="s">
        <v>74</v>
      </c>
      <c r="BK231" s="14">
        <f>ROUND(I231*H231,2)</f>
        <v>0</v>
      </c>
      <c r="BL231" s="13" t="s">
        <v>135</v>
      </c>
      <c r="BM231" s="12" t="s">
        <v>274</v>
      </c>
    </row>
    <row r="232" spans="1:65" s="152" customFormat="1" x14ac:dyDescent="0.2">
      <c r="B232" s="153"/>
      <c r="C232" s="154"/>
      <c r="D232" s="141" t="s">
        <v>340</v>
      </c>
      <c r="E232" s="155" t="s">
        <v>1</v>
      </c>
      <c r="F232" s="156" t="s">
        <v>762</v>
      </c>
      <c r="G232" s="154"/>
      <c r="H232" s="157"/>
      <c r="I232" s="154"/>
      <c r="J232" s="154"/>
      <c r="K232" s="158"/>
      <c r="L232" s="154"/>
      <c r="M232" s="159"/>
      <c r="N232" s="154"/>
      <c r="O232" s="154"/>
      <c r="P232" s="154"/>
      <c r="Q232" s="154"/>
      <c r="R232" s="154"/>
      <c r="S232" s="154"/>
      <c r="T232" s="160"/>
      <c r="V232" s="154"/>
      <c r="W232" s="154"/>
      <c r="X232" s="154"/>
      <c r="Y232" s="154"/>
      <c r="Z232" s="154"/>
      <c r="AA232" s="154"/>
      <c r="AB232" s="154"/>
      <c r="AT232" s="161" t="s">
        <v>340</v>
      </c>
      <c r="AU232" s="161" t="s">
        <v>74</v>
      </c>
      <c r="AV232" s="152" t="s">
        <v>76</v>
      </c>
      <c r="AW232" s="152" t="s">
        <v>25</v>
      </c>
      <c r="AX232" s="152" t="s">
        <v>68</v>
      </c>
      <c r="AY232" s="161" t="s">
        <v>130</v>
      </c>
    </row>
    <row r="233" spans="1:65" s="162" customFormat="1" x14ac:dyDescent="0.2">
      <c r="B233" s="163"/>
      <c r="C233" s="164"/>
      <c r="D233" s="141" t="s">
        <v>340</v>
      </c>
      <c r="E233" s="165" t="s">
        <v>1</v>
      </c>
      <c r="F233" s="166" t="s">
        <v>342</v>
      </c>
      <c r="G233" s="164"/>
      <c r="H233" s="167">
        <v>68.001999999999995</v>
      </c>
      <c r="I233" s="164"/>
      <c r="J233" s="164"/>
      <c r="K233" s="168"/>
      <c r="L233" s="164"/>
      <c r="M233" s="169"/>
      <c r="N233" s="164"/>
      <c r="O233" s="164"/>
      <c r="P233" s="164"/>
      <c r="Q233" s="164"/>
      <c r="R233" s="164"/>
      <c r="S233" s="164"/>
      <c r="T233" s="170"/>
      <c r="V233" s="164"/>
      <c r="W233" s="164"/>
      <c r="X233" s="164"/>
      <c r="Y233" s="164"/>
      <c r="Z233" s="164"/>
      <c r="AA233" s="164"/>
      <c r="AB233" s="164"/>
      <c r="AT233" s="171" t="s">
        <v>340</v>
      </c>
      <c r="AU233" s="171" t="s">
        <v>74</v>
      </c>
      <c r="AV233" s="162" t="s">
        <v>135</v>
      </c>
      <c r="AW233" s="162" t="s">
        <v>25</v>
      </c>
      <c r="AX233" s="162" t="s">
        <v>74</v>
      </c>
      <c r="AY233" s="171" t="s">
        <v>130</v>
      </c>
    </row>
    <row r="234" spans="1:65" s="5" customFormat="1" ht="16.5" customHeight="1" x14ac:dyDescent="0.2">
      <c r="A234" s="105"/>
      <c r="B234" s="140"/>
      <c r="C234" s="33" t="s">
        <v>205</v>
      </c>
      <c r="D234" s="33" t="s">
        <v>131</v>
      </c>
      <c r="E234" s="34" t="s">
        <v>716</v>
      </c>
      <c r="F234" s="7" t="s">
        <v>717</v>
      </c>
      <c r="G234" s="35" t="s">
        <v>134</v>
      </c>
      <c r="H234" s="36">
        <v>13.6</v>
      </c>
      <c r="I234" s="1"/>
      <c r="J234" s="6">
        <f>ROUND(I234*H234,2)</f>
        <v>0</v>
      </c>
      <c r="K234" s="151" t="s">
        <v>1</v>
      </c>
      <c r="L234" s="17"/>
      <c r="M234" s="8" t="s">
        <v>1</v>
      </c>
      <c r="N234" s="9" t="s">
        <v>33</v>
      </c>
      <c r="O234" s="10">
        <v>0</v>
      </c>
      <c r="P234" s="10">
        <f>O234*H234</f>
        <v>0</v>
      </c>
      <c r="Q234" s="10">
        <v>0</v>
      </c>
      <c r="R234" s="10">
        <f>Q234*H234</f>
        <v>0</v>
      </c>
      <c r="S234" s="10">
        <v>0</v>
      </c>
      <c r="T234" s="11">
        <f>S234*H234</f>
        <v>0</v>
      </c>
      <c r="U234" s="105"/>
      <c r="V234" s="17"/>
      <c r="W234" s="17"/>
      <c r="X234" s="17"/>
      <c r="Y234" s="17"/>
      <c r="Z234" s="17"/>
      <c r="AA234" s="17"/>
      <c r="AB234" s="17"/>
      <c r="AC234" s="105"/>
      <c r="AD234" s="105"/>
      <c r="AE234" s="105"/>
      <c r="AR234" s="12" t="s">
        <v>135</v>
      </c>
      <c r="AT234" s="12" t="s">
        <v>131</v>
      </c>
      <c r="AU234" s="12" t="s">
        <v>74</v>
      </c>
      <c r="AY234" s="13" t="s">
        <v>130</v>
      </c>
      <c r="BE234" s="14">
        <f>IF(N234="základní",J234,0)</f>
        <v>0</v>
      </c>
      <c r="BF234" s="14">
        <f>IF(N234="snížená",J234,0)</f>
        <v>0</v>
      </c>
      <c r="BG234" s="14">
        <f>IF(N234="zákl. přenesená",J234,0)</f>
        <v>0</v>
      </c>
      <c r="BH234" s="14">
        <f>IF(N234="sníž. přenesená",J234,0)</f>
        <v>0</v>
      </c>
      <c r="BI234" s="14">
        <f>IF(N234="nulová",J234,0)</f>
        <v>0</v>
      </c>
      <c r="BJ234" s="13" t="s">
        <v>74</v>
      </c>
      <c r="BK234" s="14">
        <f>ROUND(I234*H234,2)</f>
        <v>0</v>
      </c>
      <c r="BL234" s="13" t="s">
        <v>135</v>
      </c>
      <c r="BM234" s="12" t="s">
        <v>275</v>
      </c>
    </row>
    <row r="235" spans="1:65" s="5" customFormat="1" ht="19.5" x14ac:dyDescent="0.2">
      <c r="A235" s="105"/>
      <c r="B235" s="140"/>
      <c r="C235" s="17"/>
      <c r="D235" s="141" t="s">
        <v>148</v>
      </c>
      <c r="E235" s="17"/>
      <c r="F235" s="142" t="s">
        <v>718</v>
      </c>
      <c r="G235" s="17"/>
      <c r="H235" s="17"/>
      <c r="I235" s="17"/>
      <c r="J235" s="17"/>
      <c r="K235" s="143"/>
      <c r="L235" s="17"/>
      <c r="M235" s="15"/>
      <c r="N235" s="16"/>
      <c r="O235" s="17"/>
      <c r="P235" s="17"/>
      <c r="Q235" s="17"/>
      <c r="R235" s="17"/>
      <c r="S235" s="17"/>
      <c r="T235" s="18"/>
      <c r="U235" s="105"/>
      <c r="V235" s="17"/>
      <c r="W235" s="17"/>
      <c r="X235" s="17"/>
      <c r="Y235" s="17"/>
      <c r="Z235" s="17"/>
      <c r="AA235" s="17"/>
      <c r="AB235" s="17"/>
      <c r="AC235" s="105"/>
      <c r="AD235" s="105"/>
      <c r="AE235" s="105"/>
      <c r="AT235" s="13" t="s">
        <v>148</v>
      </c>
      <c r="AU235" s="13" t="s">
        <v>74</v>
      </c>
    </row>
    <row r="236" spans="1:65" s="5" customFormat="1" ht="16.5" customHeight="1" x14ac:dyDescent="0.2">
      <c r="A236" s="105"/>
      <c r="B236" s="140"/>
      <c r="C236" s="33" t="s">
        <v>277</v>
      </c>
      <c r="D236" s="33" t="s">
        <v>131</v>
      </c>
      <c r="E236" s="34" t="s">
        <v>187</v>
      </c>
      <c r="F236" s="7" t="s">
        <v>719</v>
      </c>
      <c r="G236" s="35" t="s">
        <v>134</v>
      </c>
      <c r="H236" s="36">
        <v>16.966000000000001</v>
      </c>
      <c r="I236" s="1"/>
      <c r="J236" s="6">
        <f>ROUND(I236*H236,2)</f>
        <v>0</v>
      </c>
      <c r="K236" s="151" t="s">
        <v>1</v>
      </c>
      <c r="L236" s="17"/>
      <c r="M236" s="8" t="s">
        <v>1</v>
      </c>
      <c r="N236" s="9" t="s">
        <v>33</v>
      </c>
      <c r="O236" s="10">
        <v>0</v>
      </c>
      <c r="P236" s="10">
        <f>O236*H236</f>
        <v>0</v>
      </c>
      <c r="Q236" s="10">
        <v>0</v>
      </c>
      <c r="R236" s="10">
        <f>Q236*H236</f>
        <v>0</v>
      </c>
      <c r="S236" s="10">
        <v>0</v>
      </c>
      <c r="T236" s="11">
        <f>S236*H236</f>
        <v>0</v>
      </c>
      <c r="U236" s="105"/>
      <c r="V236" s="17"/>
      <c r="W236" s="17"/>
      <c r="X236" s="17"/>
      <c r="Y236" s="17"/>
      <c r="Z236" s="17"/>
      <c r="AA236" s="17"/>
      <c r="AB236" s="17"/>
      <c r="AC236" s="105"/>
      <c r="AD236" s="105"/>
      <c r="AE236" s="105"/>
      <c r="AR236" s="12" t="s">
        <v>135</v>
      </c>
      <c r="AT236" s="12" t="s">
        <v>131</v>
      </c>
      <c r="AU236" s="12" t="s">
        <v>74</v>
      </c>
      <c r="AY236" s="13" t="s">
        <v>130</v>
      </c>
      <c r="BE236" s="14">
        <f>IF(N236="základní",J236,0)</f>
        <v>0</v>
      </c>
      <c r="BF236" s="14">
        <f>IF(N236="snížená",J236,0)</f>
        <v>0</v>
      </c>
      <c r="BG236" s="14">
        <f>IF(N236="zákl. přenesená",J236,0)</f>
        <v>0</v>
      </c>
      <c r="BH236" s="14">
        <f>IF(N236="sníž. přenesená",J236,0)</f>
        <v>0</v>
      </c>
      <c r="BI236" s="14">
        <f>IF(N236="nulová",J236,0)</f>
        <v>0</v>
      </c>
      <c r="BJ236" s="13" t="s">
        <v>74</v>
      </c>
      <c r="BK236" s="14">
        <f>ROUND(I236*H236,2)</f>
        <v>0</v>
      </c>
      <c r="BL236" s="13" t="s">
        <v>135</v>
      </c>
      <c r="BM236" s="12" t="s">
        <v>279</v>
      </c>
    </row>
    <row r="237" spans="1:65" s="5" customFormat="1" ht="19.5" x14ac:dyDescent="0.2">
      <c r="A237" s="105"/>
      <c r="B237" s="140"/>
      <c r="C237" s="17"/>
      <c r="D237" s="141" t="s">
        <v>720</v>
      </c>
      <c r="E237" s="17"/>
      <c r="F237" s="142" t="s">
        <v>1242</v>
      </c>
      <c r="G237" s="17"/>
      <c r="H237" s="17"/>
      <c r="I237" s="17"/>
      <c r="J237" s="17"/>
      <c r="K237" s="143"/>
      <c r="L237" s="17"/>
      <c r="M237" s="15"/>
      <c r="N237" s="16"/>
      <c r="O237" s="17"/>
      <c r="P237" s="17"/>
      <c r="Q237" s="17"/>
      <c r="R237" s="17"/>
      <c r="S237" s="17"/>
      <c r="T237" s="18"/>
      <c r="U237" s="105"/>
      <c r="V237" s="17"/>
      <c r="W237" s="17"/>
      <c r="X237" s="17"/>
      <c r="Y237" s="17"/>
      <c r="Z237" s="17"/>
      <c r="AA237" s="17"/>
      <c r="AB237" s="17"/>
      <c r="AC237" s="105"/>
      <c r="AD237" s="105"/>
      <c r="AE237" s="105"/>
      <c r="AT237" s="13" t="s">
        <v>720</v>
      </c>
      <c r="AU237" s="13" t="s">
        <v>74</v>
      </c>
    </row>
    <row r="238" spans="1:65" s="5" customFormat="1" ht="16.5" customHeight="1" x14ac:dyDescent="0.2">
      <c r="A238" s="105"/>
      <c r="B238" s="140"/>
      <c r="C238" s="33" t="s">
        <v>206</v>
      </c>
      <c r="D238" s="33" t="s">
        <v>131</v>
      </c>
      <c r="E238" s="34" t="s">
        <v>232</v>
      </c>
      <c r="F238" s="7" t="s">
        <v>722</v>
      </c>
      <c r="G238" s="35" t="s">
        <v>723</v>
      </c>
      <c r="H238" s="36">
        <v>0.109</v>
      </c>
      <c r="I238" s="1"/>
      <c r="J238" s="6">
        <f>ROUND(I238*H238,2)</f>
        <v>0</v>
      </c>
      <c r="K238" s="151" t="s">
        <v>1</v>
      </c>
      <c r="L238" s="17"/>
      <c r="M238" s="8" t="s">
        <v>1</v>
      </c>
      <c r="N238" s="9" t="s">
        <v>33</v>
      </c>
      <c r="O238" s="10">
        <v>0</v>
      </c>
      <c r="P238" s="10">
        <f>O238*H238</f>
        <v>0</v>
      </c>
      <c r="Q238" s="10">
        <v>0</v>
      </c>
      <c r="R238" s="10">
        <f>Q238*H238</f>
        <v>0</v>
      </c>
      <c r="S238" s="10">
        <v>0</v>
      </c>
      <c r="T238" s="11">
        <f>S238*H238</f>
        <v>0</v>
      </c>
      <c r="U238" s="105"/>
      <c r="V238" s="17"/>
      <c r="W238" s="17"/>
      <c r="X238" s="17"/>
      <c r="Y238" s="17"/>
      <c r="Z238" s="17"/>
      <c r="AA238" s="17"/>
      <c r="AB238" s="17"/>
      <c r="AC238" s="105"/>
      <c r="AD238" s="105"/>
      <c r="AE238" s="105"/>
      <c r="AR238" s="12" t="s">
        <v>135</v>
      </c>
      <c r="AT238" s="12" t="s">
        <v>131</v>
      </c>
      <c r="AU238" s="12" t="s">
        <v>74</v>
      </c>
      <c r="AY238" s="13" t="s">
        <v>130</v>
      </c>
      <c r="BE238" s="14">
        <f>IF(N238="základní",J238,0)</f>
        <v>0</v>
      </c>
      <c r="BF238" s="14">
        <f>IF(N238="snížená",J238,0)</f>
        <v>0</v>
      </c>
      <c r="BG238" s="14">
        <f>IF(N238="zákl. přenesená",J238,0)</f>
        <v>0</v>
      </c>
      <c r="BH238" s="14">
        <f>IF(N238="sníž. přenesená",J238,0)</f>
        <v>0</v>
      </c>
      <c r="BI238" s="14">
        <f>IF(N238="nulová",J238,0)</f>
        <v>0</v>
      </c>
      <c r="BJ238" s="13" t="s">
        <v>74</v>
      </c>
      <c r="BK238" s="14">
        <f>ROUND(I238*H238,2)</f>
        <v>0</v>
      </c>
      <c r="BL238" s="13" t="s">
        <v>135</v>
      </c>
      <c r="BM238" s="12" t="s">
        <v>282</v>
      </c>
    </row>
    <row r="239" spans="1:65" s="5" customFormat="1" ht="16.5" customHeight="1" x14ac:dyDescent="0.2">
      <c r="A239" s="105"/>
      <c r="B239" s="140"/>
      <c r="C239" s="33" t="s">
        <v>283</v>
      </c>
      <c r="D239" s="33" t="s">
        <v>131</v>
      </c>
      <c r="E239" s="34" t="s">
        <v>246</v>
      </c>
      <c r="F239" s="7" t="s">
        <v>724</v>
      </c>
      <c r="G239" s="35" t="s">
        <v>723</v>
      </c>
      <c r="H239" s="36">
        <v>0.109</v>
      </c>
      <c r="I239" s="1"/>
      <c r="J239" s="6">
        <f>ROUND(I239*H239,2)</f>
        <v>0</v>
      </c>
      <c r="K239" s="151" t="s">
        <v>1</v>
      </c>
      <c r="L239" s="17"/>
      <c r="M239" s="8" t="s">
        <v>1</v>
      </c>
      <c r="N239" s="9" t="s">
        <v>33</v>
      </c>
      <c r="O239" s="10">
        <v>0</v>
      </c>
      <c r="P239" s="10">
        <f>O239*H239</f>
        <v>0</v>
      </c>
      <c r="Q239" s="10">
        <v>0</v>
      </c>
      <c r="R239" s="10">
        <f>Q239*H239</f>
        <v>0</v>
      </c>
      <c r="S239" s="10">
        <v>0</v>
      </c>
      <c r="T239" s="11">
        <f>S239*H239</f>
        <v>0</v>
      </c>
      <c r="U239" s="105"/>
      <c r="V239" s="17"/>
      <c r="W239" s="17"/>
      <c r="X239" s="17"/>
      <c r="Y239" s="17"/>
      <c r="Z239" s="17"/>
      <c r="AA239" s="17"/>
      <c r="AB239" s="17"/>
      <c r="AC239" s="105"/>
      <c r="AD239" s="105"/>
      <c r="AE239" s="105"/>
      <c r="AR239" s="12" t="s">
        <v>135</v>
      </c>
      <c r="AT239" s="12" t="s">
        <v>131</v>
      </c>
      <c r="AU239" s="12" t="s">
        <v>74</v>
      </c>
      <c r="AY239" s="13" t="s">
        <v>130</v>
      </c>
      <c r="BE239" s="14">
        <f>IF(N239="základní",J239,0)</f>
        <v>0</v>
      </c>
      <c r="BF239" s="14">
        <f>IF(N239="snížená",J239,0)</f>
        <v>0</v>
      </c>
      <c r="BG239" s="14">
        <f>IF(N239="zákl. přenesená",J239,0)</f>
        <v>0</v>
      </c>
      <c r="BH239" s="14">
        <f>IF(N239="sníž. přenesená",J239,0)</f>
        <v>0</v>
      </c>
      <c r="BI239" s="14">
        <f>IF(N239="nulová",J239,0)</f>
        <v>0</v>
      </c>
      <c r="BJ239" s="13" t="s">
        <v>74</v>
      </c>
      <c r="BK239" s="14">
        <f>ROUND(I239*H239,2)</f>
        <v>0</v>
      </c>
      <c r="BL239" s="13" t="s">
        <v>135</v>
      </c>
      <c r="BM239" s="12" t="s">
        <v>286</v>
      </c>
    </row>
    <row r="240" spans="1:65" s="5" customFormat="1" ht="16.5" customHeight="1" x14ac:dyDescent="0.2">
      <c r="A240" s="105"/>
      <c r="B240" s="140"/>
      <c r="C240" s="33" t="s">
        <v>210</v>
      </c>
      <c r="D240" s="33" t="s">
        <v>131</v>
      </c>
      <c r="E240" s="34" t="s">
        <v>728</v>
      </c>
      <c r="F240" s="7" t="s">
        <v>729</v>
      </c>
      <c r="G240" s="35" t="s">
        <v>134</v>
      </c>
      <c r="H240" s="36">
        <v>30</v>
      </c>
      <c r="I240" s="1"/>
      <c r="J240" s="6">
        <f>ROUND(I240*H240,2)</f>
        <v>0</v>
      </c>
      <c r="K240" s="151" t="s">
        <v>1</v>
      </c>
      <c r="L240" s="17"/>
      <c r="M240" s="8" t="s">
        <v>1</v>
      </c>
      <c r="N240" s="9" t="s">
        <v>33</v>
      </c>
      <c r="O240" s="10">
        <v>0</v>
      </c>
      <c r="P240" s="10">
        <f>O240*H240</f>
        <v>0</v>
      </c>
      <c r="Q240" s="10">
        <v>0</v>
      </c>
      <c r="R240" s="10">
        <f>Q240*H240</f>
        <v>0</v>
      </c>
      <c r="S240" s="10">
        <v>0</v>
      </c>
      <c r="T240" s="11">
        <f>S240*H240</f>
        <v>0</v>
      </c>
      <c r="U240" s="105"/>
      <c r="V240" s="17"/>
      <c r="W240" s="17"/>
      <c r="X240" s="17"/>
      <c r="Y240" s="17"/>
      <c r="Z240" s="17"/>
      <c r="AA240" s="17"/>
      <c r="AB240" s="17"/>
      <c r="AC240" s="105"/>
      <c r="AD240" s="105"/>
      <c r="AE240" s="105"/>
      <c r="AR240" s="12" t="s">
        <v>135</v>
      </c>
      <c r="AT240" s="12" t="s">
        <v>131</v>
      </c>
      <c r="AU240" s="12" t="s">
        <v>74</v>
      </c>
      <c r="AY240" s="13" t="s">
        <v>130</v>
      </c>
      <c r="BE240" s="14">
        <f>IF(N240="základní",J240,0)</f>
        <v>0</v>
      </c>
      <c r="BF240" s="14">
        <f>IF(N240="snížená",J240,0)</f>
        <v>0</v>
      </c>
      <c r="BG240" s="14">
        <f>IF(N240="zákl. přenesená",J240,0)</f>
        <v>0</v>
      </c>
      <c r="BH240" s="14">
        <f>IF(N240="sníž. přenesená",J240,0)</f>
        <v>0</v>
      </c>
      <c r="BI240" s="14">
        <f>IF(N240="nulová",J240,0)</f>
        <v>0</v>
      </c>
      <c r="BJ240" s="13" t="s">
        <v>74</v>
      </c>
      <c r="BK240" s="14">
        <f>ROUND(I240*H240,2)</f>
        <v>0</v>
      </c>
      <c r="BL240" s="13" t="s">
        <v>135</v>
      </c>
      <c r="BM240" s="12" t="s">
        <v>290</v>
      </c>
    </row>
    <row r="241" spans="1:65" s="5" customFormat="1" ht="16.5" customHeight="1" x14ac:dyDescent="0.2">
      <c r="A241" s="105"/>
      <c r="B241" s="140"/>
      <c r="C241" s="33" t="s">
        <v>291</v>
      </c>
      <c r="D241" s="33" t="s">
        <v>131</v>
      </c>
      <c r="E241" s="34" t="s">
        <v>735</v>
      </c>
      <c r="F241" s="7" t="s">
        <v>736</v>
      </c>
      <c r="G241" s="35" t="s">
        <v>134</v>
      </c>
      <c r="H241" s="36">
        <v>25</v>
      </c>
      <c r="I241" s="1"/>
      <c r="J241" s="6">
        <f>ROUND(I241*H241,2)</f>
        <v>0</v>
      </c>
      <c r="K241" s="151" t="s">
        <v>1</v>
      </c>
      <c r="L241" s="17"/>
      <c r="M241" s="8" t="s">
        <v>1</v>
      </c>
      <c r="N241" s="9" t="s">
        <v>33</v>
      </c>
      <c r="O241" s="10">
        <v>0</v>
      </c>
      <c r="P241" s="10">
        <f>O241*H241</f>
        <v>0</v>
      </c>
      <c r="Q241" s="10">
        <v>0</v>
      </c>
      <c r="R241" s="10">
        <f>Q241*H241</f>
        <v>0</v>
      </c>
      <c r="S241" s="10">
        <v>0</v>
      </c>
      <c r="T241" s="11">
        <f>S241*H241</f>
        <v>0</v>
      </c>
      <c r="U241" s="105"/>
      <c r="V241" s="17"/>
      <c r="W241" s="17"/>
      <c r="X241" s="17"/>
      <c r="Y241" s="17"/>
      <c r="Z241" s="17"/>
      <c r="AA241" s="17"/>
      <c r="AB241" s="17"/>
      <c r="AC241" s="105"/>
      <c r="AD241" s="105"/>
      <c r="AE241" s="105"/>
      <c r="AR241" s="12" t="s">
        <v>135</v>
      </c>
      <c r="AT241" s="12" t="s">
        <v>131</v>
      </c>
      <c r="AU241" s="12" t="s">
        <v>74</v>
      </c>
      <c r="AY241" s="13" t="s">
        <v>130</v>
      </c>
      <c r="BE241" s="14">
        <f>IF(N241="základní",J241,0)</f>
        <v>0</v>
      </c>
      <c r="BF241" s="14">
        <f>IF(N241="snížená",J241,0)</f>
        <v>0</v>
      </c>
      <c r="BG241" s="14">
        <f>IF(N241="zákl. přenesená",J241,0)</f>
        <v>0</v>
      </c>
      <c r="BH241" s="14">
        <f>IF(N241="sníž. přenesená",J241,0)</f>
        <v>0</v>
      </c>
      <c r="BI241" s="14">
        <f>IF(N241="nulová",J241,0)</f>
        <v>0</v>
      </c>
      <c r="BJ241" s="13" t="s">
        <v>74</v>
      </c>
      <c r="BK241" s="14">
        <f>ROUND(I241*H241,2)</f>
        <v>0</v>
      </c>
      <c r="BL241" s="13" t="s">
        <v>135</v>
      </c>
      <c r="BM241" s="12" t="s">
        <v>292</v>
      </c>
    </row>
    <row r="242" spans="1:65" s="5" customFormat="1" ht="19.5" x14ac:dyDescent="0.2">
      <c r="A242" s="105"/>
      <c r="B242" s="140"/>
      <c r="C242" s="17"/>
      <c r="D242" s="141" t="s">
        <v>148</v>
      </c>
      <c r="E242" s="17"/>
      <c r="F242" s="142" t="s">
        <v>737</v>
      </c>
      <c r="G242" s="17"/>
      <c r="H242" s="17"/>
      <c r="I242" s="17"/>
      <c r="J242" s="17"/>
      <c r="K242" s="143"/>
      <c r="L242" s="17"/>
      <c r="M242" s="15"/>
      <c r="N242" s="16"/>
      <c r="O242" s="17"/>
      <c r="P242" s="17"/>
      <c r="Q242" s="17"/>
      <c r="R242" s="17"/>
      <c r="S242" s="17"/>
      <c r="T242" s="18"/>
      <c r="U242" s="105"/>
      <c r="V242" s="17"/>
      <c r="W242" s="17"/>
      <c r="X242" s="17"/>
      <c r="Y242" s="17"/>
      <c r="Z242" s="17"/>
      <c r="AA242" s="17"/>
      <c r="AB242" s="17"/>
      <c r="AC242" s="105"/>
      <c r="AD242" s="105"/>
      <c r="AE242" s="105"/>
      <c r="AT242" s="13" t="s">
        <v>148</v>
      </c>
      <c r="AU242" s="13" t="s">
        <v>74</v>
      </c>
    </row>
    <row r="243" spans="1:65" s="5" customFormat="1" ht="16.5" customHeight="1" x14ac:dyDescent="0.2">
      <c r="A243" s="105"/>
      <c r="B243" s="140"/>
      <c r="C243" s="33" t="s">
        <v>211</v>
      </c>
      <c r="D243" s="33" t="s">
        <v>131</v>
      </c>
      <c r="E243" s="34" t="s">
        <v>741</v>
      </c>
      <c r="F243" s="7" t="s">
        <v>742</v>
      </c>
      <c r="G243" s="35" t="s">
        <v>134</v>
      </c>
      <c r="H243" s="36">
        <v>25</v>
      </c>
      <c r="I243" s="1"/>
      <c r="J243" s="6">
        <f>ROUND(I243*H243,2)</f>
        <v>0</v>
      </c>
      <c r="K243" s="151" t="s">
        <v>1</v>
      </c>
      <c r="L243" s="17"/>
      <c r="M243" s="8" t="s">
        <v>1</v>
      </c>
      <c r="N243" s="9" t="s">
        <v>33</v>
      </c>
      <c r="O243" s="10">
        <v>0</v>
      </c>
      <c r="P243" s="10">
        <f>O243*H243</f>
        <v>0</v>
      </c>
      <c r="Q243" s="10">
        <v>0</v>
      </c>
      <c r="R243" s="10">
        <f>Q243*H243</f>
        <v>0</v>
      </c>
      <c r="S243" s="10">
        <v>0</v>
      </c>
      <c r="T243" s="11">
        <f>S243*H243</f>
        <v>0</v>
      </c>
      <c r="U243" s="105"/>
      <c r="V243" s="17"/>
      <c r="W243" s="17"/>
      <c r="X243" s="17"/>
      <c r="Y243" s="17"/>
      <c r="Z243" s="17"/>
      <c r="AA243" s="17"/>
      <c r="AB243" s="17"/>
      <c r="AC243" s="105"/>
      <c r="AD243" s="105"/>
      <c r="AE243" s="105"/>
      <c r="AR243" s="12" t="s">
        <v>135</v>
      </c>
      <c r="AT243" s="12" t="s">
        <v>131</v>
      </c>
      <c r="AU243" s="12" t="s">
        <v>74</v>
      </c>
      <c r="AY243" s="13" t="s">
        <v>130</v>
      </c>
      <c r="BE243" s="14">
        <f>IF(N243="základní",J243,0)</f>
        <v>0</v>
      </c>
      <c r="BF243" s="14">
        <f>IF(N243="snížená",J243,0)</f>
        <v>0</v>
      </c>
      <c r="BG243" s="14">
        <f>IF(N243="zákl. přenesená",J243,0)</f>
        <v>0</v>
      </c>
      <c r="BH243" s="14">
        <f>IF(N243="sníž. přenesená",J243,0)</f>
        <v>0</v>
      </c>
      <c r="BI243" s="14">
        <f>IF(N243="nulová",J243,0)</f>
        <v>0</v>
      </c>
      <c r="BJ243" s="13" t="s">
        <v>74</v>
      </c>
      <c r="BK243" s="14">
        <f>ROUND(I243*H243,2)</f>
        <v>0</v>
      </c>
      <c r="BL243" s="13" t="s">
        <v>135</v>
      </c>
      <c r="BM243" s="12" t="s">
        <v>297</v>
      </c>
    </row>
    <row r="244" spans="1:65" s="5" customFormat="1" ht="39" x14ac:dyDescent="0.2">
      <c r="A244" s="105"/>
      <c r="B244" s="140"/>
      <c r="C244" s="17"/>
      <c r="D244" s="141" t="s">
        <v>148</v>
      </c>
      <c r="E244" s="17"/>
      <c r="F244" s="142" t="s">
        <v>743</v>
      </c>
      <c r="G244" s="17"/>
      <c r="H244" s="17"/>
      <c r="I244" s="17"/>
      <c r="J244" s="17"/>
      <c r="K244" s="143"/>
      <c r="L244" s="17"/>
      <c r="M244" s="15"/>
      <c r="N244" s="16"/>
      <c r="O244" s="17"/>
      <c r="P244" s="17"/>
      <c r="Q244" s="17"/>
      <c r="R244" s="17"/>
      <c r="S244" s="17"/>
      <c r="T244" s="18"/>
      <c r="U244" s="105"/>
      <c r="V244" s="17"/>
      <c r="W244" s="17"/>
      <c r="X244" s="17"/>
      <c r="Y244" s="17"/>
      <c r="Z244" s="17"/>
      <c r="AA244" s="17"/>
      <c r="AB244" s="17"/>
      <c r="AC244" s="105"/>
      <c r="AD244" s="105"/>
      <c r="AE244" s="105"/>
      <c r="AT244" s="13" t="s">
        <v>148</v>
      </c>
      <c r="AU244" s="13" t="s">
        <v>74</v>
      </c>
    </row>
    <row r="245" spans="1:65" s="5" customFormat="1" ht="16.5" customHeight="1" x14ac:dyDescent="0.2">
      <c r="A245" s="105"/>
      <c r="B245" s="140"/>
      <c r="C245" s="33" t="s">
        <v>298</v>
      </c>
      <c r="D245" s="33" t="s">
        <v>131</v>
      </c>
      <c r="E245" s="34" t="s">
        <v>744</v>
      </c>
      <c r="F245" s="7" t="s">
        <v>745</v>
      </c>
      <c r="G245" s="35" t="s">
        <v>134</v>
      </c>
      <c r="H245" s="36">
        <v>2</v>
      </c>
      <c r="I245" s="1"/>
      <c r="J245" s="6">
        <f>ROUND(I245*H245,2)</f>
        <v>0</v>
      </c>
      <c r="K245" s="151" t="s">
        <v>1</v>
      </c>
      <c r="L245" s="17"/>
      <c r="M245" s="8" t="s">
        <v>1</v>
      </c>
      <c r="N245" s="9" t="s">
        <v>33</v>
      </c>
      <c r="O245" s="10">
        <v>0</v>
      </c>
      <c r="P245" s="10">
        <f>O245*H245</f>
        <v>0</v>
      </c>
      <c r="Q245" s="10">
        <v>0</v>
      </c>
      <c r="R245" s="10">
        <f>Q245*H245</f>
        <v>0</v>
      </c>
      <c r="S245" s="10">
        <v>0</v>
      </c>
      <c r="T245" s="11">
        <f>S245*H245</f>
        <v>0</v>
      </c>
      <c r="U245" s="105"/>
      <c r="V245" s="17"/>
      <c r="W245" s="17"/>
      <c r="X245" s="17"/>
      <c r="Y245" s="17"/>
      <c r="Z245" s="17"/>
      <c r="AA245" s="17"/>
      <c r="AB245" s="17"/>
      <c r="AC245" s="105"/>
      <c r="AD245" s="105"/>
      <c r="AE245" s="105"/>
      <c r="AR245" s="12" t="s">
        <v>135</v>
      </c>
      <c r="AT245" s="12" t="s">
        <v>131</v>
      </c>
      <c r="AU245" s="12" t="s">
        <v>74</v>
      </c>
      <c r="AY245" s="13" t="s">
        <v>130</v>
      </c>
      <c r="BE245" s="14">
        <f>IF(N245="základní",J245,0)</f>
        <v>0</v>
      </c>
      <c r="BF245" s="14">
        <f>IF(N245="snížená",J245,0)</f>
        <v>0</v>
      </c>
      <c r="BG245" s="14">
        <f>IF(N245="zákl. přenesená",J245,0)</f>
        <v>0</v>
      </c>
      <c r="BH245" s="14">
        <f>IF(N245="sníž. přenesená",J245,0)</f>
        <v>0</v>
      </c>
      <c r="BI245" s="14">
        <f>IF(N245="nulová",J245,0)</f>
        <v>0</v>
      </c>
      <c r="BJ245" s="13" t="s">
        <v>74</v>
      </c>
      <c r="BK245" s="14">
        <f>ROUND(I245*H245,2)</f>
        <v>0</v>
      </c>
      <c r="BL245" s="13" t="s">
        <v>135</v>
      </c>
      <c r="BM245" s="12" t="s">
        <v>301</v>
      </c>
    </row>
    <row r="246" spans="1:65" s="5" customFormat="1" ht="21.75" customHeight="1" x14ac:dyDescent="0.2">
      <c r="A246" s="105"/>
      <c r="B246" s="140"/>
      <c r="C246" s="33" t="s">
        <v>215</v>
      </c>
      <c r="D246" s="33" t="s">
        <v>131</v>
      </c>
      <c r="E246" s="34" t="s">
        <v>748</v>
      </c>
      <c r="F246" s="7" t="s">
        <v>749</v>
      </c>
      <c r="G246" s="35" t="s">
        <v>134</v>
      </c>
      <c r="H246" s="36">
        <v>30.3</v>
      </c>
      <c r="I246" s="1"/>
      <c r="J246" s="6">
        <f>ROUND(I246*H246,2)</f>
        <v>0</v>
      </c>
      <c r="K246" s="151" t="s">
        <v>1</v>
      </c>
      <c r="L246" s="17"/>
      <c r="M246" s="8" t="s">
        <v>1</v>
      </c>
      <c r="N246" s="9" t="s">
        <v>33</v>
      </c>
      <c r="O246" s="10">
        <v>0</v>
      </c>
      <c r="P246" s="10">
        <f>O246*H246</f>
        <v>0</v>
      </c>
      <c r="Q246" s="10">
        <v>0</v>
      </c>
      <c r="R246" s="10">
        <f>Q246*H246</f>
        <v>0</v>
      </c>
      <c r="S246" s="10">
        <v>0</v>
      </c>
      <c r="T246" s="11">
        <f>S246*H246</f>
        <v>0</v>
      </c>
      <c r="U246" s="105"/>
      <c r="V246" s="17"/>
      <c r="W246" s="17"/>
      <c r="X246" s="17"/>
      <c r="Y246" s="17"/>
      <c r="Z246" s="17"/>
      <c r="AA246" s="17"/>
      <c r="AB246" s="17"/>
      <c r="AC246" s="105"/>
      <c r="AD246" s="105"/>
      <c r="AE246" s="105"/>
      <c r="AR246" s="12" t="s">
        <v>135</v>
      </c>
      <c r="AT246" s="12" t="s">
        <v>131</v>
      </c>
      <c r="AU246" s="12" t="s">
        <v>74</v>
      </c>
      <c r="AY246" s="13" t="s">
        <v>130</v>
      </c>
      <c r="BE246" s="14">
        <f>IF(N246="základní",J246,0)</f>
        <v>0</v>
      </c>
      <c r="BF246" s="14">
        <f>IF(N246="snížená",J246,0)</f>
        <v>0</v>
      </c>
      <c r="BG246" s="14">
        <f>IF(N246="zákl. přenesená",J246,0)</f>
        <v>0</v>
      </c>
      <c r="BH246" s="14">
        <f>IF(N246="sníž. přenesená",J246,0)</f>
        <v>0</v>
      </c>
      <c r="BI246" s="14">
        <f>IF(N246="nulová",J246,0)</f>
        <v>0</v>
      </c>
      <c r="BJ246" s="13" t="s">
        <v>74</v>
      </c>
      <c r="BK246" s="14">
        <f>ROUND(I246*H246,2)</f>
        <v>0</v>
      </c>
      <c r="BL246" s="13" t="s">
        <v>135</v>
      </c>
      <c r="BM246" s="12" t="s">
        <v>417</v>
      </c>
    </row>
    <row r="247" spans="1:65" s="152" customFormat="1" x14ac:dyDescent="0.2">
      <c r="B247" s="153"/>
      <c r="C247" s="154"/>
      <c r="D247" s="141" t="s">
        <v>340</v>
      </c>
      <c r="E247" s="155" t="s">
        <v>1</v>
      </c>
      <c r="F247" s="156" t="s">
        <v>763</v>
      </c>
      <c r="G247" s="154"/>
      <c r="H247" s="157"/>
      <c r="I247" s="154"/>
      <c r="J247" s="154"/>
      <c r="K247" s="158"/>
      <c r="L247" s="154"/>
      <c r="M247" s="159"/>
      <c r="N247" s="154"/>
      <c r="O247" s="154"/>
      <c r="P247" s="154"/>
      <c r="Q247" s="154"/>
      <c r="R247" s="154"/>
      <c r="S247" s="154"/>
      <c r="T247" s="160"/>
      <c r="V247" s="154"/>
      <c r="W247" s="154"/>
      <c r="X247" s="154"/>
      <c r="Y247" s="154"/>
      <c r="Z247" s="154"/>
      <c r="AA247" s="154"/>
      <c r="AB247" s="154"/>
      <c r="AT247" s="161" t="s">
        <v>340</v>
      </c>
      <c r="AU247" s="161" t="s">
        <v>74</v>
      </c>
      <c r="AV247" s="152" t="s">
        <v>76</v>
      </c>
      <c r="AW247" s="152" t="s">
        <v>25</v>
      </c>
      <c r="AX247" s="152" t="s">
        <v>68</v>
      </c>
      <c r="AY247" s="161" t="s">
        <v>130</v>
      </c>
    </row>
    <row r="248" spans="1:65" s="162" customFormat="1" x14ac:dyDescent="0.2">
      <c r="B248" s="163"/>
      <c r="C248" s="164"/>
      <c r="D248" s="141" t="s">
        <v>340</v>
      </c>
      <c r="E248" s="165" t="s">
        <v>1</v>
      </c>
      <c r="F248" s="166" t="s">
        <v>342</v>
      </c>
      <c r="G248" s="164"/>
      <c r="H248" s="167">
        <v>30.3</v>
      </c>
      <c r="I248" s="164"/>
      <c r="J248" s="164"/>
      <c r="K248" s="168"/>
      <c r="L248" s="164"/>
      <c r="M248" s="169"/>
      <c r="N248" s="164"/>
      <c r="O248" s="164"/>
      <c r="P248" s="164"/>
      <c r="Q248" s="164"/>
      <c r="R248" s="164"/>
      <c r="S248" s="164"/>
      <c r="T248" s="170"/>
      <c r="V248" s="164"/>
      <c r="W248" s="164"/>
      <c r="X248" s="164"/>
      <c r="Y248" s="164"/>
      <c r="Z248" s="164"/>
      <c r="AA248" s="164"/>
      <c r="AB248" s="164"/>
      <c r="AT248" s="171" t="s">
        <v>340</v>
      </c>
      <c r="AU248" s="171" t="s">
        <v>74</v>
      </c>
      <c r="AV248" s="162" t="s">
        <v>135</v>
      </c>
      <c r="AW248" s="162" t="s">
        <v>25</v>
      </c>
      <c r="AX248" s="162" t="s">
        <v>74</v>
      </c>
      <c r="AY248" s="171" t="s">
        <v>130</v>
      </c>
    </row>
    <row r="249" spans="1:65" s="5" customFormat="1" ht="16.5" customHeight="1" x14ac:dyDescent="0.2">
      <c r="A249" s="105"/>
      <c r="B249" s="140"/>
      <c r="C249" s="33" t="s">
        <v>421</v>
      </c>
      <c r="D249" s="33" t="s">
        <v>131</v>
      </c>
      <c r="E249" s="34" t="s">
        <v>764</v>
      </c>
      <c r="F249" s="7" t="s">
        <v>726</v>
      </c>
      <c r="G249" s="35" t="s">
        <v>134</v>
      </c>
      <c r="H249" s="36">
        <v>68.001999999999995</v>
      </c>
      <c r="I249" s="1"/>
      <c r="J249" s="6">
        <f>ROUND(I249*H249,2)</f>
        <v>0</v>
      </c>
      <c r="K249" s="151" t="s">
        <v>1</v>
      </c>
      <c r="L249" s="17"/>
      <c r="M249" s="8" t="s">
        <v>1</v>
      </c>
      <c r="N249" s="9" t="s">
        <v>33</v>
      </c>
      <c r="O249" s="10">
        <v>0</v>
      </c>
      <c r="P249" s="10">
        <f>O249*H249</f>
        <v>0</v>
      </c>
      <c r="Q249" s="10">
        <v>0</v>
      </c>
      <c r="R249" s="10">
        <f>Q249*H249</f>
        <v>0</v>
      </c>
      <c r="S249" s="10">
        <v>0</v>
      </c>
      <c r="T249" s="11">
        <f>S249*H249</f>
        <v>0</v>
      </c>
      <c r="U249" s="105"/>
      <c r="V249" s="17"/>
      <c r="W249" s="17"/>
      <c r="X249" s="17"/>
      <c r="Y249" s="17"/>
      <c r="Z249" s="17"/>
      <c r="AA249" s="17"/>
      <c r="AB249" s="17"/>
      <c r="AC249" s="105"/>
      <c r="AD249" s="105"/>
      <c r="AE249" s="105"/>
      <c r="AR249" s="12" t="s">
        <v>135</v>
      </c>
      <c r="AT249" s="12" t="s">
        <v>131</v>
      </c>
      <c r="AU249" s="12" t="s">
        <v>74</v>
      </c>
      <c r="AY249" s="13" t="s">
        <v>130</v>
      </c>
      <c r="BE249" s="14">
        <f>IF(N249="základní",J249,0)</f>
        <v>0</v>
      </c>
      <c r="BF249" s="14">
        <f>IF(N249="snížená",J249,0)</f>
        <v>0</v>
      </c>
      <c r="BG249" s="14">
        <f>IF(N249="zákl. přenesená",J249,0)</f>
        <v>0</v>
      </c>
      <c r="BH249" s="14">
        <f>IF(N249="sníž. přenesená",J249,0)</f>
        <v>0</v>
      </c>
      <c r="BI249" s="14">
        <f>IF(N249="nulová",J249,0)</f>
        <v>0</v>
      </c>
      <c r="BJ249" s="13" t="s">
        <v>74</v>
      </c>
      <c r="BK249" s="14">
        <f>ROUND(I249*H249,2)</f>
        <v>0</v>
      </c>
      <c r="BL249" s="13" t="s">
        <v>135</v>
      </c>
      <c r="BM249" s="12" t="s">
        <v>420</v>
      </c>
    </row>
    <row r="250" spans="1:65" s="5" customFormat="1" ht="29.25" x14ac:dyDescent="0.2">
      <c r="A250" s="105"/>
      <c r="B250" s="140"/>
      <c r="C250" s="17"/>
      <c r="D250" s="141" t="s">
        <v>148</v>
      </c>
      <c r="E250" s="17"/>
      <c r="F250" s="142" t="s">
        <v>747</v>
      </c>
      <c r="G250" s="17"/>
      <c r="H250" s="17"/>
      <c r="I250" s="17"/>
      <c r="J250" s="17"/>
      <c r="K250" s="143"/>
      <c r="L250" s="17"/>
      <c r="M250" s="15"/>
      <c r="N250" s="16"/>
      <c r="O250" s="17"/>
      <c r="P250" s="17"/>
      <c r="Q250" s="17"/>
      <c r="R250" s="17"/>
      <c r="S250" s="17"/>
      <c r="T250" s="18"/>
      <c r="U250" s="105"/>
      <c r="V250" s="17"/>
      <c r="W250" s="17"/>
      <c r="X250" s="17"/>
      <c r="Y250" s="17"/>
      <c r="Z250" s="17"/>
      <c r="AA250" s="17"/>
      <c r="AB250" s="17"/>
      <c r="AC250" s="105"/>
      <c r="AD250" s="105"/>
      <c r="AE250" s="105"/>
      <c r="AT250" s="13" t="s">
        <v>148</v>
      </c>
      <c r="AU250" s="13" t="s">
        <v>74</v>
      </c>
    </row>
    <row r="251" spans="1:65" s="5" customFormat="1" ht="16.5" customHeight="1" x14ac:dyDescent="0.2">
      <c r="A251" s="105"/>
      <c r="B251" s="140"/>
      <c r="C251" s="33" t="s">
        <v>216</v>
      </c>
      <c r="D251" s="33" t="s">
        <v>131</v>
      </c>
      <c r="E251" s="34" t="s">
        <v>758</v>
      </c>
      <c r="F251" s="7" t="s">
        <v>759</v>
      </c>
      <c r="G251" s="35" t="s">
        <v>134</v>
      </c>
      <c r="H251" s="36">
        <v>15.218</v>
      </c>
      <c r="I251" s="1"/>
      <c r="J251" s="6">
        <f>ROUND(I251*H251,2)</f>
        <v>0</v>
      </c>
      <c r="K251" s="151" t="s">
        <v>1</v>
      </c>
      <c r="L251" s="17"/>
      <c r="M251" s="8" t="s">
        <v>1</v>
      </c>
      <c r="N251" s="9" t="s">
        <v>33</v>
      </c>
      <c r="O251" s="10">
        <v>0</v>
      </c>
      <c r="P251" s="10">
        <f>O251*H251</f>
        <v>0</v>
      </c>
      <c r="Q251" s="10">
        <v>0</v>
      </c>
      <c r="R251" s="10">
        <f>Q251*H251</f>
        <v>0</v>
      </c>
      <c r="S251" s="10">
        <v>0</v>
      </c>
      <c r="T251" s="11">
        <f>S251*H251</f>
        <v>0</v>
      </c>
      <c r="U251" s="105"/>
      <c r="V251" s="17"/>
      <c r="W251" s="17"/>
      <c r="X251" s="17"/>
      <c r="Y251" s="17"/>
      <c r="Z251" s="17"/>
      <c r="AA251" s="17"/>
      <c r="AB251" s="17"/>
      <c r="AC251" s="105"/>
      <c r="AD251" s="105"/>
      <c r="AE251" s="105"/>
      <c r="AR251" s="12" t="s">
        <v>135</v>
      </c>
      <c r="AT251" s="12" t="s">
        <v>131</v>
      </c>
      <c r="AU251" s="12" t="s">
        <v>74</v>
      </c>
      <c r="AY251" s="13" t="s">
        <v>130</v>
      </c>
      <c r="BE251" s="14">
        <f>IF(N251="základní",J251,0)</f>
        <v>0</v>
      </c>
      <c r="BF251" s="14">
        <f>IF(N251="snížená",J251,0)</f>
        <v>0</v>
      </c>
      <c r="BG251" s="14">
        <f>IF(N251="zákl. přenesená",J251,0)</f>
        <v>0</v>
      </c>
      <c r="BH251" s="14">
        <f>IF(N251="sníž. přenesená",J251,0)</f>
        <v>0</v>
      </c>
      <c r="BI251" s="14">
        <f>IF(N251="nulová",J251,0)</f>
        <v>0</v>
      </c>
      <c r="BJ251" s="13" t="s">
        <v>74</v>
      </c>
      <c r="BK251" s="14">
        <f>ROUND(I251*H251,2)</f>
        <v>0</v>
      </c>
      <c r="BL251" s="13" t="s">
        <v>135</v>
      </c>
      <c r="BM251" s="12" t="s">
        <v>423</v>
      </c>
    </row>
    <row r="252" spans="1:65" s="5" customFormat="1" x14ac:dyDescent="0.2">
      <c r="B252" s="177"/>
      <c r="C252" s="16"/>
      <c r="D252" s="178" t="s">
        <v>340</v>
      </c>
      <c r="E252" s="16"/>
      <c r="F252" s="200" t="s">
        <v>1243</v>
      </c>
      <c r="G252" s="16">
        <f>(2.27+3.36+0.49+1.1+1.53+1.1+1.02)*1.4</f>
        <v>15.217999999999998</v>
      </c>
      <c r="H252" s="16"/>
      <c r="I252" s="16"/>
      <c r="J252" s="16"/>
      <c r="K252" s="181"/>
      <c r="L252" s="52"/>
      <c r="M252" s="52"/>
      <c r="N252" s="52"/>
      <c r="O252" s="52"/>
      <c r="P252" s="52"/>
      <c r="Q252" s="52"/>
      <c r="R252" s="52"/>
      <c r="S252" s="128"/>
      <c r="V252" s="16"/>
      <c r="W252" s="16"/>
      <c r="X252" s="16"/>
      <c r="Y252" s="16"/>
      <c r="Z252" s="16"/>
      <c r="AA252" s="16"/>
      <c r="AB252" s="16"/>
      <c r="AZ252" s="126" t="s">
        <v>148</v>
      </c>
      <c r="BA252" s="126" t="s">
        <v>74</v>
      </c>
    </row>
    <row r="253" spans="1:65" s="5" customFormat="1" ht="16.5" customHeight="1" x14ac:dyDescent="0.2">
      <c r="A253" s="105"/>
      <c r="B253" s="140"/>
      <c r="C253" s="33" t="s">
        <v>426</v>
      </c>
      <c r="D253" s="33" t="s">
        <v>131</v>
      </c>
      <c r="E253" s="34" t="s">
        <v>765</v>
      </c>
      <c r="F253" s="7" t="s">
        <v>766</v>
      </c>
      <c r="G253" s="35" t="s">
        <v>134</v>
      </c>
      <c r="H253" s="36">
        <v>3.2610000000000001</v>
      </c>
      <c r="I253" s="1"/>
      <c r="J253" s="6">
        <f>ROUND(I253*H253,2)</f>
        <v>0</v>
      </c>
      <c r="K253" s="151" t="s">
        <v>1</v>
      </c>
      <c r="L253" s="17"/>
      <c r="M253" s="8" t="s">
        <v>1</v>
      </c>
      <c r="N253" s="9" t="s">
        <v>33</v>
      </c>
      <c r="O253" s="10">
        <v>0</v>
      </c>
      <c r="P253" s="10">
        <f>O253*H253</f>
        <v>0</v>
      </c>
      <c r="Q253" s="10">
        <v>0</v>
      </c>
      <c r="R253" s="10">
        <f>Q253*H253</f>
        <v>0</v>
      </c>
      <c r="S253" s="10">
        <v>0</v>
      </c>
      <c r="T253" s="11">
        <f>S253*H253</f>
        <v>0</v>
      </c>
      <c r="U253" s="105"/>
      <c r="V253" s="17"/>
      <c r="W253" s="17"/>
      <c r="X253" s="17"/>
      <c r="Y253" s="17"/>
      <c r="Z253" s="17"/>
      <c r="AA253" s="17"/>
      <c r="AB253" s="17"/>
      <c r="AC253" s="105"/>
      <c r="AD253" s="105"/>
      <c r="AE253" s="105"/>
      <c r="AR253" s="12" t="s">
        <v>135</v>
      </c>
      <c r="AT253" s="12" t="s">
        <v>131</v>
      </c>
      <c r="AU253" s="12" t="s">
        <v>74</v>
      </c>
      <c r="AY253" s="13" t="s">
        <v>130</v>
      </c>
      <c r="BE253" s="14">
        <f>IF(N253="základní",J253,0)</f>
        <v>0</v>
      </c>
      <c r="BF253" s="14">
        <f>IF(N253="snížená",J253,0)</f>
        <v>0</v>
      </c>
      <c r="BG253" s="14">
        <f>IF(N253="zákl. přenesená",J253,0)</f>
        <v>0</v>
      </c>
      <c r="BH253" s="14">
        <f>IF(N253="sníž. přenesená",J253,0)</f>
        <v>0</v>
      </c>
      <c r="BI253" s="14">
        <f>IF(N253="nulová",J253,0)</f>
        <v>0</v>
      </c>
      <c r="BJ253" s="13" t="s">
        <v>74</v>
      </c>
      <c r="BK253" s="14">
        <f>ROUND(I253*H253,2)</f>
        <v>0</v>
      </c>
      <c r="BL253" s="13" t="s">
        <v>135</v>
      </c>
      <c r="BM253" s="12" t="s">
        <v>425</v>
      </c>
    </row>
    <row r="254" spans="1:65" s="5" customFormat="1" x14ac:dyDescent="0.2">
      <c r="B254" s="177"/>
      <c r="C254" s="16"/>
      <c r="D254" s="178" t="s">
        <v>340</v>
      </c>
      <c r="E254" s="16"/>
      <c r="F254" s="200" t="s">
        <v>1244</v>
      </c>
      <c r="G254" s="16"/>
      <c r="H254" s="16">
        <f>(2.27+3.36+0.49+1.1+1.53+1.1+1.02)*0.3</f>
        <v>3.2609999999999997</v>
      </c>
      <c r="I254" s="16"/>
      <c r="J254" s="16"/>
      <c r="K254" s="181"/>
      <c r="L254" s="52"/>
      <c r="M254" s="52"/>
      <c r="N254" s="52"/>
      <c r="O254" s="52"/>
      <c r="P254" s="52"/>
      <c r="Q254" s="52"/>
      <c r="R254" s="52"/>
      <c r="S254" s="128"/>
      <c r="V254" s="16"/>
      <c r="W254" s="16"/>
      <c r="X254" s="16"/>
      <c r="Y254" s="16"/>
      <c r="Z254" s="16"/>
      <c r="AA254" s="16"/>
      <c r="AB254" s="16"/>
      <c r="AZ254" s="126" t="s">
        <v>148</v>
      </c>
      <c r="BA254" s="126" t="s">
        <v>74</v>
      </c>
    </row>
    <row r="255" spans="1:65" s="20" customFormat="1" ht="25.9" customHeight="1" x14ac:dyDescent="0.2">
      <c r="B255" s="172"/>
      <c r="C255" s="23"/>
      <c r="D255" s="173" t="s">
        <v>67</v>
      </c>
      <c r="E255" s="174" t="s">
        <v>178</v>
      </c>
      <c r="F255" s="174" t="s">
        <v>767</v>
      </c>
      <c r="G255" s="23"/>
      <c r="H255" s="23"/>
      <c r="I255" s="23"/>
      <c r="J255" s="175">
        <f>BK255</f>
        <v>0</v>
      </c>
      <c r="K255" s="176"/>
      <c r="L255" s="23"/>
      <c r="M255" s="22"/>
      <c r="N255" s="23"/>
      <c r="O255" s="23"/>
      <c r="P255" s="24">
        <f>SUM(P258:P272)</f>
        <v>0</v>
      </c>
      <c r="Q255" s="23"/>
      <c r="R255" s="24">
        <f>SUM(R258:R272)</f>
        <v>0</v>
      </c>
      <c r="S255" s="23"/>
      <c r="T255" s="25">
        <f>SUM(T258:T272)</f>
        <v>0</v>
      </c>
      <c r="V255" s="23"/>
      <c r="W255" s="23"/>
      <c r="X255" s="23"/>
      <c r="Y255" s="23"/>
      <c r="Z255" s="23"/>
      <c r="AA255" s="23"/>
      <c r="AB255" s="23"/>
      <c r="AR255" s="26" t="s">
        <v>74</v>
      </c>
      <c r="AT255" s="27" t="s">
        <v>67</v>
      </c>
      <c r="AU255" s="27" t="s">
        <v>68</v>
      </c>
      <c r="AY255" s="26" t="s">
        <v>130</v>
      </c>
      <c r="BK255" s="28">
        <f>SUM(BK258:BK272)</f>
        <v>0</v>
      </c>
    </row>
    <row r="256" spans="1:65" s="5" customFormat="1" x14ac:dyDescent="0.2">
      <c r="B256" s="177"/>
      <c r="C256" s="16"/>
      <c r="D256" s="178" t="s">
        <v>340</v>
      </c>
      <c r="E256" s="16"/>
      <c r="F256" s="200" t="s">
        <v>1246</v>
      </c>
      <c r="G256" s="16"/>
      <c r="H256" s="180">
        <f>((2.42+0.73+0.66+1.16+0.74+2.72)*5.1)+((0.47+0.69+0.45+0.71+0.39+0.42+0.39+0.52)*5.1)+(1.26*0.34*0.5)</f>
        <v>63.811199999999992</v>
      </c>
      <c r="I256" s="16"/>
      <c r="J256" s="16"/>
      <c r="K256" s="181"/>
      <c r="L256" s="52"/>
      <c r="M256" s="52"/>
      <c r="N256" s="52"/>
      <c r="O256" s="52"/>
      <c r="P256" s="52"/>
      <c r="Q256" s="52"/>
      <c r="R256" s="52"/>
      <c r="S256" s="128"/>
      <c r="V256" s="16"/>
      <c r="W256" s="16"/>
      <c r="X256" s="16"/>
      <c r="Y256" s="16"/>
      <c r="Z256" s="16"/>
      <c r="AA256" s="16"/>
      <c r="AB256" s="16"/>
      <c r="AZ256" s="126" t="s">
        <v>148</v>
      </c>
      <c r="BA256" s="126" t="s">
        <v>74</v>
      </c>
    </row>
    <row r="257" spans="1:65" s="5" customFormat="1" ht="10.15" customHeight="1" x14ac:dyDescent="0.2">
      <c r="B257" s="177"/>
      <c r="C257" s="16"/>
      <c r="D257" s="178" t="s">
        <v>340</v>
      </c>
      <c r="E257" s="16"/>
      <c r="F257" s="200" t="s">
        <v>1247</v>
      </c>
      <c r="G257" s="16"/>
      <c r="H257" s="180">
        <f>(1.96+1.11+0.52+1.46+2.2)*1.42</f>
        <v>10.295</v>
      </c>
      <c r="I257" s="16"/>
      <c r="J257" s="16"/>
      <c r="K257" s="181"/>
      <c r="L257" s="52"/>
      <c r="M257" s="52"/>
      <c r="N257" s="52"/>
      <c r="O257" s="52"/>
      <c r="P257" s="52"/>
      <c r="Q257" s="52"/>
      <c r="R257" s="52"/>
      <c r="S257" s="128"/>
      <c r="V257" s="16"/>
      <c r="W257" s="16"/>
      <c r="X257" s="16"/>
      <c r="Y257" s="16"/>
      <c r="Z257" s="16"/>
      <c r="AA257" s="16"/>
      <c r="AB257" s="16"/>
      <c r="AZ257" s="126" t="s">
        <v>148</v>
      </c>
      <c r="BA257" s="126" t="s">
        <v>74</v>
      </c>
    </row>
    <row r="258" spans="1:65" s="5" customFormat="1" ht="16.5" customHeight="1" x14ac:dyDescent="0.2">
      <c r="A258" s="105"/>
      <c r="B258" s="140"/>
      <c r="C258" s="33" t="s">
        <v>219</v>
      </c>
      <c r="D258" s="33" t="s">
        <v>131</v>
      </c>
      <c r="E258" s="34" t="s">
        <v>713</v>
      </c>
      <c r="F258" s="7" t="s">
        <v>714</v>
      </c>
      <c r="G258" s="35" t="s">
        <v>134</v>
      </c>
      <c r="H258" s="36">
        <v>74.105999999999995</v>
      </c>
      <c r="I258" s="1"/>
      <c r="J258" s="6">
        <f>ROUND(I258*H258,2)</f>
        <v>0</v>
      </c>
      <c r="K258" s="151" t="s">
        <v>1</v>
      </c>
      <c r="L258" s="17"/>
      <c r="M258" s="8" t="s">
        <v>1</v>
      </c>
      <c r="N258" s="9" t="s">
        <v>33</v>
      </c>
      <c r="O258" s="10">
        <v>0</v>
      </c>
      <c r="P258" s="10">
        <f>O258*H258</f>
        <v>0</v>
      </c>
      <c r="Q258" s="10">
        <v>0</v>
      </c>
      <c r="R258" s="10">
        <f>Q258*H258</f>
        <v>0</v>
      </c>
      <c r="S258" s="10">
        <v>0</v>
      </c>
      <c r="T258" s="11">
        <f>S258*H258</f>
        <v>0</v>
      </c>
      <c r="U258" s="105"/>
      <c r="V258" s="17"/>
      <c r="W258" s="17"/>
      <c r="X258" s="17"/>
      <c r="Y258" s="17"/>
      <c r="Z258" s="17"/>
      <c r="AA258" s="17"/>
      <c r="AB258" s="17"/>
      <c r="AC258" s="105"/>
      <c r="AD258" s="105"/>
      <c r="AE258" s="105"/>
      <c r="AR258" s="12" t="s">
        <v>135</v>
      </c>
      <c r="AT258" s="12" t="s">
        <v>131</v>
      </c>
      <c r="AU258" s="12" t="s">
        <v>74</v>
      </c>
      <c r="AY258" s="13" t="s">
        <v>130</v>
      </c>
      <c r="BE258" s="14">
        <f>IF(N258="základní",J258,0)</f>
        <v>0</v>
      </c>
      <c r="BF258" s="14">
        <f>IF(N258="snížená",J258,0)</f>
        <v>0</v>
      </c>
      <c r="BG258" s="14">
        <f>IF(N258="zákl. přenesená",J258,0)</f>
        <v>0</v>
      </c>
      <c r="BH258" s="14">
        <f>IF(N258="sníž. přenesená",J258,0)</f>
        <v>0</v>
      </c>
      <c r="BI258" s="14">
        <f>IF(N258="nulová",J258,0)</f>
        <v>0</v>
      </c>
      <c r="BJ258" s="13" t="s">
        <v>74</v>
      </c>
      <c r="BK258" s="14">
        <f>ROUND(I258*H258,2)</f>
        <v>0</v>
      </c>
      <c r="BL258" s="13" t="s">
        <v>135</v>
      </c>
      <c r="BM258" s="12" t="s">
        <v>427</v>
      </c>
    </row>
    <row r="259" spans="1:65" s="152" customFormat="1" x14ac:dyDescent="0.2">
      <c r="B259" s="153"/>
      <c r="C259" s="154"/>
      <c r="D259" s="141" t="s">
        <v>340</v>
      </c>
      <c r="E259" s="155" t="s">
        <v>1</v>
      </c>
      <c r="F259" s="156" t="s">
        <v>768</v>
      </c>
      <c r="G259" s="154"/>
      <c r="H259" s="157"/>
      <c r="I259" s="154"/>
      <c r="J259" s="154"/>
      <c r="K259" s="158"/>
      <c r="L259" s="154"/>
      <c r="M259" s="159"/>
      <c r="N259" s="154"/>
      <c r="O259" s="154"/>
      <c r="P259" s="154"/>
      <c r="Q259" s="154"/>
      <c r="R259" s="154"/>
      <c r="S259" s="154"/>
      <c r="T259" s="160"/>
      <c r="V259" s="154"/>
      <c r="W259" s="154"/>
      <c r="X259" s="154"/>
      <c r="Y259" s="154"/>
      <c r="Z259" s="154"/>
      <c r="AA259" s="154"/>
      <c r="AB259" s="154"/>
      <c r="AT259" s="161" t="s">
        <v>340</v>
      </c>
      <c r="AU259" s="161" t="s">
        <v>74</v>
      </c>
      <c r="AV259" s="152" t="s">
        <v>76</v>
      </c>
      <c r="AW259" s="152" t="s">
        <v>25</v>
      </c>
      <c r="AX259" s="152" t="s">
        <v>68</v>
      </c>
      <c r="AY259" s="161" t="s">
        <v>130</v>
      </c>
    </row>
    <row r="260" spans="1:65" s="162" customFormat="1" x14ac:dyDescent="0.2">
      <c r="B260" s="163"/>
      <c r="C260" s="164"/>
      <c r="D260" s="141" t="s">
        <v>340</v>
      </c>
      <c r="E260" s="165" t="s">
        <v>1</v>
      </c>
      <c r="F260" s="166" t="s">
        <v>342</v>
      </c>
      <c r="G260" s="164"/>
      <c r="H260" s="167">
        <v>74.105999999999995</v>
      </c>
      <c r="I260" s="164"/>
      <c r="J260" s="164"/>
      <c r="K260" s="168"/>
      <c r="L260" s="164"/>
      <c r="M260" s="169"/>
      <c r="N260" s="164"/>
      <c r="O260" s="164"/>
      <c r="P260" s="164"/>
      <c r="Q260" s="164"/>
      <c r="R260" s="164"/>
      <c r="S260" s="164"/>
      <c r="T260" s="170"/>
      <c r="V260" s="164"/>
      <c r="W260" s="164"/>
      <c r="X260" s="164"/>
      <c r="Y260" s="164"/>
      <c r="Z260" s="164"/>
      <c r="AA260" s="164"/>
      <c r="AB260" s="164"/>
      <c r="AT260" s="171" t="s">
        <v>340</v>
      </c>
      <c r="AU260" s="171" t="s">
        <v>74</v>
      </c>
      <c r="AV260" s="162" t="s">
        <v>135</v>
      </c>
      <c r="AW260" s="162" t="s">
        <v>25</v>
      </c>
      <c r="AX260" s="162" t="s">
        <v>74</v>
      </c>
      <c r="AY260" s="171" t="s">
        <v>130</v>
      </c>
    </row>
    <row r="261" spans="1:65" s="5" customFormat="1" ht="16.5" customHeight="1" x14ac:dyDescent="0.2">
      <c r="A261" s="105"/>
      <c r="B261" s="140"/>
      <c r="C261" s="33" t="s">
        <v>431</v>
      </c>
      <c r="D261" s="33" t="s">
        <v>131</v>
      </c>
      <c r="E261" s="34" t="s">
        <v>716</v>
      </c>
      <c r="F261" s="7" t="s">
        <v>717</v>
      </c>
      <c r="G261" s="35" t="s">
        <v>134</v>
      </c>
      <c r="H261" s="36">
        <v>14.821</v>
      </c>
      <c r="I261" s="1"/>
      <c r="J261" s="6">
        <f>ROUND(I261*H261,2)</f>
        <v>0</v>
      </c>
      <c r="K261" s="151" t="s">
        <v>1</v>
      </c>
      <c r="L261" s="17"/>
      <c r="M261" s="8" t="s">
        <v>1</v>
      </c>
      <c r="N261" s="9" t="s">
        <v>33</v>
      </c>
      <c r="O261" s="10">
        <v>0</v>
      </c>
      <c r="P261" s="10">
        <f>O261*H261</f>
        <v>0</v>
      </c>
      <c r="Q261" s="10">
        <v>0</v>
      </c>
      <c r="R261" s="10">
        <f>Q261*H261</f>
        <v>0</v>
      </c>
      <c r="S261" s="10">
        <v>0</v>
      </c>
      <c r="T261" s="11">
        <f>S261*H261</f>
        <v>0</v>
      </c>
      <c r="U261" s="105"/>
      <c r="V261" s="17"/>
      <c r="W261" s="17"/>
      <c r="X261" s="17"/>
      <c r="Y261" s="17"/>
      <c r="Z261" s="17"/>
      <c r="AA261" s="17"/>
      <c r="AB261" s="17"/>
      <c r="AC261" s="105"/>
      <c r="AD261" s="105"/>
      <c r="AE261" s="105"/>
      <c r="AR261" s="12" t="s">
        <v>135</v>
      </c>
      <c r="AT261" s="12" t="s">
        <v>131</v>
      </c>
      <c r="AU261" s="12" t="s">
        <v>74</v>
      </c>
      <c r="AY261" s="13" t="s">
        <v>130</v>
      </c>
      <c r="BE261" s="14">
        <f>IF(N261="základní",J261,0)</f>
        <v>0</v>
      </c>
      <c r="BF261" s="14">
        <f>IF(N261="snížená",J261,0)</f>
        <v>0</v>
      </c>
      <c r="BG261" s="14">
        <f>IF(N261="zákl. přenesená",J261,0)</f>
        <v>0</v>
      </c>
      <c r="BH261" s="14">
        <f>IF(N261="sníž. přenesená",J261,0)</f>
        <v>0</v>
      </c>
      <c r="BI261" s="14">
        <f>IF(N261="nulová",J261,0)</f>
        <v>0</v>
      </c>
      <c r="BJ261" s="13" t="s">
        <v>74</v>
      </c>
      <c r="BK261" s="14">
        <f>ROUND(I261*H261,2)</f>
        <v>0</v>
      </c>
      <c r="BL261" s="13" t="s">
        <v>135</v>
      </c>
      <c r="BM261" s="12" t="s">
        <v>429</v>
      </c>
    </row>
    <row r="262" spans="1:65" s="5" customFormat="1" ht="19.5" x14ac:dyDescent="0.2">
      <c r="A262" s="105"/>
      <c r="B262" s="140"/>
      <c r="C262" s="17"/>
      <c r="D262" s="141" t="s">
        <v>148</v>
      </c>
      <c r="E262" s="17"/>
      <c r="F262" s="142" t="s">
        <v>718</v>
      </c>
      <c r="G262" s="17"/>
      <c r="H262" s="17"/>
      <c r="I262" s="17"/>
      <c r="J262" s="17"/>
      <c r="K262" s="143"/>
      <c r="L262" s="17"/>
      <c r="M262" s="15"/>
      <c r="N262" s="16"/>
      <c r="O262" s="17"/>
      <c r="P262" s="17"/>
      <c r="Q262" s="17"/>
      <c r="R262" s="17"/>
      <c r="S262" s="17"/>
      <c r="T262" s="18"/>
      <c r="U262" s="105"/>
      <c r="V262" s="17"/>
      <c r="W262" s="17"/>
      <c r="X262" s="17"/>
      <c r="Y262" s="17"/>
      <c r="Z262" s="17"/>
      <c r="AA262" s="17"/>
      <c r="AB262" s="17"/>
      <c r="AC262" s="105"/>
      <c r="AD262" s="105"/>
      <c r="AE262" s="105"/>
      <c r="AT262" s="13" t="s">
        <v>148</v>
      </c>
      <c r="AU262" s="13" t="s">
        <v>74</v>
      </c>
    </row>
    <row r="263" spans="1:65" s="5" customFormat="1" ht="16.5" customHeight="1" x14ac:dyDescent="0.2">
      <c r="A263" s="105"/>
      <c r="B263" s="140"/>
      <c r="C263" s="33" t="s">
        <v>222</v>
      </c>
      <c r="D263" s="33" t="s">
        <v>131</v>
      </c>
      <c r="E263" s="34" t="s">
        <v>187</v>
      </c>
      <c r="F263" s="7" t="s">
        <v>719</v>
      </c>
      <c r="G263" s="35" t="s">
        <v>134</v>
      </c>
      <c r="H263" s="36">
        <v>19.143000000000001</v>
      </c>
      <c r="I263" s="1"/>
      <c r="J263" s="6">
        <f>ROUND(I263*H263,2)</f>
        <v>0</v>
      </c>
      <c r="K263" s="151" t="s">
        <v>1</v>
      </c>
      <c r="L263" s="17"/>
      <c r="M263" s="8" t="s">
        <v>1</v>
      </c>
      <c r="N263" s="9" t="s">
        <v>33</v>
      </c>
      <c r="O263" s="10">
        <v>0</v>
      </c>
      <c r="P263" s="10">
        <f>O263*H263</f>
        <v>0</v>
      </c>
      <c r="Q263" s="10">
        <v>0</v>
      </c>
      <c r="R263" s="10">
        <f>Q263*H263</f>
        <v>0</v>
      </c>
      <c r="S263" s="10">
        <v>0</v>
      </c>
      <c r="T263" s="11">
        <f>S263*H263</f>
        <v>0</v>
      </c>
      <c r="U263" s="105"/>
      <c r="V263" s="17"/>
      <c r="W263" s="17"/>
      <c r="X263" s="17"/>
      <c r="Y263" s="17"/>
      <c r="Z263" s="17"/>
      <c r="AA263" s="17"/>
      <c r="AB263" s="17"/>
      <c r="AC263" s="105"/>
      <c r="AD263" s="105"/>
      <c r="AE263" s="105"/>
      <c r="AR263" s="12" t="s">
        <v>135</v>
      </c>
      <c r="AT263" s="12" t="s">
        <v>131</v>
      </c>
      <c r="AU263" s="12" t="s">
        <v>74</v>
      </c>
      <c r="AY263" s="13" t="s">
        <v>130</v>
      </c>
      <c r="BE263" s="14">
        <f>IF(N263="základní",J263,0)</f>
        <v>0</v>
      </c>
      <c r="BF263" s="14">
        <f>IF(N263="snížená",J263,0)</f>
        <v>0</v>
      </c>
      <c r="BG263" s="14">
        <f>IF(N263="zákl. přenesená",J263,0)</f>
        <v>0</v>
      </c>
      <c r="BH263" s="14">
        <f>IF(N263="sníž. přenesená",J263,0)</f>
        <v>0</v>
      </c>
      <c r="BI263" s="14">
        <f>IF(N263="nulová",J263,0)</f>
        <v>0</v>
      </c>
      <c r="BJ263" s="13" t="s">
        <v>74</v>
      </c>
      <c r="BK263" s="14">
        <f>ROUND(I263*H263,2)</f>
        <v>0</v>
      </c>
      <c r="BL263" s="13" t="s">
        <v>135</v>
      </c>
      <c r="BM263" s="12" t="s">
        <v>434</v>
      </c>
    </row>
    <row r="264" spans="1:65" s="5" customFormat="1" ht="19.5" x14ac:dyDescent="0.2">
      <c r="A264" s="105"/>
      <c r="B264" s="140"/>
      <c r="C264" s="17"/>
      <c r="D264" s="141" t="s">
        <v>720</v>
      </c>
      <c r="E264" s="17"/>
      <c r="F264" s="142" t="s">
        <v>1242</v>
      </c>
      <c r="G264" s="17"/>
      <c r="H264" s="17"/>
      <c r="I264" s="17"/>
      <c r="J264" s="17"/>
      <c r="K264" s="143"/>
      <c r="L264" s="17"/>
      <c r="M264" s="15"/>
      <c r="N264" s="16"/>
      <c r="O264" s="17"/>
      <c r="P264" s="17"/>
      <c r="Q264" s="17"/>
      <c r="R264" s="17"/>
      <c r="S264" s="17"/>
      <c r="T264" s="18"/>
      <c r="U264" s="105"/>
      <c r="V264" s="17"/>
      <c r="W264" s="17"/>
      <c r="X264" s="17"/>
      <c r="Y264" s="17"/>
      <c r="Z264" s="17"/>
      <c r="AA264" s="17"/>
      <c r="AB264" s="17"/>
      <c r="AC264" s="105"/>
      <c r="AD264" s="105"/>
      <c r="AE264" s="105"/>
      <c r="AT264" s="13" t="s">
        <v>720</v>
      </c>
      <c r="AU264" s="13" t="s">
        <v>74</v>
      </c>
    </row>
    <row r="265" spans="1:65" s="5" customFormat="1" ht="16.5" customHeight="1" x14ac:dyDescent="0.2">
      <c r="A265" s="105"/>
      <c r="B265" s="140"/>
      <c r="C265" s="33" t="s">
        <v>437</v>
      </c>
      <c r="D265" s="33" t="s">
        <v>131</v>
      </c>
      <c r="E265" s="34" t="s">
        <v>232</v>
      </c>
      <c r="F265" s="7" t="s">
        <v>722</v>
      </c>
      <c r="G265" s="35" t="s">
        <v>723</v>
      </c>
      <c r="H265" s="36">
        <v>0.11799999999999999</v>
      </c>
      <c r="I265" s="1"/>
      <c r="J265" s="6">
        <f>ROUND(I265*H265,2)</f>
        <v>0</v>
      </c>
      <c r="K265" s="151" t="s">
        <v>1</v>
      </c>
      <c r="L265" s="17"/>
      <c r="M265" s="8" t="s">
        <v>1</v>
      </c>
      <c r="N265" s="9" t="s">
        <v>33</v>
      </c>
      <c r="O265" s="10">
        <v>0</v>
      </c>
      <c r="P265" s="10">
        <f>O265*H265</f>
        <v>0</v>
      </c>
      <c r="Q265" s="10">
        <v>0</v>
      </c>
      <c r="R265" s="10">
        <f>Q265*H265</f>
        <v>0</v>
      </c>
      <c r="S265" s="10">
        <v>0</v>
      </c>
      <c r="T265" s="11">
        <f>S265*H265</f>
        <v>0</v>
      </c>
      <c r="U265" s="105"/>
      <c r="V265" s="17"/>
      <c r="W265" s="17"/>
      <c r="X265" s="17"/>
      <c r="Y265" s="17"/>
      <c r="Z265" s="17"/>
      <c r="AA265" s="17"/>
      <c r="AB265" s="17"/>
      <c r="AC265" s="105"/>
      <c r="AD265" s="105"/>
      <c r="AE265" s="105"/>
      <c r="AR265" s="12" t="s">
        <v>135</v>
      </c>
      <c r="AT265" s="12" t="s">
        <v>131</v>
      </c>
      <c r="AU265" s="12" t="s">
        <v>74</v>
      </c>
      <c r="AY265" s="13" t="s">
        <v>130</v>
      </c>
      <c r="BE265" s="14">
        <f>IF(N265="základní",J265,0)</f>
        <v>0</v>
      </c>
      <c r="BF265" s="14">
        <f>IF(N265="snížená",J265,0)</f>
        <v>0</v>
      </c>
      <c r="BG265" s="14">
        <f>IF(N265="zákl. přenesená",J265,0)</f>
        <v>0</v>
      </c>
      <c r="BH265" s="14">
        <f>IF(N265="sníž. přenesená",J265,0)</f>
        <v>0</v>
      </c>
      <c r="BI265" s="14">
        <f>IF(N265="nulová",J265,0)</f>
        <v>0</v>
      </c>
      <c r="BJ265" s="13" t="s">
        <v>74</v>
      </c>
      <c r="BK265" s="14">
        <f>ROUND(I265*H265,2)</f>
        <v>0</v>
      </c>
      <c r="BL265" s="13" t="s">
        <v>135</v>
      </c>
      <c r="BM265" s="12" t="s">
        <v>436</v>
      </c>
    </row>
    <row r="266" spans="1:65" s="5" customFormat="1" ht="16.5" customHeight="1" x14ac:dyDescent="0.2">
      <c r="A266" s="105"/>
      <c r="B266" s="140"/>
      <c r="C266" s="33" t="s">
        <v>224</v>
      </c>
      <c r="D266" s="33" t="s">
        <v>131</v>
      </c>
      <c r="E266" s="34" t="s">
        <v>246</v>
      </c>
      <c r="F266" s="7" t="s">
        <v>724</v>
      </c>
      <c r="G266" s="35" t="s">
        <v>723</v>
      </c>
      <c r="H266" s="36">
        <v>0.11799999999999999</v>
      </c>
      <c r="I266" s="1"/>
      <c r="J266" s="6">
        <f>ROUND(I266*H266,2)</f>
        <v>0</v>
      </c>
      <c r="K266" s="151" t="s">
        <v>1</v>
      </c>
      <c r="L266" s="17"/>
      <c r="M266" s="8" t="s">
        <v>1</v>
      </c>
      <c r="N266" s="9" t="s">
        <v>33</v>
      </c>
      <c r="O266" s="10">
        <v>0</v>
      </c>
      <c r="P266" s="10">
        <f>O266*H266</f>
        <v>0</v>
      </c>
      <c r="Q266" s="10">
        <v>0</v>
      </c>
      <c r="R266" s="10">
        <f>Q266*H266</f>
        <v>0</v>
      </c>
      <c r="S266" s="10">
        <v>0</v>
      </c>
      <c r="T266" s="11">
        <f>S266*H266</f>
        <v>0</v>
      </c>
      <c r="U266" s="105"/>
      <c r="V266" s="17"/>
      <c r="W266" s="17"/>
      <c r="X266" s="17"/>
      <c r="Y266" s="17"/>
      <c r="Z266" s="17"/>
      <c r="AA266" s="17"/>
      <c r="AB266" s="17"/>
      <c r="AC266" s="105"/>
      <c r="AD266" s="105"/>
      <c r="AE266" s="105"/>
      <c r="AR266" s="12" t="s">
        <v>135</v>
      </c>
      <c r="AT266" s="12" t="s">
        <v>131</v>
      </c>
      <c r="AU266" s="12" t="s">
        <v>74</v>
      </c>
      <c r="AY266" s="13" t="s">
        <v>130</v>
      </c>
      <c r="BE266" s="14">
        <f>IF(N266="základní",J266,0)</f>
        <v>0</v>
      </c>
      <c r="BF266" s="14">
        <f>IF(N266="snížená",J266,0)</f>
        <v>0</v>
      </c>
      <c r="BG266" s="14">
        <f>IF(N266="zákl. přenesená",J266,0)</f>
        <v>0</v>
      </c>
      <c r="BH266" s="14">
        <f>IF(N266="sníž. přenesená",J266,0)</f>
        <v>0</v>
      </c>
      <c r="BI266" s="14">
        <f>IF(N266="nulová",J266,0)</f>
        <v>0</v>
      </c>
      <c r="BJ266" s="13" t="s">
        <v>74</v>
      </c>
      <c r="BK266" s="14">
        <f>ROUND(I266*H266,2)</f>
        <v>0</v>
      </c>
      <c r="BL266" s="13" t="s">
        <v>135</v>
      </c>
      <c r="BM266" s="12" t="s">
        <v>438</v>
      </c>
    </row>
    <row r="267" spans="1:65" s="5" customFormat="1" ht="16.5" customHeight="1" x14ac:dyDescent="0.2">
      <c r="A267" s="105"/>
      <c r="B267" s="140"/>
      <c r="C267" s="33" t="s">
        <v>443</v>
      </c>
      <c r="D267" s="33" t="s">
        <v>131</v>
      </c>
      <c r="E267" s="34" t="s">
        <v>744</v>
      </c>
      <c r="F267" s="7" t="s">
        <v>745</v>
      </c>
      <c r="G267" s="35" t="s">
        <v>134</v>
      </c>
      <c r="H267" s="36">
        <v>2</v>
      </c>
      <c r="I267" s="1"/>
      <c r="J267" s="6">
        <f>ROUND(I267*H267,2)</f>
        <v>0</v>
      </c>
      <c r="K267" s="151" t="s">
        <v>1</v>
      </c>
      <c r="L267" s="17"/>
      <c r="M267" s="8" t="s">
        <v>1</v>
      </c>
      <c r="N267" s="9" t="s">
        <v>33</v>
      </c>
      <c r="O267" s="10">
        <v>0</v>
      </c>
      <c r="P267" s="10">
        <f>O267*H267</f>
        <v>0</v>
      </c>
      <c r="Q267" s="10">
        <v>0</v>
      </c>
      <c r="R267" s="10">
        <f>Q267*H267</f>
        <v>0</v>
      </c>
      <c r="S267" s="10">
        <v>0</v>
      </c>
      <c r="T267" s="11">
        <f>S267*H267</f>
        <v>0</v>
      </c>
      <c r="U267" s="105"/>
      <c r="V267" s="17"/>
      <c r="W267" s="17"/>
      <c r="X267" s="17"/>
      <c r="Y267" s="17"/>
      <c r="Z267" s="17"/>
      <c r="AA267" s="17"/>
      <c r="AB267" s="17"/>
      <c r="AC267" s="105"/>
      <c r="AD267" s="105"/>
      <c r="AE267" s="105"/>
      <c r="AR267" s="12" t="s">
        <v>135</v>
      </c>
      <c r="AT267" s="12" t="s">
        <v>131</v>
      </c>
      <c r="AU267" s="12" t="s">
        <v>74</v>
      </c>
      <c r="AY267" s="13" t="s">
        <v>130</v>
      </c>
      <c r="BE267" s="14">
        <f>IF(N267="základní",J267,0)</f>
        <v>0</v>
      </c>
      <c r="BF267" s="14">
        <f>IF(N267="snížená",J267,0)</f>
        <v>0</v>
      </c>
      <c r="BG267" s="14">
        <f>IF(N267="zákl. přenesená",J267,0)</f>
        <v>0</v>
      </c>
      <c r="BH267" s="14">
        <f>IF(N267="sníž. přenesená",J267,0)</f>
        <v>0</v>
      </c>
      <c r="BI267" s="14">
        <f>IF(N267="nulová",J267,0)</f>
        <v>0</v>
      </c>
      <c r="BJ267" s="13" t="s">
        <v>74</v>
      </c>
      <c r="BK267" s="14">
        <f>ROUND(I267*H267,2)</f>
        <v>0</v>
      </c>
      <c r="BL267" s="13" t="s">
        <v>135</v>
      </c>
      <c r="BM267" s="12" t="s">
        <v>441</v>
      </c>
    </row>
    <row r="268" spans="1:65" s="5" customFormat="1" ht="19.5" x14ac:dyDescent="0.2">
      <c r="A268" s="105"/>
      <c r="B268" s="140"/>
      <c r="C268" s="17"/>
      <c r="D268" s="141" t="s">
        <v>148</v>
      </c>
      <c r="E268" s="17"/>
      <c r="F268" s="142" t="s">
        <v>737</v>
      </c>
      <c r="G268" s="17"/>
      <c r="H268" s="17"/>
      <c r="I268" s="17"/>
      <c r="J268" s="17"/>
      <c r="K268" s="143"/>
      <c r="L268" s="17"/>
      <c r="M268" s="15"/>
      <c r="N268" s="16"/>
      <c r="O268" s="17"/>
      <c r="P268" s="17"/>
      <c r="Q268" s="17"/>
      <c r="R268" s="17"/>
      <c r="S268" s="17"/>
      <c r="T268" s="18"/>
      <c r="U268" s="105"/>
      <c r="V268" s="17"/>
      <c r="W268" s="17"/>
      <c r="X268" s="17"/>
      <c r="Y268" s="17"/>
      <c r="Z268" s="17"/>
      <c r="AA268" s="17"/>
      <c r="AB268" s="17"/>
      <c r="AC268" s="105"/>
      <c r="AD268" s="105"/>
      <c r="AE268" s="105"/>
      <c r="AT268" s="13" t="s">
        <v>148</v>
      </c>
      <c r="AU268" s="13" t="s">
        <v>74</v>
      </c>
    </row>
    <row r="269" spans="1:65" s="5" customFormat="1" ht="16.5" customHeight="1" x14ac:dyDescent="0.2">
      <c r="A269" s="105"/>
      <c r="B269" s="140"/>
      <c r="C269" s="33" t="s">
        <v>225</v>
      </c>
      <c r="D269" s="33" t="s">
        <v>131</v>
      </c>
      <c r="E269" s="34" t="s">
        <v>728</v>
      </c>
      <c r="F269" s="7" t="s">
        <v>729</v>
      </c>
      <c r="G269" s="35" t="s">
        <v>134</v>
      </c>
      <c r="H269" s="36">
        <v>30</v>
      </c>
      <c r="I269" s="1"/>
      <c r="J269" s="6">
        <f>ROUND(I269*H269,2)</f>
        <v>0</v>
      </c>
      <c r="K269" s="151" t="s">
        <v>1</v>
      </c>
      <c r="L269" s="17"/>
      <c r="M269" s="8" t="s">
        <v>1</v>
      </c>
      <c r="N269" s="9" t="s">
        <v>33</v>
      </c>
      <c r="O269" s="10">
        <v>0</v>
      </c>
      <c r="P269" s="10">
        <f>O269*H269</f>
        <v>0</v>
      </c>
      <c r="Q269" s="10">
        <v>0</v>
      </c>
      <c r="R269" s="10">
        <f>Q269*H269</f>
        <v>0</v>
      </c>
      <c r="S269" s="10">
        <v>0</v>
      </c>
      <c r="T269" s="11">
        <f>S269*H269</f>
        <v>0</v>
      </c>
      <c r="U269" s="105"/>
      <c r="V269" s="17"/>
      <c r="W269" s="17"/>
      <c r="X269" s="17"/>
      <c r="Y269" s="17"/>
      <c r="Z269" s="17"/>
      <c r="AA269" s="17"/>
      <c r="AB269" s="17"/>
      <c r="AC269" s="105"/>
      <c r="AD269" s="105"/>
      <c r="AE269" s="105"/>
      <c r="AR269" s="12" t="s">
        <v>135</v>
      </c>
      <c r="AT269" s="12" t="s">
        <v>131</v>
      </c>
      <c r="AU269" s="12" t="s">
        <v>74</v>
      </c>
      <c r="AY269" s="13" t="s">
        <v>130</v>
      </c>
      <c r="BE269" s="14">
        <f>IF(N269="základní",J269,0)</f>
        <v>0</v>
      </c>
      <c r="BF269" s="14">
        <f>IF(N269="snížená",J269,0)</f>
        <v>0</v>
      </c>
      <c r="BG269" s="14">
        <f>IF(N269="zákl. přenesená",J269,0)</f>
        <v>0</v>
      </c>
      <c r="BH269" s="14">
        <f>IF(N269="sníž. přenesená",J269,0)</f>
        <v>0</v>
      </c>
      <c r="BI269" s="14">
        <f>IF(N269="nulová",J269,0)</f>
        <v>0</v>
      </c>
      <c r="BJ269" s="13" t="s">
        <v>74</v>
      </c>
      <c r="BK269" s="14">
        <f>ROUND(I269*H269,2)</f>
        <v>0</v>
      </c>
      <c r="BL269" s="13" t="s">
        <v>135</v>
      </c>
      <c r="BM269" s="12" t="s">
        <v>446</v>
      </c>
    </row>
    <row r="270" spans="1:65" s="5" customFormat="1" ht="16.5" customHeight="1" x14ac:dyDescent="0.2">
      <c r="A270" s="105"/>
      <c r="B270" s="140"/>
      <c r="C270" s="33" t="s">
        <v>450</v>
      </c>
      <c r="D270" s="33" t="s">
        <v>131</v>
      </c>
      <c r="E270" s="34" t="s">
        <v>764</v>
      </c>
      <c r="F270" s="7" t="s">
        <v>726</v>
      </c>
      <c r="G270" s="35" t="s">
        <v>134</v>
      </c>
      <c r="H270" s="36">
        <v>74.105999999999995</v>
      </c>
      <c r="I270" s="1"/>
      <c r="J270" s="6">
        <f>ROUND(I270*H270,2)</f>
        <v>0</v>
      </c>
      <c r="K270" s="151" t="s">
        <v>1</v>
      </c>
      <c r="L270" s="17"/>
      <c r="M270" s="8" t="s">
        <v>1</v>
      </c>
      <c r="N270" s="9" t="s">
        <v>33</v>
      </c>
      <c r="O270" s="10">
        <v>0</v>
      </c>
      <c r="P270" s="10">
        <f>O270*H270</f>
        <v>0</v>
      </c>
      <c r="Q270" s="10">
        <v>0</v>
      </c>
      <c r="R270" s="10">
        <f>Q270*H270</f>
        <v>0</v>
      </c>
      <c r="S270" s="10">
        <v>0</v>
      </c>
      <c r="T270" s="11">
        <f>S270*H270</f>
        <v>0</v>
      </c>
      <c r="U270" s="105"/>
      <c r="V270" s="17"/>
      <c r="W270" s="17"/>
      <c r="X270" s="17"/>
      <c r="Y270" s="17"/>
      <c r="Z270" s="17"/>
      <c r="AA270" s="17"/>
      <c r="AB270" s="17"/>
      <c r="AC270" s="105"/>
      <c r="AD270" s="105"/>
      <c r="AE270" s="105"/>
      <c r="AR270" s="12" t="s">
        <v>135</v>
      </c>
      <c r="AT270" s="12" t="s">
        <v>131</v>
      </c>
      <c r="AU270" s="12" t="s">
        <v>74</v>
      </c>
      <c r="AY270" s="13" t="s">
        <v>130</v>
      </c>
      <c r="BE270" s="14">
        <f>IF(N270="základní",J270,0)</f>
        <v>0</v>
      </c>
      <c r="BF270" s="14">
        <f>IF(N270="snížená",J270,0)</f>
        <v>0</v>
      </c>
      <c r="BG270" s="14">
        <f>IF(N270="zákl. přenesená",J270,0)</f>
        <v>0</v>
      </c>
      <c r="BH270" s="14">
        <f>IF(N270="sníž. přenesená",J270,0)</f>
        <v>0</v>
      </c>
      <c r="BI270" s="14">
        <f>IF(N270="nulová",J270,0)</f>
        <v>0</v>
      </c>
      <c r="BJ270" s="13" t="s">
        <v>74</v>
      </c>
      <c r="BK270" s="14">
        <f>ROUND(I270*H270,2)</f>
        <v>0</v>
      </c>
      <c r="BL270" s="13" t="s">
        <v>135</v>
      </c>
      <c r="BM270" s="12" t="s">
        <v>448</v>
      </c>
    </row>
    <row r="271" spans="1:65" s="5" customFormat="1" ht="29.25" x14ac:dyDescent="0.2">
      <c r="A271" s="105"/>
      <c r="B271" s="140"/>
      <c r="C271" s="17"/>
      <c r="D271" s="141" t="s">
        <v>148</v>
      </c>
      <c r="E271" s="17"/>
      <c r="F271" s="142" t="s">
        <v>747</v>
      </c>
      <c r="G271" s="17"/>
      <c r="H271" s="17"/>
      <c r="I271" s="17"/>
      <c r="J271" s="17"/>
      <c r="K271" s="143"/>
      <c r="L271" s="17"/>
      <c r="M271" s="15"/>
      <c r="N271" s="16"/>
      <c r="O271" s="17"/>
      <c r="P271" s="17"/>
      <c r="Q271" s="17"/>
      <c r="R271" s="17"/>
      <c r="S271" s="17"/>
      <c r="T271" s="18"/>
      <c r="U271" s="105"/>
      <c r="V271" s="17"/>
      <c r="W271" s="17"/>
      <c r="X271" s="17"/>
      <c r="Y271" s="17"/>
      <c r="Z271" s="17"/>
      <c r="AA271" s="17"/>
      <c r="AB271" s="17"/>
      <c r="AC271" s="105"/>
      <c r="AD271" s="105"/>
      <c r="AE271" s="105"/>
      <c r="AT271" s="13" t="s">
        <v>148</v>
      </c>
      <c r="AU271" s="13" t="s">
        <v>74</v>
      </c>
    </row>
    <row r="272" spans="1:65" s="5" customFormat="1" ht="16.5" customHeight="1" x14ac:dyDescent="0.2">
      <c r="A272" s="105"/>
      <c r="B272" s="140"/>
      <c r="C272" s="33" t="s">
        <v>231</v>
      </c>
      <c r="D272" s="33" t="s">
        <v>131</v>
      </c>
      <c r="E272" s="34" t="s">
        <v>758</v>
      </c>
      <c r="F272" s="7" t="s">
        <v>759</v>
      </c>
      <c r="G272" s="35" t="s">
        <v>134</v>
      </c>
      <c r="H272" s="36">
        <v>11.802</v>
      </c>
      <c r="I272" s="1"/>
      <c r="J272" s="6">
        <f>ROUND(I272*H272,2)</f>
        <v>0</v>
      </c>
      <c r="K272" s="151" t="s">
        <v>1</v>
      </c>
      <c r="L272" s="17"/>
      <c r="M272" s="8" t="s">
        <v>1</v>
      </c>
      <c r="N272" s="9" t="s">
        <v>33</v>
      </c>
      <c r="O272" s="10">
        <v>0</v>
      </c>
      <c r="P272" s="10">
        <f>O272*H272</f>
        <v>0</v>
      </c>
      <c r="Q272" s="10">
        <v>0</v>
      </c>
      <c r="R272" s="10">
        <f>Q272*H272</f>
        <v>0</v>
      </c>
      <c r="S272" s="10">
        <v>0</v>
      </c>
      <c r="T272" s="11">
        <f>S272*H272</f>
        <v>0</v>
      </c>
      <c r="U272" s="105"/>
      <c r="V272" s="17"/>
      <c r="W272" s="17"/>
      <c r="X272" s="17"/>
      <c r="Y272" s="17"/>
      <c r="Z272" s="17"/>
      <c r="AA272" s="17"/>
      <c r="AB272" s="17"/>
      <c r="AC272" s="105"/>
      <c r="AD272" s="105"/>
      <c r="AE272" s="105"/>
      <c r="AR272" s="12" t="s">
        <v>135</v>
      </c>
      <c r="AT272" s="12" t="s">
        <v>131</v>
      </c>
      <c r="AU272" s="12" t="s">
        <v>74</v>
      </c>
      <c r="AY272" s="13" t="s">
        <v>130</v>
      </c>
      <c r="BE272" s="14">
        <f>IF(N272="základní",J272,0)</f>
        <v>0</v>
      </c>
      <c r="BF272" s="14">
        <f>IF(N272="snížená",J272,0)</f>
        <v>0</v>
      </c>
      <c r="BG272" s="14">
        <f>IF(N272="zákl. přenesená",J272,0)</f>
        <v>0</v>
      </c>
      <c r="BH272" s="14">
        <f>IF(N272="sníž. přenesená",J272,0)</f>
        <v>0</v>
      </c>
      <c r="BI272" s="14">
        <f>IF(N272="nulová",J272,0)</f>
        <v>0</v>
      </c>
      <c r="BJ272" s="13" t="s">
        <v>74</v>
      </c>
      <c r="BK272" s="14">
        <f>ROUND(I272*H272,2)</f>
        <v>0</v>
      </c>
      <c r="BL272" s="13" t="s">
        <v>135</v>
      </c>
      <c r="BM272" s="12" t="s">
        <v>452</v>
      </c>
    </row>
    <row r="273" spans="1:65" s="5" customFormat="1" x14ac:dyDescent="0.2">
      <c r="B273" s="177"/>
      <c r="C273" s="16"/>
      <c r="D273" s="178" t="s">
        <v>340</v>
      </c>
      <c r="E273" s="16"/>
      <c r="F273" s="200" t="s">
        <v>1248</v>
      </c>
      <c r="G273" s="16"/>
      <c r="H273" s="16">
        <f>(2.42+0.73+0.66+1.16+0.74+2.72)*1.4</f>
        <v>11.802</v>
      </c>
      <c r="I273" s="16"/>
      <c r="J273" s="16"/>
      <c r="K273" s="181"/>
      <c r="L273" s="52"/>
      <c r="M273" s="52"/>
      <c r="N273" s="52"/>
      <c r="O273" s="52"/>
      <c r="P273" s="52"/>
      <c r="Q273" s="52"/>
      <c r="R273" s="52"/>
      <c r="S273" s="128"/>
      <c r="V273" s="16"/>
      <c r="W273" s="16"/>
      <c r="X273" s="16"/>
      <c r="Y273" s="16"/>
      <c r="Z273" s="16"/>
      <c r="AA273" s="16"/>
      <c r="AB273" s="16"/>
      <c r="AZ273" s="126" t="s">
        <v>148</v>
      </c>
      <c r="BA273" s="126" t="s">
        <v>74</v>
      </c>
    </row>
    <row r="274" spans="1:65" s="20" customFormat="1" ht="25.9" customHeight="1" x14ac:dyDescent="0.2">
      <c r="B274" s="172"/>
      <c r="C274" s="23"/>
      <c r="D274" s="173" t="s">
        <v>67</v>
      </c>
      <c r="E274" s="174" t="s">
        <v>184</v>
      </c>
      <c r="F274" s="174" t="s">
        <v>769</v>
      </c>
      <c r="G274" s="23"/>
      <c r="H274" s="23"/>
      <c r="I274" s="23"/>
      <c r="J274" s="175">
        <f>BK274</f>
        <v>0</v>
      </c>
      <c r="K274" s="176"/>
      <c r="L274" s="23"/>
      <c r="M274" s="22"/>
      <c r="N274" s="23"/>
      <c r="O274" s="23"/>
      <c r="P274" s="24">
        <f>SUM(P277:P289)</f>
        <v>0</v>
      </c>
      <c r="Q274" s="23"/>
      <c r="R274" s="24">
        <f>SUM(R277:R289)</f>
        <v>0</v>
      </c>
      <c r="S274" s="23"/>
      <c r="T274" s="25">
        <f>SUM(T277:T289)</f>
        <v>0</v>
      </c>
      <c r="V274" s="23"/>
      <c r="W274" s="23"/>
      <c r="X274" s="23"/>
      <c r="Y274" s="23"/>
      <c r="Z274" s="23"/>
      <c r="AA274" s="23"/>
      <c r="AB274" s="23"/>
      <c r="AR274" s="26" t="s">
        <v>74</v>
      </c>
      <c r="AT274" s="27" t="s">
        <v>67</v>
      </c>
      <c r="AU274" s="27" t="s">
        <v>68</v>
      </c>
      <c r="AY274" s="26" t="s">
        <v>130</v>
      </c>
      <c r="BK274" s="28">
        <f>SUM(BK277:BK289)</f>
        <v>0</v>
      </c>
    </row>
    <row r="275" spans="1:65" s="5" customFormat="1" ht="19.5" x14ac:dyDescent="0.2">
      <c r="B275" s="177"/>
      <c r="C275" s="16"/>
      <c r="D275" s="178" t="s">
        <v>148</v>
      </c>
      <c r="E275" s="16"/>
      <c r="F275" s="200" t="s">
        <v>1249</v>
      </c>
      <c r="G275" s="180"/>
      <c r="H275" s="16"/>
      <c r="I275" s="16"/>
      <c r="J275" s="16"/>
      <c r="K275" s="181"/>
      <c r="L275" s="52"/>
      <c r="M275" s="52"/>
      <c r="N275" s="52"/>
      <c r="O275" s="52"/>
      <c r="P275" s="52"/>
      <c r="Q275" s="52"/>
      <c r="R275" s="52"/>
      <c r="S275" s="128"/>
      <c r="V275" s="16"/>
      <c r="W275" s="16"/>
      <c r="X275" s="16"/>
      <c r="Y275" s="16"/>
      <c r="Z275" s="16"/>
      <c r="AA275" s="16"/>
      <c r="AB275" s="16"/>
      <c r="AZ275" s="126" t="s">
        <v>148</v>
      </c>
      <c r="BA275" s="126" t="s">
        <v>74</v>
      </c>
    </row>
    <row r="276" spans="1:65" s="5" customFormat="1" ht="10.15" customHeight="1" x14ac:dyDescent="0.2">
      <c r="B276" s="177"/>
      <c r="C276" s="16"/>
      <c r="D276" s="178" t="s">
        <v>340</v>
      </c>
      <c r="E276" s="16"/>
      <c r="F276" s="200" t="s">
        <v>1250</v>
      </c>
      <c r="G276" s="16"/>
      <c r="H276" s="180">
        <f>(2.96*5.93)+((5.34-2.96)*5.93/2)</f>
        <v>24.609499999999997</v>
      </c>
      <c r="I276" s="16"/>
      <c r="J276" s="16"/>
      <c r="K276" s="181"/>
      <c r="L276" s="52"/>
      <c r="M276" s="52"/>
      <c r="N276" s="52"/>
      <c r="O276" s="52"/>
      <c r="P276" s="52"/>
      <c r="Q276" s="52"/>
      <c r="R276" s="52"/>
      <c r="S276" s="128"/>
      <c r="V276" s="16"/>
      <c r="W276" s="16"/>
      <c r="X276" s="16"/>
      <c r="Y276" s="16"/>
      <c r="Z276" s="16"/>
      <c r="AA276" s="16"/>
      <c r="AB276" s="16"/>
      <c r="AZ276" s="126" t="s">
        <v>148</v>
      </c>
      <c r="BA276" s="126" t="s">
        <v>74</v>
      </c>
    </row>
    <row r="277" spans="1:65" s="5" customFormat="1" ht="16.5" customHeight="1" x14ac:dyDescent="0.2">
      <c r="A277" s="105"/>
      <c r="B277" s="140"/>
      <c r="C277" s="33" t="s">
        <v>456</v>
      </c>
      <c r="D277" s="33" t="s">
        <v>131</v>
      </c>
      <c r="E277" s="34" t="s">
        <v>713</v>
      </c>
      <c r="F277" s="7" t="s">
        <v>714</v>
      </c>
      <c r="G277" s="35" t="s">
        <v>134</v>
      </c>
      <c r="H277" s="36">
        <v>24.61</v>
      </c>
      <c r="I277" s="1"/>
      <c r="J277" s="6">
        <f>ROUND(I277*H277,2)</f>
        <v>0</v>
      </c>
      <c r="K277" s="151" t="s">
        <v>1</v>
      </c>
      <c r="L277" s="17"/>
      <c r="M277" s="8" t="s">
        <v>1</v>
      </c>
      <c r="N277" s="9" t="s">
        <v>33</v>
      </c>
      <c r="O277" s="10">
        <v>0</v>
      </c>
      <c r="P277" s="10">
        <f>O277*H277</f>
        <v>0</v>
      </c>
      <c r="Q277" s="10">
        <v>0</v>
      </c>
      <c r="R277" s="10">
        <f>Q277*H277</f>
        <v>0</v>
      </c>
      <c r="S277" s="10">
        <v>0</v>
      </c>
      <c r="T277" s="11">
        <f>S277*H277</f>
        <v>0</v>
      </c>
      <c r="U277" s="105"/>
      <c r="V277" s="17"/>
      <c r="W277" s="17"/>
      <c r="X277" s="17"/>
      <c r="Y277" s="17"/>
      <c r="Z277" s="17"/>
      <c r="AA277" s="17"/>
      <c r="AB277" s="17"/>
      <c r="AC277" s="105"/>
      <c r="AD277" s="105"/>
      <c r="AE277" s="105"/>
      <c r="AR277" s="12" t="s">
        <v>135</v>
      </c>
      <c r="AT277" s="12" t="s">
        <v>131</v>
      </c>
      <c r="AU277" s="12" t="s">
        <v>74</v>
      </c>
      <c r="AY277" s="13" t="s">
        <v>130</v>
      </c>
      <c r="BE277" s="14">
        <f>IF(N277="základní",J277,0)</f>
        <v>0</v>
      </c>
      <c r="BF277" s="14">
        <f>IF(N277="snížená",J277,0)</f>
        <v>0</v>
      </c>
      <c r="BG277" s="14">
        <f>IF(N277="zákl. přenesená",J277,0)</f>
        <v>0</v>
      </c>
      <c r="BH277" s="14">
        <f>IF(N277="sníž. přenesená",J277,0)</f>
        <v>0</v>
      </c>
      <c r="BI277" s="14">
        <f>IF(N277="nulová",J277,0)</f>
        <v>0</v>
      </c>
      <c r="BJ277" s="13" t="s">
        <v>74</v>
      </c>
      <c r="BK277" s="14">
        <f>ROUND(I277*H277,2)</f>
        <v>0</v>
      </c>
      <c r="BL277" s="13" t="s">
        <v>135</v>
      </c>
      <c r="BM277" s="12" t="s">
        <v>455</v>
      </c>
    </row>
    <row r="278" spans="1:65" s="5" customFormat="1" ht="16.5" customHeight="1" x14ac:dyDescent="0.2">
      <c r="A278" s="105"/>
      <c r="B278" s="140"/>
      <c r="C278" s="33" t="s">
        <v>234</v>
      </c>
      <c r="D278" s="33" t="s">
        <v>131</v>
      </c>
      <c r="E278" s="34" t="s">
        <v>716</v>
      </c>
      <c r="F278" s="7" t="s">
        <v>717</v>
      </c>
      <c r="G278" s="35" t="s">
        <v>134</v>
      </c>
      <c r="H278" s="36">
        <v>4.9219999999999997</v>
      </c>
      <c r="I278" s="1"/>
      <c r="J278" s="6">
        <f>ROUND(I278*H278,2)</f>
        <v>0</v>
      </c>
      <c r="K278" s="151" t="s">
        <v>1</v>
      </c>
      <c r="L278" s="17"/>
      <c r="M278" s="8" t="s">
        <v>1</v>
      </c>
      <c r="N278" s="9" t="s">
        <v>33</v>
      </c>
      <c r="O278" s="10">
        <v>0</v>
      </c>
      <c r="P278" s="10">
        <f>O278*H278</f>
        <v>0</v>
      </c>
      <c r="Q278" s="10">
        <v>0</v>
      </c>
      <c r="R278" s="10">
        <f>Q278*H278</f>
        <v>0</v>
      </c>
      <c r="S278" s="10">
        <v>0</v>
      </c>
      <c r="T278" s="11">
        <f>S278*H278</f>
        <v>0</v>
      </c>
      <c r="U278" s="105"/>
      <c r="V278" s="17"/>
      <c r="W278" s="17"/>
      <c r="X278" s="17"/>
      <c r="Y278" s="17"/>
      <c r="Z278" s="17"/>
      <c r="AA278" s="17"/>
      <c r="AB278" s="17"/>
      <c r="AC278" s="105"/>
      <c r="AD278" s="105"/>
      <c r="AE278" s="105"/>
      <c r="AR278" s="12" t="s">
        <v>135</v>
      </c>
      <c r="AT278" s="12" t="s">
        <v>131</v>
      </c>
      <c r="AU278" s="12" t="s">
        <v>74</v>
      </c>
      <c r="AY278" s="13" t="s">
        <v>130</v>
      </c>
      <c r="BE278" s="14">
        <f>IF(N278="základní",J278,0)</f>
        <v>0</v>
      </c>
      <c r="BF278" s="14">
        <f>IF(N278="snížená",J278,0)</f>
        <v>0</v>
      </c>
      <c r="BG278" s="14">
        <f>IF(N278="zákl. přenesená",J278,0)</f>
        <v>0</v>
      </c>
      <c r="BH278" s="14">
        <f>IF(N278="sníž. přenesená",J278,0)</f>
        <v>0</v>
      </c>
      <c r="BI278" s="14">
        <f>IF(N278="nulová",J278,0)</f>
        <v>0</v>
      </c>
      <c r="BJ278" s="13" t="s">
        <v>74</v>
      </c>
      <c r="BK278" s="14">
        <f>ROUND(I278*H278,2)</f>
        <v>0</v>
      </c>
      <c r="BL278" s="13" t="s">
        <v>135</v>
      </c>
      <c r="BM278" s="12" t="s">
        <v>458</v>
      </c>
    </row>
    <row r="279" spans="1:65" s="5" customFormat="1" ht="19.5" x14ac:dyDescent="0.2">
      <c r="A279" s="105"/>
      <c r="B279" s="140"/>
      <c r="C279" s="17"/>
      <c r="D279" s="141" t="s">
        <v>148</v>
      </c>
      <c r="E279" s="17"/>
      <c r="F279" s="142" t="s">
        <v>718</v>
      </c>
      <c r="G279" s="17"/>
      <c r="H279" s="17"/>
      <c r="I279" s="17"/>
      <c r="J279" s="17"/>
      <c r="K279" s="143"/>
      <c r="L279" s="17"/>
      <c r="M279" s="15"/>
      <c r="N279" s="16"/>
      <c r="O279" s="17"/>
      <c r="P279" s="17"/>
      <c r="Q279" s="17"/>
      <c r="R279" s="17"/>
      <c r="S279" s="17"/>
      <c r="T279" s="18"/>
      <c r="U279" s="105"/>
      <c r="V279" s="17"/>
      <c r="W279" s="17"/>
      <c r="X279" s="17"/>
      <c r="Y279" s="17"/>
      <c r="Z279" s="17"/>
      <c r="AA279" s="17"/>
      <c r="AB279" s="17"/>
      <c r="AC279" s="105"/>
      <c r="AD279" s="105"/>
      <c r="AE279" s="105"/>
      <c r="AT279" s="13" t="s">
        <v>148</v>
      </c>
      <c r="AU279" s="13" t="s">
        <v>74</v>
      </c>
    </row>
    <row r="280" spans="1:65" s="5" customFormat="1" ht="16.5" customHeight="1" x14ac:dyDescent="0.2">
      <c r="A280" s="105"/>
      <c r="B280" s="140"/>
      <c r="C280" s="33" t="s">
        <v>460</v>
      </c>
      <c r="D280" s="33" t="s">
        <v>131</v>
      </c>
      <c r="E280" s="34" t="s">
        <v>735</v>
      </c>
      <c r="F280" s="7" t="s">
        <v>736</v>
      </c>
      <c r="G280" s="35" t="s">
        <v>134</v>
      </c>
      <c r="H280" s="36">
        <v>2</v>
      </c>
      <c r="I280" s="1"/>
      <c r="J280" s="6">
        <f>ROUND(I280*H280,2)</f>
        <v>0</v>
      </c>
      <c r="K280" s="151" t="s">
        <v>1</v>
      </c>
      <c r="L280" s="17"/>
      <c r="M280" s="8" t="s">
        <v>1</v>
      </c>
      <c r="N280" s="9" t="s">
        <v>33</v>
      </c>
      <c r="O280" s="10">
        <v>0</v>
      </c>
      <c r="P280" s="10">
        <f>O280*H280</f>
        <v>0</v>
      </c>
      <c r="Q280" s="10">
        <v>0</v>
      </c>
      <c r="R280" s="10">
        <f>Q280*H280</f>
        <v>0</v>
      </c>
      <c r="S280" s="10">
        <v>0</v>
      </c>
      <c r="T280" s="11">
        <f>S280*H280</f>
        <v>0</v>
      </c>
      <c r="U280" s="105"/>
      <c r="V280" s="17"/>
      <c r="W280" s="17"/>
      <c r="X280" s="17"/>
      <c r="Y280" s="17"/>
      <c r="Z280" s="17"/>
      <c r="AA280" s="17"/>
      <c r="AB280" s="17"/>
      <c r="AC280" s="105"/>
      <c r="AD280" s="105"/>
      <c r="AE280" s="105"/>
      <c r="AR280" s="12" t="s">
        <v>135</v>
      </c>
      <c r="AT280" s="12" t="s">
        <v>131</v>
      </c>
      <c r="AU280" s="12" t="s">
        <v>74</v>
      </c>
      <c r="AY280" s="13" t="s">
        <v>130</v>
      </c>
      <c r="BE280" s="14">
        <f>IF(N280="základní",J280,0)</f>
        <v>0</v>
      </c>
      <c r="BF280" s="14">
        <f>IF(N280="snížená",J280,0)</f>
        <v>0</v>
      </c>
      <c r="BG280" s="14">
        <f>IF(N280="zákl. přenesená",J280,0)</f>
        <v>0</v>
      </c>
      <c r="BH280" s="14">
        <f>IF(N280="sníž. přenesená",J280,0)</f>
        <v>0</v>
      </c>
      <c r="BI280" s="14">
        <f>IF(N280="nulová",J280,0)</f>
        <v>0</v>
      </c>
      <c r="BJ280" s="13" t="s">
        <v>74</v>
      </c>
      <c r="BK280" s="14">
        <f>ROUND(I280*H280,2)</f>
        <v>0</v>
      </c>
      <c r="BL280" s="13" t="s">
        <v>135</v>
      </c>
      <c r="BM280" s="12" t="s">
        <v>459</v>
      </c>
    </row>
    <row r="281" spans="1:65" s="5" customFormat="1" ht="19.5" x14ac:dyDescent="0.2">
      <c r="A281" s="105"/>
      <c r="B281" s="140"/>
      <c r="C281" s="17"/>
      <c r="D281" s="141" t="s">
        <v>148</v>
      </c>
      <c r="E281" s="17"/>
      <c r="F281" s="142" t="s">
        <v>737</v>
      </c>
      <c r="G281" s="17"/>
      <c r="H281" s="17"/>
      <c r="I281" s="17"/>
      <c r="J281" s="17"/>
      <c r="K281" s="143"/>
      <c r="L281" s="17"/>
      <c r="M281" s="15"/>
      <c r="N281" s="16"/>
      <c r="O281" s="17"/>
      <c r="P281" s="17"/>
      <c r="Q281" s="17"/>
      <c r="R281" s="17"/>
      <c r="S281" s="17"/>
      <c r="T281" s="18"/>
      <c r="U281" s="105"/>
      <c r="V281" s="17"/>
      <c r="W281" s="17"/>
      <c r="X281" s="17"/>
      <c r="Y281" s="17"/>
      <c r="Z281" s="17"/>
      <c r="AA281" s="17"/>
      <c r="AB281" s="17"/>
      <c r="AC281" s="105"/>
      <c r="AD281" s="105"/>
      <c r="AE281" s="105"/>
      <c r="AT281" s="13" t="s">
        <v>148</v>
      </c>
      <c r="AU281" s="13" t="s">
        <v>74</v>
      </c>
    </row>
    <row r="282" spans="1:65" s="5" customFormat="1" ht="16.5" customHeight="1" x14ac:dyDescent="0.2">
      <c r="A282" s="105"/>
      <c r="B282" s="140"/>
      <c r="C282" s="33" t="s">
        <v>239</v>
      </c>
      <c r="D282" s="33" t="s">
        <v>131</v>
      </c>
      <c r="E282" s="34" t="s">
        <v>232</v>
      </c>
      <c r="F282" s="7" t="s">
        <v>722</v>
      </c>
      <c r="G282" s="35" t="s">
        <v>723</v>
      </c>
      <c r="H282" s="36">
        <v>3.9E-2</v>
      </c>
      <c r="I282" s="1"/>
      <c r="J282" s="6">
        <f>ROUND(I282*H282,2)</f>
        <v>0</v>
      </c>
      <c r="K282" s="151" t="s">
        <v>1</v>
      </c>
      <c r="L282" s="17"/>
      <c r="M282" s="8" t="s">
        <v>1</v>
      </c>
      <c r="N282" s="9" t="s">
        <v>33</v>
      </c>
      <c r="O282" s="10">
        <v>0</v>
      </c>
      <c r="P282" s="10">
        <f>O282*H282</f>
        <v>0</v>
      </c>
      <c r="Q282" s="10">
        <v>0</v>
      </c>
      <c r="R282" s="10">
        <f>Q282*H282</f>
        <v>0</v>
      </c>
      <c r="S282" s="10">
        <v>0</v>
      </c>
      <c r="T282" s="11">
        <f>S282*H282</f>
        <v>0</v>
      </c>
      <c r="U282" s="105"/>
      <c r="V282" s="17"/>
      <c r="W282" s="17"/>
      <c r="X282" s="17"/>
      <c r="Y282" s="17"/>
      <c r="Z282" s="17"/>
      <c r="AA282" s="17"/>
      <c r="AB282" s="17"/>
      <c r="AC282" s="105"/>
      <c r="AD282" s="105"/>
      <c r="AE282" s="105"/>
      <c r="AR282" s="12" t="s">
        <v>135</v>
      </c>
      <c r="AT282" s="12" t="s">
        <v>131</v>
      </c>
      <c r="AU282" s="12" t="s">
        <v>74</v>
      </c>
      <c r="AY282" s="13" t="s">
        <v>130</v>
      </c>
      <c r="BE282" s="14">
        <f>IF(N282="základní",J282,0)</f>
        <v>0</v>
      </c>
      <c r="BF282" s="14">
        <f>IF(N282="snížená",J282,0)</f>
        <v>0</v>
      </c>
      <c r="BG282" s="14">
        <f>IF(N282="zákl. přenesená",J282,0)</f>
        <v>0</v>
      </c>
      <c r="BH282" s="14">
        <f>IF(N282="sníž. přenesená",J282,0)</f>
        <v>0</v>
      </c>
      <c r="BI282" s="14">
        <f>IF(N282="nulová",J282,0)</f>
        <v>0</v>
      </c>
      <c r="BJ282" s="13" t="s">
        <v>74</v>
      </c>
      <c r="BK282" s="14">
        <f>ROUND(I282*H282,2)</f>
        <v>0</v>
      </c>
      <c r="BL282" s="13" t="s">
        <v>135</v>
      </c>
      <c r="BM282" s="12" t="s">
        <v>462</v>
      </c>
    </row>
    <row r="283" spans="1:65" s="5" customFormat="1" ht="16.5" customHeight="1" x14ac:dyDescent="0.2">
      <c r="A283" s="105"/>
      <c r="B283" s="140"/>
      <c r="C283" s="33" t="s">
        <v>465</v>
      </c>
      <c r="D283" s="33" t="s">
        <v>131</v>
      </c>
      <c r="E283" s="34" t="s">
        <v>246</v>
      </c>
      <c r="F283" s="7" t="s">
        <v>724</v>
      </c>
      <c r="G283" s="35" t="s">
        <v>723</v>
      </c>
      <c r="H283" s="36">
        <v>3.9E-2</v>
      </c>
      <c r="I283" s="1"/>
      <c r="J283" s="6">
        <f>ROUND(I283*H283,2)</f>
        <v>0</v>
      </c>
      <c r="K283" s="151" t="s">
        <v>1</v>
      </c>
      <c r="L283" s="17"/>
      <c r="M283" s="8" t="s">
        <v>1</v>
      </c>
      <c r="N283" s="9" t="s">
        <v>33</v>
      </c>
      <c r="O283" s="10">
        <v>0</v>
      </c>
      <c r="P283" s="10">
        <f>O283*H283</f>
        <v>0</v>
      </c>
      <c r="Q283" s="10">
        <v>0</v>
      </c>
      <c r="R283" s="10">
        <f>Q283*H283</f>
        <v>0</v>
      </c>
      <c r="S283" s="10">
        <v>0</v>
      </c>
      <c r="T283" s="11">
        <f>S283*H283</f>
        <v>0</v>
      </c>
      <c r="U283" s="105"/>
      <c r="V283" s="17"/>
      <c r="W283" s="17"/>
      <c r="X283" s="17"/>
      <c r="Y283" s="17"/>
      <c r="Z283" s="17"/>
      <c r="AA283" s="17"/>
      <c r="AB283" s="17"/>
      <c r="AC283" s="105"/>
      <c r="AD283" s="105"/>
      <c r="AE283" s="105"/>
      <c r="AR283" s="12" t="s">
        <v>135</v>
      </c>
      <c r="AT283" s="12" t="s">
        <v>131</v>
      </c>
      <c r="AU283" s="12" t="s">
        <v>74</v>
      </c>
      <c r="AY283" s="13" t="s">
        <v>130</v>
      </c>
      <c r="BE283" s="14">
        <f>IF(N283="základní",J283,0)</f>
        <v>0</v>
      </c>
      <c r="BF283" s="14">
        <f>IF(N283="snížená",J283,0)</f>
        <v>0</v>
      </c>
      <c r="BG283" s="14">
        <f>IF(N283="zákl. přenesená",J283,0)</f>
        <v>0</v>
      </c>
      <c r="BH283" s="14">
        <f>IF(N283="sníž. přenesená",J283,0)</f>
        <v>0</v>
      </c>
      <c r="BI283" s="14">
        <f>IF(N283="nulová",J283,0)</f>
        <v>0</v>
      </c>
      <c r="BJ283" s="13" t="s">
        <v>74</v>
      </c>
      <c r="BK283" s="14">
        <f>ROUND(I283*H283,2)</f>
        <v>0</v>
      </c>
      <c r="BL283" s="13" t="s">
        <v>135</v>
      </c>
      <c r="BM283" s="12" t="s">
        <v>464</v>
      </c>
    </row>
    <row r="284" spans="1:65" s="5" customFormat="1" ht="16.5" customHeight="1" x14ac:dyDescent="0.2">
      <c r="A284" s="105"/>
      <c r="B284" s="140"/>
      <c r="C284" s="33" t="s">
        <v>242</v>
      </c>
      <c r="D284" s="33" t="s">
        <v>131</v>
      </c>
      <c r="E284" s="34" t="s">
        <v>770</v>
      </c>
      <c r="F284" s="7" t="s">
        <v>771</v>
      </c>
      <c r="G284" s="35" t="s">
        <v>134</v>
      </c>
      <c r="H284" s="36">
        <v>2</v>
      </c>
      <c r="I284" s="1"/>
      <c r="J284" s="6">
        <f>ROUND(I284*H284,2)</f>
        <v>0</v>
      </c>
      <c r="K284" s="151" t="s">
        <v>1</v>
      </c>
      <c r="L284" s="17"/>
      <c r="M284" s="8" t="s">
        <v>1</v>
      </c>
      <c r="N284" s="9" t="s">
        <v>33</v>
      </c>
      <c r="O284" s="10">
        <v>0</v>
      </c>
      <c r="P284" s="10">
        <f>O284*H284</f>
        <v>0</v>
      </c>
      <c r="Q284" s="10">
        <v>0</v>
      </c>
      <c r="R284" s="10">
        <f>Q284*H284</f>
        <v>0</v>
      </c>
      <c r="S284" s="10">
        <v>0</v>
      </c>
      <c r="T284" s="11">
        <f>S284*H284</f>
        <v>0</v>
      </c>
      <c r="U284" s="105"/>
      <c r="V284" s="17"/>
      <c r="W284" s="17"/>
      <c r="X284" s="17"/>
      <c r="Y284" s="17"/>
      <c r="Z284" s="17"/>
      <c r="AA284" s="17"/>
      <c r="AB284" s="17"/>
      <c r="AC284" s="105"/>
      <c r="AD284" s="105"/>
      <c r="AE284" s="105"/>
      <c r="AR284" s="12" t="s">
        <v>135</v>
      </c>
      <c r="AT284" s="12" t="s">
        <v>131</v>
      </c>
      <c r="AU284" s="12" t="s">
        <v>74</v>
      </c>
      <c r="AY284" s="13" t="s">
        <v>130</v>
      </c>
      <c r="BE284" s="14">
        <f>IF(N284="základní",J284,0)</f>
        <v>0</v>
      </c>
      <c r="BF284" s="14">
        <f>IF(N284="snížená",J284,0)</f>
        <v>0</v>
      </c>
      <c r="BG284" s="14">
        <f>IF(N284="zákl. přenesená",J284,0)</f>
        <v>0</v>
      </c>
      <c r="BH284" s="14">
        <f>IF(N284="sníž. přenesená",J284,0)</f>
        <v>0</v>
      </c>
      <c r="BI284" s="14">
        <f>IF(N284="nulová",J284,0)</f>
        <v>0</v>
      </c>
      <c r="BJ284" s="13" t="s">
        <v>74</v>
      </c>
      <c r="BK284" s="14">
        <f>ROUND(I284*H284,2)</f>
        <v>0</v>
      </c>
      <c r="BL284" s="13" t="s">
        <v>135</v>
      </c>
      <c r="BM284" s="12" t="s">
        <v>466</v>
      </c>
    </row>
    <row r="285" spans="1:65" s="5" customFormat="1" ht="39" x14ac:dyDescent="0.2">
      <c r="A285" s="105"/>
      <c r="B285" s="140"/>
      <c r="C285" s="17"/>
      <c r="D285" s="141" t="s">
        <v>148</v>
      </c>
      <c r="E285" s="17"/>
      <c r="F285" s="142" t="s">
        <v>755</v>
      </c>
      <c r="G285" s="17"/>
      <c r="H285" s="17"/>
      <c r="I285" s="17"/>
      <c r="J285" s="17"/>
      <c r="K285" s="143"/>
      <c r="L285" s="17"/>
      <c r="M285" s="15"/>
      <c r="N285" s="16"/>
      <c r="O285" s="17"/>
      <c r="P285" s="17"/>
      <c r="Q285" s="17"/>
      <c r="R285" s="17"/>
      <c r="S285" s="17"/>
      <c r="T285" s="18"/>
      <c r="U285" s="105"/>
      <c r="V285" s="17"/>
      <c r="W285" s="17"/>
      <c r="X285" s="17"/>
      <c r="Y285" s="17"/>
      <c r="Z285" s="17"/>
      <c r="AA285" s="17"/>
      <c r="AB285" s="17"/>
      <c r="AC285" s="105"/>
      <c r="AD285" s="105"/>
      <c r="AE285" s="105"/>
      <c r="AT285" s="13" t="s">
        <v>148</v>
      </c>
      <c r="AU285" s="13" t="s">
        <v>74</v>
      </c>
    </row>
    <row r="286" spans="1:65" s="5" customFormat="1" ht="16.5" customHeight="1" x14ac:dyDescent="0.2">
      <c r="A286" s="105"/>
      <c r="B286" s="140"/>
      <c r="C286" s="33" t="s">
        <v>468</v>
      </c>
      <c r="D286" s="33" t="s">
        <v>131</v>
      </c>
      <c r="E286" s="34" t="s">
        <v>772</v>
      </c>
      <c r="F286" s="7" t="s">
        <v>773</v>
      </c>
      <c r="G286" s="35" t="s">
        <v>134</v>
      </c>
      <c r="H286" s="36">
        <v>2</v>
      </c>
      <c r="I286" s="1"/>
      <c r="J286" s="6">
        <f>ROUND(I286*H286,2)</f>
        <v>0</v>
      </c>
      <c r="K286" s="151" t="s">
        <v>1</v>
      </c>
      <c r="L286" s="17"/>
      <c r="M286" s="8" t="s">
        <v>1</v>
      </c>
      <c r="N286" s="9" t="s">
        <v>33</v>
      </c>
      <c r="O286" s="10">
        <v>0</v>
      </c>
      <c r="P286" s="10">
        <f>O286*H286</f>
        <v>0</v>
      </c>
      <c r="Q286" s="10">
        <v>0</v>
      </c>
      <c r="R286" s="10">
        <f>Q286*H286</f>
        <v>0</v>
      </c>
      <c r="S286" s="10">
        <v>0</v>
      </c>
      <c r="T286" s="11">
        <f>S286*H286</f>
        <v>0</v>
      </c>
      <c r="U286" s="105"/>
      <c r="V286" s="17"/>
      <c r="W286" s="17"/>
      <c r="X286" s="17"/>
      <c r="Y286" s="17"/>
      <c r="Z286" s="17"/>
      <c r="AA286" s="17"/>
      <c r="AB286" s="17"/>
      <c r="AC286" s="105"/>
      <c r="AD286" s="105"/>
      <c r="AE286" s="105"/>
      <c r="AR286" s="12" t="s">
        <v>135</v>
      </c>
      <c r="AT286" s="12" t="s">
        <v>131</v>
      </c>
      <c r="AU286" s="12" t="s">
        <v>74</v>
      </c>
      <c r="AY286" s="13" t="s">
        <v>130</v>
      </c>
      <c r="BE286" s="14">
        <f>IF(N286="základní",J286,0)</f>
        <v>0</v>
      </c>
      <c r="BF286" s="14">
        <f>IF(N286="snížená",J286,0)</f>
        <v>0</v>
      </c>
      <c r="BG286" s="14">
        <f>IF(N286="zákl. přenesená",J286,0)</f>
        <v>0</v>
      </c>
      <c r="BH286" s="14">
        <f>IF(N286="sníž. přenesená",J286,0)</f>
        <v>0</v>
      </c>
      <c r="BI286" s="14">
        <f>IF(N286="nulová",J286,0)</f>
        <v>0</v>
      </c>
      <c r="BJ286" s="13" t="s">
        <v>74</v>
      </c>
      <c r="BK286" s="14">
        <f>ROUND(I286*H286,2)</f>
        <v>0</v>
      </c>
      <c r="BL286" s="13" t="s">
        <v>135</v>
      </c>
      <c r="BM286" s="12" t="s">
        <v>467</v>
      </c>
    </row>
    <row r="287" spans="1:65" s="5" customFormat="1" ht="16.5" customHeight="1" x14ac:dyDescent="0.2">
      <c r="A287" s="105"/>
      <c r="B287" s="140"/>
      <c r="C287" s="33" t="s">
        <v>248</v>
      </c>
      <c r="D287" s="33" t="s">
        <v>131</v>
      </c>
      <c r="E287" s="34" t="s">
        <v>774</v>
      </c>
      <c r="F287" s="7" t="s">
        <v>775</v>
      </c>
      <c r="G287" s="35" t="s">
        <v>134</v>
      </c>
      <c r="H287" s="36">
        <v>24.61</v>
      </c>
      <c r="I287" s="1"/>
      <c r="J287" s="6">
        <f>ROUND(I287*H287,2)</f>
        <v>0</v>
      </c>
      <c r="K287" s="151" t="s">
        <v>1</v>
      </c>
      <c r="L287" s="17"/>
      <c r="M287" s="8" t="s">
        <v>1</v>
      </c>
      <c r="N287" s="9" t="s">
        <v>33</v>
      </c>
      <c r="O287" s="10">
        <v>0</v>
      </c>
      <c r="P287" s="10">
        <f>O287*H287</f>
        <v>0</v>
      </c>
      <c r="Q287" s="10">
        <v>0</v>
      </c>
      <c r="R287" s="10">
        <f>Q287*H287</f>
        <v>0</v>
      </c>
      <c r="S287" s="10">
        <v>0</v>
      </c>
      <c r="T287" s="11">
        <f>S287*H287</f>
        <v>0</v>
      </c>
      <c r="U287" s="105"/>
      <c r="V287" s="17"/>
      <c r="W287" s="17"/>
      <c r="X287" s="17"/>
      <c r="Y287" s="17"/>
      <c r="Z287" s="17"/>
      <c r="AA287" s="17"/>
      <c r="AB287" s="17"/>
      <c r="AC287" s="105"/>
      <c r="AD287" s="105"/>
      <c r="AE287" s="105"/>
      <c r="AR287" s="12" t="s">
        <v>135</v>
      </c>
      <c r="AT287" s="12" t="s">
        <v>131</v>
      </c>
      <c r="AU287" s="12" t="s">
        <v>74</v>
      </c>
      <c r="AY287" s="13" t="s">
        <v>130</v>
      </c>
      <c r="BE287" s="14">
        <f>IF(N287="základní",J287,0)</f>
        <v>0</v>
      </c>
      <c r="BF287" s="14">
        <f>IF(N287="snížená",J287,0)</f>
        <v>0</v>
      </c>
      <c r="BG287" s="14">
        <f>IF(N287="zákl. přenesená",J287,0)</f>
        <v>0</v>
      </c>
      <c r="BH287" s="14">
        <f>IF(N287="sníž. přenesená",J287,0)</f>
        <v>0</v>
      </c>
      <c r="BI287" s="14">
        <f>IF(N287="nulová",J287,0)</f>
        <v>0</v>
      </c>
      <c r="BJ287" s="13" t="s">
        <v>74</v>
      </c>
      <c r="BK287" s="14">
        <f>ROUND(I287*H287,2)</f>
        <v>0</v>
      </c>
      <c r="BL287" s="13" t="s">
        <v>135</v>
      </c>
      <c r="BM287" s="12" t="s">
        <v>469</v>
      </c>
    </row>
    <row r="288" spans="1:65" s="5" customFormat="1" ht="16.5" customHeight="1" x14ac:dyDescent="0.2">
      <c r="A288" s="105"/>
      <c r="B288" s="140"/>
      <c r="C288" s="33" t="s">
        <v>472</v>
      </c>
      <c r="D288" s="33" t="s">
        <v>131</v>
      </c>
      <c r="E288" s="34" t="s">
        <v>776</v>
      </c>
      <c r="F288" s="7" t="s">
        <v>777</v>
      </c>
      <c r="G288" s="35" t="s">
        <v>134</v>
      </c>
      <c r="H288" s="36">
        <v>24.61</v>
      </c>
      <c r="I288" s="1"/>
      <c r="J288" s="6">
        <f>ROUND(I288*H288,2)</f>
        <v>0</v>
      </c>
      <c r="K288" s="151" t="s">
        <v>1</v>
      </c>
      <c r="L288" s="17"/>
      <c r="M288" s="8" t="s">
        <v>1</v>
      </c>
      <c r="N288" s="9" t="s">
        <v>33</v>
      </c>
      <c r="O288" s="10">
        <v>0</v>
      </c>
      <c r="P288" s="10">
        <f>O288*H288</f>
        <v>0</v>
      </c>
      <c r="Q288" s="10">
        <v>0</v>
      </c>
      <c r="R288" s="10">
        <f>Q288*H288</f>
        <v>0</v>
      </c>
      <c r="S288" s="10">
        <v>0</v>
      </c>
      <c r="T288" s="11">
        <f>S288*H288</f>
        <v>0</v>
      </c>
      <c r="U288" s="105"/>
      <c r="V288" s="17"/>
      <c r="W288" s="17"/>
      <c r="X288" s="17"/>
      <c r="Y288" s="17"/>
      <c r="Z288" s="17"/>
      <c r="AA288" s="17"/>
      <c r="AB288" s="17"/>
      <c r="AC288" s="105"/>
      <c r="AD288" s="105"/>
      <c r="AE288" s="105"/>
      <c r="AR288" s="12" t="s">
        <v>135</v>
      </c>
      <c r="AT288" s="12" t="s">
        <v>131</v>
      </c>
      <c r="AU288" s="12" t="s">
        <v>74</v>
      </c>
      <c r="AY288" s="13" t="s">
        <v>130</v>
      </c>
      <c r="BE288" s="14">
        <f>IF(N288="základní",J288,0)</f>
        <v>0</v>
      </c>
      <c r="BF288" s="14">
        <f>IF(N288="snížená",J288,0)</f>
        <v>0</v>
      </c>
      <c r="BG288" s="14">
        <f>IF(N288="zákl. přenesená",J288,0)</f>
        <v>0</v>
      </c>
      <c r="BH288" s="14">
        <f>IF(N288="sníž. přenesená",J288,0)</f>
        <v>0</v>
      </c>
      <c r="BI288" s="14">
        <f>IF(N288="nulová",J288,0)</f>
        <v>0</v>
      </c>
      <c r="BJ288" s="13" t="s">
        <v>74</v>
      </c>
      <c r="BK288" s="14">
        <f>ROUND(I288*H288,2)</f>
        <v>0</v>
      </c>
      <c r="BL288" s="13" t="s">
        <v>135</v>
      </c>
      <c r="BM288" s="12" t="s">
        <v>471</v>
      </c>
    </row>
    <row r="289" spans="1:65" s="5" customFormat="1" ht="29.25" x14ac:dyDescent="0.2">
      <c r="A289" s="105"/>
      <c r="B289" s="140"/>
      <c r="C289" s="17"/>
      <c r="D289" s="141" t="s">
        <v>148</v>
      </c>
      <c r="E289" s="17"/>
      <c r="F289" s="142" t="s">
        <v>778</v>
      </c>
      <c r="G289" s="17"/>
      <c r="H289" s="17"/>
      <c r="I289" s="17"/>
      <c r="J289" s="17"/>
      <c r="K289" s="143"/>
      <c r="L289" s="17"/>
      <c r="M289" s="15"/>
      <c r="N289" s="16"/>
      <c r="O289" s="17"/>
      <c r="P289" s="17"/>
      <c r="Q289" s="17"/>
      <c r="R289" s="17"/>
      <c r="S289" s="17"/>
      <c r="T289" s="18"/>
      <c r="U289" s="105"/>
      <c r="V289" s="17"/>
      <c r="W289" s="17"/>
      <c r="X289" s="17"/>
      <c r="Y289" s="17"/>
      <c r="Z289" s="17"/>
      <c r="AA289" s="17"/>
      <c r="AB289" s="17"/>
      <c r="AC289" s="105"/>
      <c r="AD289" s="105"/>
      <c r="AE289" s="105"/>
      <c r="AT289" s="13" t="s">
        <v>148</v>
      </c>
      <c r="AU289" s="13" t="s">
        <v>74</v>
      </c>
    </row>
    <row r="290" spans="1:65" s="20" customFormat="1" ht="25.9" customHeight="1" x14ac:dyDescent="0.2">
      <c r="B290" s="172"/>
      <c r="C290" s="23"/>
      <c r="D290" s="173" t="s">
        <v>67</v>
      </c>
      <c r="E290" s="174" t="s">
        <v>191</v>
      </c>
      <c r="F290" s="174" t="s">
        <v>779</v>
      </c>
      <c r="G290" s="23"/>
      <c r="H290" s="23"/>
      <c r="I290" s="23"/>
      <c r="J290" s="175">
        <f>BK290</f>
        <v>0</v>
      </c>
      <c r="K290" s="176"/>
      <c r="L290" s="23"/>
      <c r="M290" s="22"/>
      <c r="N290" s="23"/>
      <c r="O290" s="23"/>
      <c r="P290" s="24">
        <f>SUM(P293:P305)</f>
        <v>0</v>
      </c>
      <c r="Q290" s="23"/>
      <c r="R290" s="24">
        <f>SUM(R293:R305)</f>
        <v>0</v>
      </c>
      <c r="S290" s="23"/>
      <c r="T290" s="25">
        <f>SUM(T293:T305)</f>
        <v>0</v>
      </c>
      <c r="V290" s="23"/>
      <c r="W290" s="23"/>
      <c r="X290" s="23"/>
      <c r="Y290" s="23"/>
      <c r="Z290" s="23"/>
      <c r="AA290" s="23"/>
      <c r="AB290" s="23"/>
      <c r="AR290" s="26" t="s">
        <v>74</v>
      </c>
      <c r="AT290" s="27" t="s">
        <v>67</v>
      </c>
      <c r="AU290" s="27" t="s">
        <v>68</v>
      </c>
      <c r="AY290" s="26" t="s">
        <v>130</v>
      </c>
      <c r="BK290" s="28">
        <f>SUM(BK293:BK305)</f>
        <v>0</v>
      </c>
    </row>
    <row r="291" spans="1:65" s="5" customFormat="1" ht="19.5" x14ac:dyDescent="0.2">
      <c r="B291" s="177"/>
      <c r="C291" s="16"/>
      <c r="D291" s="178" t="s">
        <v>148</v>
      </c>
      <c r="E291" s="16"/>
      <c r="F291" s="200" t="s">
        <v>1249</v>
      </c>
      <c r="G291" s="180"/>
      <c r="H291" s="16"/>
      <c r="I291" s="16"/>
      <c r="J291" s="16"/>
      <c r="K291" s="181"/>
      <c r="L291" s="52"/>
      <c r="M291" s="52"/>
      <c r="N291" s="52"/>
      <c r="O291" s="52"/>
      <c r="P291" s="52"/>
      <c r="Q291" s="52"/>
      <c r="R291" s="52"/>
      <c r="S291" s="128"/>
      <c r="V291" s="16"/>
      <c r="W291" s="16"/>
      <c r="X291" s="16"/>
      <c r="Y291" s="16"/>
      <c r="Z291" s="16"/>
      <c r="AA291" s="16"/>
      <c r="AB291" s="16"/>
      <c r="AZ291" s="126" t="s">
        <v>148</v>
      </c>
      <c r="BA291" s="126" t="s">
        <v>74</v>
      </c>
    </row>
    <row r="292" spans="1:65" s="5" customFormat="1" ht="10.15" customHeight="1" x14ac:dyDescent="0.2">
      <c r="B292" s="177"/>
      <c r="C292" s="16"/>
      <c r="D292" s="178" t="s">
        <v>340</v>
      </c>
      <c r="E292" s="16"/>
      <c r="F292" s="200" t="s">
        <v>1251</v>
      </c>
      <c r="G292" s="16"/>
      <c r="H292" s="180">
        <f>4.29*5.92</f>
        <v>25.396799999999999</v>
      </c>
      <c r="I292" s="16"/>
      <c r="J292" s="16"/>
      <c r="K292" s="181"/>
      <c r="L292" s="52"/>
      <c r="M292" s="52"/>
      <c r="N292" s="52"/>
      <c r="O292" s="52"/>
      <c r="P292" s="52"/>
      <c r="Q292" s="52"/>
      <c r="R292" s="52"/>
      <c r="S292" s="128"/>
      <c r="V292" s="16"/>
      <c r="W292" s="16"/>
      <c r="X292" s="16"/>
      <c r="Y292" s="16"/>
      <c r="Z292" s="16"/>
      <c r="AA292" s="16"/>
      <c r="AB292" s="16"/>
      <c r="AZ292" s="126" t="s">
        <v>148</v>
      </c>
      <c r="BA292" s="126" t="s">
        <v>74</v>
      </c>
    </row>
    <row r="293" spans="1:65" s="5" customFormat="1" ht="16.5" customHeight="1" x14ac:dyDescent="0.2">
      <c r="A293" s="105"/>
      <c r="B293" s="140"/>
      <c r="C293" s="33" t="s">
        <v>254</v>
      </c>
      <c r="D293" s="33" t="s">
        <v>131</v>
      </c>
      <c r="E293" s="34" t="s">
        <v>780</v>
      </c>
      <c r="F293" s="7" t="s">
        <v>781</v>
      </c>
      <c r="G293" s="35" t="s">
        <v>134</v>
      </c>
      <c r="H293" s="36">
        <v>25.396999999999998</v>
      </c>
      <c r="I293" s="1"/>
      <c r="J293" s="6">
        <f>ROUND(I293*H293,2)</f>
        <v>0</v>
      </c>
      <c r="K293" s="151" t="s">
        <v>1</v>
      </c>
      <c r="L293" s="17"/>
      <c r="M293" s="8" t="s">
        <v>1</v>
      </c>
      <c r="N293" s="9" t="s">
        <v>33</v>
      </c>
      <c r="O293" s="10">
        <v>0</v>
      </c>
      <c r="P293" s="10">
        <f>O293*H293</f>
        <v>0</v>
      </c>
      <c r="Q293" s="10">
        <v>0</v>
      </c>
      <c r="R293" s="10">
        <f>Q293*H293</f>
        <v>0</v>
      </c>
      <c r="S293" s="10">
        <v>0</v>
      </c>
      <c r="T293" s="11">
        <f>S293*H293</f>
        <v>0</v>
      </c>
      <c r="U293" s="105"/>
      <c r="V293" s="17"/>
      <c r="W293" s="17"/>
      <c r="X293" s="17"/>
      <c r="Y293" s="17"/>
      <c r="Z293" s="17"/>
      <c r="AA293" s="17"/>
      <c r="AB293" s="17"/>
      <c r="AC293" s="105"/>
      <c r="AD293" s="105"/>
      <c r="AE293" s="105"/>
      <c r="AR293" s="12" t="s">
        <v>135</v>
      </c>
      <c r="AT293" s="12" t="s">
        <v>131</v>
      </c>
      <c r="AU293" s="12" t="s">
        <v>74</v>
      </c>
      <c r="AY293" s="13" t="s">
        <v>130</v>
      </c>
      <c r="BE293" s="14">
        <f>IF(N293="základní",J293,0)</f>
        <v>0</v>
      </c>
      <c r="BF293" s="14">
        <f>IF(N293="snížená",J293,0)</f>
        <v>0</v>
      </c>
      <c r="BG293" s="14">
        <f>IF(N293="zákl. přenesená",J293,0)</f>
        <v>0</v>
      </c>
      <c r="BH293" s="14">
        <f>IF(N293="sníž. přenesená",J293,0)</f>
        <v>0</v>
      </c>
      <c r="BI293" s="14">
        <f>IF(N293="nulová",J293,0)</f>
        <v>0</v>
      </c>
      <c r="BJ293" s="13" t="s">
        <v>74</v>
      </c>
      <c r="BK293" s="14">
        <f>ROUND(I293*H293,2)</f>
        <v>0</v>
      </c>
      <c r="BL293" s="13" t="s">
        <v>135</v>
      </c>
      <c r="BM293" s="12" t="s">
        <v>473</v>
      </c>
    </row>
    <row r="294" spans="1:65" s="5" customFormat="1" ht="16.5" customHeight="1" x14ac:dyDescent="0.2">
      <c r="A294" s="105"/>
      <c r="B294" s="140"/>
      <c r="C294" s="33" t="s">
        <v>475</v>
      </c>
      <c r="D294" s="33" t="s">
        <v>131</v>
      </c>
      <c r="E294" s="34" t="s">
        <v>716</v>
      </c>
      <c r="F294" s="7" t="s">
        <v>717</v>
      </c>
      <c r="G294" s="35" t="s">
        <v>134</v>
      </c>
      <c r="H294" s="36">
        <v>5.0789999999999997</v>
      </c>
      <c r="I294" s="1"/>
      <c r="J294" s="6">
        <f>ROUND(I294*H294,2)</f>
        <v>0</v>
      </c>
      <c r="K294" s="151" t="s">
        <v>1</v>
      </c>
      <c r="L294" s="17"/>
      <c r="M294" s="8" t="s">
        <v>1</v>
      </c>
      <c r="N294" s="9" t="s">
        <v>33</v>
      </c>
      <c r="O294" s="10">
        <v>0</v>
      </c>
      <c r="P294" s="10">
        <f>O294*H294</f>
        <v>0</v>
      </c>
      <c r="Q294" s="10">
        <v>0</v>
      </c>
      <c r="R294" s="10">
        <f>Q294*H294</f>
        <v>0</v>
      </c>
      <c r="S294" s="10">
        <v>0</v>
      </c>
      <c r="T294" s="11">
        <f>S294*H294</f>
        <v>0</v>
      </c>
      <c r="U294" s="105"/>
      <c r="V294" s="17"/>
      <c r="W294" s="17"/>
      <c r="X294" s="17"/>
      <c r="Y294" s="17"/>
      <c r="Z294" s="17"/>
      <c r="AA294" s="17"/>
      <c r="AB294" s="17"/>
      <c r="AC294" s="105"/>
      <c r="AD294" s="105"/>
      <c r="AE294" s="105"/>
      <c r="AR294" s="12" t="s">
        <v>135</v>
      </c>
      <c r="AT294" s="12" t="s">
        <v>131</v>
      </c>
      <c r="AU294" s="12" t="s">
        <v>74</v>
      </c>
      <c r="AY294" s="13" t="s">
        <v>130</v>
      </c>
      <c r="BE294" s="14">
        <f>IF(N294="základní",J294,0)</f>
        <v>0</v>
      </c>
      <c r="BF294" s="14">
        <f>IF(N294="snížená",J294,0)</f>
        <v>0</v>
      </c>
      <c r="BG294" s="14">
        <f>IF(N294="zákl. přenesená",J294,0)</f>
        <v>0</v>
      </c>
      <c r="BH294" s="14">
        <f>IF(N294="sníž. přenesená",J294,0)</f>
        <v>0</v>
      </c>
      <c r="BI294" s="14">
        <f>IF(N294="nulová",J294,0)</f>
        <v>0</v>
      </c>
      <c r="BJ294" s="13" t="s">
        <v>74</v>
      </c>
      <c r="BK294" s="14">
        <f>ROUND(I294*H294,2)</f>
        <v>0</v>
      </c>
      <c r="BL294" s="13" t="s">
        <v>135</v>
      </c>
      <c r="BM294" s="12" t="s">
        <v>474</v>
      </c>
    </row>
    <row r="295" spans="1:65" s="5" customFormat="1" ht="19.5" x14ac:dyDescent="0.2">
      <c r="A295" s="105"/>
      <c r="B295" s="140"/>
      <c r="C295" s="17"/>
      <c r="D295" s="141" t="s">
        <v>148</v>
      </c>
      <c r="E295" s="17"/>
      <c r="F295" s="142" t="s">
        <v>718</v>
      </c>
      <c r="G295" s="17"/>
      <c r="H295" s="17"/>
      <c r="I295" s="17"/>
      <c r="J295" s="17"/>
      <c r="K295" s="143"/>
      <c r="L295" s="17"/>
      <c r="M295" s="15"/>
      <c r="N295" s="16"/>
      <c r="O295" s="17"/>
      <c r="P295" s="17"/>
      <c r="Q295" s="17"/>
      <c r="R295" s="17"/>
      <c r="S295" s="17"/>
      <c r="T295" s="18"/>
      <c r="U295" s="105"/>
      <c r="V295" s="17"/>
      <c r="W295" s="17"/>
      <c r="X295" s="17"/>
      <c r="Y295" s="17"/>
      <c r="Z295" s="17"/>
      <c r="AA295" s="17"/>
      <c r="AB295" s="17"/>
      <c r="AC295" s="105"/>
      <c r="AD295" s="105"/>
      <c r="AE295" s="105"/>
      <c r="AT295" s="13" t="s">
        <v>148</v>
      </c>
      <c r="AU295" s="13" t="s">
        <v>74</v>
      </c>
    </row>
    <row r="296" spans="1:65" s="5" customFormat="1" ht="16.5" customHeight="1" x14ac:dyDescent="0.2">
      <c r="A296" s="105"/>
      <c r="B296" s="140"/>
      <c r="C296" s="33" t="s">
        <v>259</v>
      </c>
      <c r="D296" s="33" t="s">
        <v>131</v>
      </c>
      <c r="E296" s="34" t="s">
        <v>735</v>
      </c>
      <c r="F296" s="7" t="s">
        <v>736</v>
      </c>
      <c r="G296" s="35" t="s">
        <v>134</v>
      </c>
      <c r="H296" s="36">
        <v>2</v>
      </c>
      <c r="I296" s="1"/>
      <c r="J296" s="6">
        <f>ROUND(I296*H296,2)</f>
        <v>0</v>
      </c>
      <c r="K296" s="151" t="s">
        <v>1</v>
      </c>
      <c r="L296" s="17"/>
      <c r="M296" s="8" t="s">
        <v>1</v>
      </c>
      <c r="N296" s="9" t="s">
        <v>33</v>
      </c>
      <c r="O296" s="10">
        <v>0</v>
      </c>
      <c r="P296" s="10">
        <f>O296*H296</f>
        <v>0</v>
      </c>
      <c r="Q296" s="10">
        <v>0</v>
      </c>
      <c r="R296" s="10">
        <f>Q296*H296</f>
        <v>0</v>
      </c>
      <c r="S296" s="10">
        <v>0</v>
      </c>
      <c r="T296" s="11">
        <f>S296*H296</f>
        <v>0</v>
      </c>
      <c r="U296" s="105"/>
      <c r="V296" s="17"/>
      <c r="W296" s="17"/>
      <c r="X296" s="17"/>
      <c r="Y296" s="17"/>
      <c r="Z296" s="17"/>
      <c r="AA296" s="17"/>
      <c r="AB296" s="17"/>
      <c r="AC296" s="105"/>
      <c r="AD296" s="105"/>
      <c r="AE296" s="105"/>
      <c r="AR296" s="12" t="s">
        <v>135</v>
      </c>
      <c r="AT296" s="12" t="s">
        <v>131</v>
      </c>
      <c r="AU296" s="12" t="s">
        <v>74</v>
      </c>
      <c r="AY296" s="13" t="s">
        <v>130</v>
      </c>
      <c r="BE296" s="14">
        <f>IF(N296="základní",J296,0)</f>
        <v>0</v>
      </c>
      <c r="BF296" s="14">
        <f>IF(N296="snížená",J296,0)</f>
        <v>0</v>
      </c>
      <c r="BG296" s="14">
        <f>IF(N296="zákl. přenesená",J296,0)</f>
        <v>0</v>
      </c>
      <c r="BH296" s="14">
        <f>IF(N296="sníž. přenesená",J296,0)</f>
        <v>0</v>
      </c>
      <c r="BI296" s="14">
        <f>IF(N296="nulová",J296,0)</f>
        <v>0</v>
      </c>
      <c r="BJ296" s="13" t="s">
        <v>74</v>
      </c>
      <c r="BK296" s="14">
        <f>ROUND(I296*H296,2)</f>
        <v>0</v>
      </c>
      <c r="BL296" s="13" t="s">
        <v>135</v>
      </c>
      <c r="BM296" s="12" t="s">
        <v>477</v>
      </c>
    </row>
    <row r="297" spans="1:65" s="5" customFormat="1" ht="19.5" x14ac:dyDescent="0.2">
      <c r="A297" s="105"/>
      <c r="B297" s="140"/>
      <c r="C297" s="17"/>
      <c r="D297" s="141" t="s">
        <v>148</v>
      </c>
      <c r="E297" s="17"/>
      <c r="F297" s="142" t="s">
        <v>737</v>
      </c>
      <c r="G297" s="17"/>
      <c r="H297" s="17"/>
      <c r="I297" s="17"/>
      <c r="J297" s="17"/>
      <c r="K297" s="143"/>
      <c r="L297" s="17"/>
      <c r="M297" s="15"/>
      <c r="N297" s="16"/>
      <c r="O297" s="17"/>
      <c r="P297" s="17"/>
      <c r="Q297" s="17"/>
      <c r="R297" s="17"/>
      <c r="S297" s="17"/>
      <c r="T297" s="18"/>
      <c r="U297" s="105"/>
      <c r="V297" s="17"/>
      <c r="W297" s="17"/>
      <c r="X297" s="17"/>
      <c r="Y297" s="17"/>
      <c r="Z297" s="17"/>
      <c r="AA297" s="17"/>
      <c r="AB297" s="17"/>
      <c r="AC297" s="105"/>
      <c r="AD297" s="105"/>
      <c r="AE297" s="105"/>
      <c r="AT297" s="13" t="s">
        <v>148</v>
      </c>
      <c r="AU297" s="13" t="s">
        <v>74</v>
      </c>
    </row>
    <row r="298" spans="1:65" s="5" customFormat="1" ht="16.5" customHeight="1" x14ac:dyDescent="0.2">
      <c r="A298" s="105"/>
      <c r="B298" s="140"/>
      <c r="C298" s="33" t="s">
        <v>480</v>
      </c>
      <c r="D298" s="33" t="s">
        <v>131</v>
      </c>
      <c r="E298" s="34" t="s">
        <v>232</v>
      </c>
      <c r="F298" s="7" t="s">
        <v>722</v>
      </c>
      <c r="G298" s="35" t="s">
        <v>723</v>
      </c>
      <c r="H298" s="36">
        <v>4.9000000000000002E-2</v>
      </c>
      <c r="I298" s="1"/>
      <c r="J298" s="6">
        <f>ROUND(I298*H298,2)</f>
        <v>0</v>
      </c>
      <c r="K298" s="151" t="s">
        <v>1</v>
      </c>
      <c r="L298" s="17"/>
      <c r="M298" s="8" t="s">
        <v>1</v>
      </c>
      <c r="N298" s="9" t="s">
        <v>33</v>
      </c>
      <c r="O298" s="10">
        <v>0</v>
      </c>
      <c r="P298" s="10">
        <f>O298*H298</f>
        <v>0</v>
      </c>
      <c r="Q298" s="10">
        <v>0</v>
      </c>
      <c r="R298" s="10">
        <f>Q298*H298</f>
        <v>0</v>
      </c>
      <c r="S298" s="10">
        <v>0</v>
      </c>
      <c r="T298" s="11">
        <f>S298*H298</f>
        <v>0</v>
      </c>
      <c r="U298" s="105"/>
      <c r="V298" s="17"/>
      <c r="W298" s="17"/>
      <c r="X298" s="17"/>
      <c r="Y298" s="17"/>
      <c r="Z298" s="17"/>
      <c r="AA298" s="17"/>
      <c r="AB298" s="17"/>
      <c r="AC298" s="105"/>
      <c r="AD298" s="105"/>
      <c r="AE298" s="105"/>
      <c r="AR298" s="12" t="s">
        <v>135</v>
      </c>
      <c r="AT298" s="12" t="s">
        <v>131</v>
      </c>
      <c r="AU298" s="12" t="s">
        <v>74</v>
      </c>
      <c r="AY298" s="13" t="s">
        <v>130</v>
      </c>
      <c r="BE298" s="14">
        <f>IF(N298="základní",J298,0)</f>
        <v>0</v>
      </c>
      <c r="BF298" s="14">
        <f>IF(N298="snížená",J298,0)</f>
        <v>0</v>
      </c>
      <c r="BG298" s="14">
        <f>IF(N298="zákl. přenesená",J298,0)</f>
        <v>0</v>
      </c>
      <c r="BH298" s="14">
        <f>IF(N298="sníž. přenesená",J298,0)</f>
        <v>0</v>
      </c>
      <c r="BI298" s="14">
        <f>IF(N298="nulová",J298,0)</f>
        <v>0</v>
      </c>
      <c r="BJ298" s="13" t="s">
        <v>74</v>
      </c>
      <c r="BK298" s="14">
        <f>ROUND(I298*H298,2)</f>
        <v>0</v>
      </c>
      <c r="BL298" s="13" t="s">
        <v>135</v>
      </c>
      <c r="BM298" s="12" t="s">
        <v>479</v>
      </c>
    </row>
    <row r="299" spans="1:65" s="5" customFormat="1" ht="16.5" customHeight="1" x14ac:dyDescent="0.2">
      <c r="A299" s="105"/>
      <c r="B299" s="140"/>
      <c r="C299" s="33" t="s">
        <v>262</v>
      </c>
      <c r="D299" s="33" t="s">
        <v>131</v>
      </c>
      <c r="E299" s="34" t="s">
        <v>246</v>
      </c>
      <c r="F299" s="7" t="s">
        <v>724</v>
      </c>
      <c r="G299" s="35" t="s">
        <v>723</v>
      </c>
      <c r="H299" s="36">
        <v>4.9000000000000002E-2</v>
      </c>
      <c r="I299" s="1"/>
      <c r="J299" s="6">
        <f>ROUND(I299*H299,2)</f>
        <v>0</v>
      </c>
      <c r="K299" s="151" t="s">
        <v>1</v>
      </c>
      <c r="L299" s="17"/>
      <c r="M299" s="8" t="s">
        <v>1</v>
      </c>
      <c r="N299" s="9" t="s">
        <v>33</v>
      </c>
      <c r="O299" s="10">
        <v>0</v>
      </c>
      <c r="P299" s="10">
        <f>O299*H299</f>
        <v>0</v>
      </c>
      <c r="Q299" s="10">
        <v>0</v>
      </c>
      <c r="R299" s="10">
        <f>Q299*H299</f>
        <v>0</v>
      </c>
      <c r="S299" s="10">
        <v>0</v>
      </c>
      <c r="T299" s="11">
        <f>S299*H299</f>
        <v>0</v>
      </c>
      <c r="U299" s="105"/>
      <c r="V299" s="17"/>
      <c r="W299" s="17"/>
      <c r="X299" s="17"/>
      <c r="Y299" s="17"/>
      <c r="Z299" s="17"/>
      <c r="AA299" s="17"/>
      <c r="AB299" s="17"/>
      <c r="AC299" s="105"/>
      <c r="AD299" s="105"/>
      <c r="AE299" s="105"/>
      <c r="AR299" s="12" t="s">
        <v>135</v>
      </c>
      <c r="AT299" s="12" t="s">
        <v>131</v>
      </c>
      <c r="AU299" s="12" t="s">
        <v>74</v>
      </c>
      <c r="AY299" s="13" t="s">
        <v>130</v>
      </c>
      <c r="BE299" s="14">
        <f>IF(N299="základní",J299,0)</f>
        <v>0</v>
      </c>
      <c r="BF299" s="14">
        <f>IF(N299="snížená",J299,0)</f>
        <v>0</v>
      </c>
      <c r="BG299" s="14">
        <f>IF(N299="zákl. přenesená",J299,0)</f>
        <v>0</v>
      </c>
      <c r="BH299" s="14">
        <f>IF(N299="sníž. přenesená",J299,0)</f>
        <v>0</v>
      </c>
      <c r="BI299" s="14">
        <f>IF(N299="nulová",J299,0)</f>
        <v>0</v>
      </c>
      <c r="BJ299" s="13" t="s">
        <v>74</v>
      </c>
      <c r="BK299" s="14">
        <f>ROUND(I299*H299,2)</f>
        <v>0</v>
      </c>
      <c r="BL299" s="13" t="s">
        <v>135</v>
      </c>
      <c r="BM299" s="12" t="s">
        <v>481</v>
      </c>
    </row>
    <row r="300" spans="1:65" s="5" customFormat="1" ht="16.5" customHeight="1" x14ac:dyDescent="0.2">
      <c r="A300" s="105"/>
      <c r="B300" s="140"/>
      <c r="C300" s="33" t="s">
        <v>485</v>
      </c>
      <c r="D300" s="33" t="s">
        <v>131</v>
      </c>
      <c r="E300" s="34" t="s">
        <v>770</v>
      </c>
      <c r="F300" s="7" t="s">
        <v>771</v>
      </c>
      <c r="G300" s="35" t="s">
        <v>134</v>
      </c>
      <c r="H300" s="36">
        <v>2</v>
      </c>
      <c r="I300" s="1"/>
      <c r="J300" s="6">
        <f>ROUND(I300*H300,2)</f>
        <v>0</v>
      </c>
      <c r="K300" s="151" t="s">
        <v>1</v>
      </c>
      <c r="L300" s="17"/>
      <c r="M300" s="8" t="s">
        <v>1</v>
      </c>
      <c r="N300" s="9" t="s">
        <v>33</v>
      </c>
      <c r="O300" s="10">
        <v>0</v>
      </c>
      <c r="P300" s="10">
        <f>O300*H300</f>
        <v>0</v>
      </c>
      <c r="Q300" s="10">
        <v>0</v>
      </c>
      <c r="R300" s="10">
        <f>Q300*H300</f>
        <v>0</v>
      </c>
      <c r="S300" s="10">
        <v>0</v>
      </c>
      <c r="T300" s="11">
        <f>S300*H300</f>
        <v>0</v>
      </c>
      <c r="U300" s="105"/>
      <c r="V300" s="17"/>
      <c r="W300" s="17"/>
      <c r="X300" s="17"/>
      <c r="Y300" s="17"/>
      <c r="Z300" s="17"/>
      <c r="AA300" s="17"/>
      <c r="AB300" s="17"/>
      <c r="AC300" s="105"/>
      <c r="AD300" s="105"/>
      <c r="AE300" s="105"/>
      <c r="AR300" s="12" t="s">
        <v>135</v>
      </c>
      <c r="AT300" s="12" t="s">
        <v>131</v>
      </c>
      <c r="AU300" s="12" t="s">
        <v>74</v>
      </c>
      <c r="AY300" s="13" t="s">
        <v>130</v>
      </c>
      <c r="BE300" s="14">
        <f>IF(N300="základní",J300,0)</f>
        <v>0</v>
      </c>
      <c r="BF300" s="14">
        <f>IF(N300="snížená",J300,0)</f>
        <v>0</v>
      </c>
      <c r="BG300" s="14">
        <f>IF(N300="zákl. přenesená",J300,0)</f>
        <v>0</v>
      </c>
      <c r="BH300" s="14">
        <f>IF(N300="sníž. přenesená",J300,0)</f>
        <v>0</v>
      </c>
      <c r="BI300" s="14">
        <f>IF(N300="nulová",J300,0)</f>
        <v>0</v>
      </c>
      <c r="BJ300" s="13" t="s">
        <v>74</v>
      </c>
      <c r="BK300" s="14">
        <f>ROUND(I300*H300,2)</f>
        <v>0</v>
      </c>
      <c r="BL300" s="13" t="s">
        <v>135</v>
      </c>
      <c r="BM300" s="12" t="s">
        <v>483</v>
      </c>
    </row>
    <row r="301" spans="1:65" s="5" customFormat="1" ht="39" x14ac:dyDescent="0.2">
      <c r="A301" s="105"/>
      <c r="B301" s="140"/>
      <c r="C301" s="17"/>
      <c r="D301" s="141" t="s">
        <v>148</v>
      </c>
      <c r="E301" s="17"/>
      <c r="F301" s="142" t="s">
        <v>743</v>
      </c>
      <c r="G301" s="17"/>
      <c r="H301" s="17"/>
      <c r="I301" s="17"/>
      <c r="J301" s="17"/>
      <c r="K301" s="143"/>
      <c r="L301" s="17"/>
      <c r="M301" s="15"/>
      <c r="N301" s="16"/>
      <c r="O301" s="17"/>
      <c r="P301" s="17"/>
      <c r="Q301" s="17"/>
      <c r="R301" s="17"/>
      <c r="S301" s="17"/>
      <c r="T301" s="18"/>
      <c r="U301" s="105"/>
      <c r="V301" s="17"/>
      <c r="W301" s="17"/>
      <c r="X301" s="17"/>
      <c r="Y301" s="17"/>
      <c r="Z301" s="17"/>
      <c r="AA301" s="17"/>
      <c r="AB301" s="17"/>
      <c r="AC301" s="105"/>
      <c r="AD301" s="105"/>
      <c r="AE301" s="105"/>
      <c r="AT301" s="13" t="s">
        <v>148</v>
      </c>
      <c r="AU301" s="13" t="s">
        <v>74</v>
      </c>
    </row>
    <row r="302" spans="1:65" s="5" customFormat="1" ht="16.5" customHeight="1" x14ac:dyDescent="0.2">
      <c r="A302" s="105"/>
      <c r="B302" s="140"/>
      <c r="C302" s="33" t="s">
        <v>266</v>
      </c>
      <c r="D302" s="33" t="s">
        <v>131</v>
      </c>
      <c r="E302" s="34" t="s">
        <v>772</v>
      </c>
      <c r="F302" s="7" t="s">
        <v>773</v>
      </c>
      <c r="G302" s="35" t="s">
        <v>134</v>
      </c>
      <c r="H302" s="36">
        <v>2</v>
      </c>
      <c r="I302" s="1"/>
      <c r="J302" s="6">
        <f>ROUND(I302*H302,2)</f>
        <v>0</v>
      </c>
      <c r="K302" s="151" t="s">
        <v>1</v>
      </c>
      <c r="L302" s="17"/>
      <c r="M302" s="8" t="s">
        <v>1</v>
      </c>
      <c r="N302" s="9" t="s">
        <v>33</v>
      </c>
      <c r="O302" s="10">
        <v>0</v>
      </c>
      <c r="P302" s="10">
        <f>O302*H302</f>
        <v>0</v>
      </c>
      <c r="Q302" s="10">
        <v>0</v>
      </c>
      <c r="R302" s="10">
        <f>Q302*H302</f>
        <v>0</v>
      </c>
      <c r="S302" s="10">
        <v>0</v>
      </c>
      <c r="T302" s="11">
        <f>S302*H302</f>
        <v>0</v>
      </c>
      <c r="U302" s="105"/>
      <c r="V302" s="17"/>
      <c r="W302" s="17"/>
      <c r="X302" s="17"/>
      <c r="Y302" s="17"/>
      <c r="Z302" s="17"/>
      <c r="AA302" s="17"/>
      <c r="AB302" s="17"/>
      <c r="AC302" s="105"/>
      <c r="AD302" s="105"/>
      <c r="AE302" s="105"/>
      <c r="AR302" s="12" t="s">
        <v>135</v>
      </c>
      <c r="AT302" s="12" t="s">
        <v>131</v>
      </c>
      <c r="AU302" s="12" t="s">
        <v>74</v>
      </c>
      <c r="AY302" s="13" t="s">
        <v>130</v>
      </c>
      <c r="BE302" s="14">
        <f>IF(N302="základní",J302,0)</f>
        <v>0</v>
      </c>
      <c r="BF302" s="14">
        <f>IF(N302="snížená",J302,0)</f>
        <v>0</v>
      </c>
      <c r="BG302" s="14">
        <f>IF(N302="zákl. přenesená",J302,0)</f>
        <v>0</v>
      </c>
      <c r="BH302" s="14">
        <f>IF(N302="sníž. přenesená",J302,0)</f>
        <v>0</v>
      </c>
      <c r="BI302" s="14">
        <f>IF(N302="nulová",J302,0)</f>
        <v>0</v>
      </c>
      <c r="BJ302" s="13" t="s">
        <v>74</v>
      </c>
      <c r="BK302" s="14">
        <f>ROUND(I302*H302,2)</f>
        <v>0</v>
      </c>
      <c r="BL302" s="13" t="s">
        <v>135</v>
      </c>
      <c r="BM302" s="12" t="s">
        <v>488</v>
      </c>
    </row>
    <row r="303" spans="1:65" s="5" customFormat="1" ht="16.5" customHeight="1" x14ac:dyDescent="0.2">
      <c r="A303" s="105"/>
      <c r="B303" s="140"/>
      <c r="C303" s="33" t="s">
        <v>492</v>
      </c>
      <c r="D303" s="33" t="s">
        <v>131</v>
      </c>
      <c r="E303" s="34" t="s">
        <v>774</v>
      </c>
      <c r="F303" s="7" t="s">
        <v>775</v>
      </c>
      <c r="G303" s="35" t="s">
        <v>134</v>
      </c>
      <c r="H303" s="36">
        <v>25.396999999999998</v>
      </c>
      <c r="I303" s="1"/>
      <c r="J303" s="6">
        <f>ROUND(I303*H303,2)</f>
        <v>0</v>
      </c>
      <c r="K303" s="151" t="s">
        <v>1</v>
      </c>
      <c r="L303" s="17"/>
      <c r="M303" s="8" t="s">
        <v>1</v>
      </c>
      <c r="N303" s="9" t="s">
        <v>33</v>
      </c>
      <c r="O303" s="10">
        <v>0</v>
      </c>
      <c r="P303" s="10">
        <f>O303*H303</f>
        <v>0</v>
      </c>
      <c r="Q303" s="10">
        <v>0</v>
      </c>
      <c r="R303" s="10">
        <f>Q303*H303</f>
        <v>0</v>
      </c>
      <c r="S303" s="10">
        <v>0</v>
      </c>
      <c r="T303" s="11">
        <f>S303*H303</f>
        <v>0</v>
      </c>
      <c r="U303" s="105"/>
      <c r="V303" s="17"/>
      <c r="W303" s="17"/>
      <c r="X303" s="17"/>
      <c r="Y303" s="17"/>
      <c r="Z303" s="17"/>
      <c r="AA303" s="17"/>
      <c r="AB303" s="17"/>
      <c r="AC303" s="105"/>
      <c r="AD303" s="105"/>
      <c r="AE303" s="105"/>
      <c r="AR303" s="12" t="s">
        <v>135</v>
      </c>
      <c r="AT303" s="12" t="s">
        <v>131</v>
      </c>
      <c r="AU303" s="12" t="s">
        <v>74</v>
      </c>
      <c r="AY303" s="13" t="s">
        <v>130</v>
      </c>
      <c r="BE303" s="14">
        <f>IF(N303="základní",J303,0)</f>
        <v>0</v>
      </c>
      <c r="BF303" s="14">
        <f>IF(N303="snížená",J303,0)</f>
        <v>0</v>
      </c>
      <c r="BG303" s="14">
        <f>IF(N303="zákl. přenesená",J303,0)</f>
        <v>0</v>
      </c>
      <c r="BH303" s="14">
        <f>IF(N303="sníž. přenesená",J303,0)</f>
        <v>0</v>
      </c>
      <c r="BI303" s="14">
        <f>IF(N303="nulová",J303,0)</f>
        <v>0</v>
      </c>
      <c r="BJ303" s="13" t="s">
        <v>74</v>
      </c>
      <c r="BK303" s="14">
        <f>ROUND(I303*H303,2)</f>
        <v>0</v>
      </c>
      <c r="BL303" s="13" t="s">
        <v>135</v>
      </c>
      <c r="BM303" s="12" t="s">
        <v>491</v>
      </c>
    </row>
    <row r="304" spans="1:65" s="5" customFormat="1" ht="16.5" customHeight="1" x14ac:dyDescent="0.2">
      <c r="A304" s="105"/>
      <c r="B304" s="140"/>
      <c r="C304" s="33" t="s">
        <v>269</v>
      </c>
      <c r="D304" s="33" t="s">
        <v>131</v>
      </c>
      <c r="E304" s="34" t="s">
        <v>776</v>
      </c>
      <c r="F304" s="7" t="s">
        <v>777</v>
      </c>
      <c r="G304" s="35" t="s">
        <v>134</v>
      </c>
      <c r="H304" s="36">
        <v>25.396999999999998</v>
      </c>
      <c r="I304" s="1"/>
      <c r="J304" s="6">
        <f>ROUND(I304*H304,2)</f>
        <v>0</v>
      </c>
      <c r="K304" s="151" t="s">
        <v>1</v>
      </c>
      <c r="L304" s="17"/>
      <c r="M304" s="8" t="s">
        <v>1</v>
      </c>
      <c r="N304" s="9" t="s">
        <v>33</v>
      </c>
      <c r="O304" s="10">
        <v>0</v>
      </c>
      <c r="P304" s="10">
        <f>O304*H304</f>
        <v>0</v>
      </c>
      <c r="Q304" s="10">
        <v>0</v>
      </c>
      <c r="R304" s="10">
        <f>Q304*H304</f>
        <v>0</v>
      </c>
      <c r="S304" s="10">
        <v>0</v>
      </c>
      <c r="T304" s="11">
        <f>S304*H304</f>
        <v>0</v>
      </c>
      <c r="U304" s="105"/>
      <c r="V304" s="17"/>
      <c r="W304" s="17"/>
      <c r="X304" s="17"/>
      <c r="Y304" s="17"/>
      <c r="Z304" s="17"/>
      <c r="AA304" s="17"/>
      <c r="AB304" s="17"/>
      <c r="AC304" s="105"/>
      <c r="AD304" s="105"/>
      <c r="AE304" s="105"/>
      <c r="AR304" s="12" t="s">
        <v>135</v>
      </c>
      <c r="AT304" s="12" t="s">
        <v>131</v>
      </c>
      <c r="AU304" s="12" t="s">
        <v>74</v>
      </c>
      <c r="AY304" s="13" t="s">
        <v>130</v>
      </c>
      <c r="BE304" s="14">
        <f>IF(N304="základní",J304,0)</f>
        <v>0</v>
      </c>
      <c r="BF304" s="14">
        <f>IF(N304="snížená",J304,0)</f>
        <v>0</v>
      </c>
      <c r="BG304" s="14">
        <f>IF(N304="zákl. přenesená",J304,0)</f>
        <v>0</v>
      </c>
      <c r="BH304" s="14">
        <f>IF(N304="sníž. přenesená",J304,0)</f>
        <v>0</v>
      </c>
      <c r="BI304" s="14">
        <f>IF(N304="nulová",J304,0)</f>
        <v>0</v>
      </c>
      <c r="BJ304" s="13" t="s">
        <v>74</v>
      </c>
      <c r="BK304" s="14">
        <f>ROUND(I304*H304,2)</f>
        <v>0</v>
      </c>
      <c r="BL304" s="13" t="s">
        <v>135</v>
      </c>
      <c r="BM304" s="12" t="s">
        <v>495</v>
      </c>
    </row>
    <row r="305" spans="1:65" s="5" customFormat="1" ht="29.25" x14ac:dyDescent="0.2">
      <c r="A305" s="105"/>
      <c r="B305" s="140"/>
      <c r="C305" s="17"/>
      <c r="D305" s="141" t="s">
        <v>148</v>
      </c>
      <c r="E305" s="17"/>
      <c r="F305" s="142" t="s">
        <v>778</v>
      </c>
      <c r="G305" s="17"/>
      <c r="H305" s="17"/>
      <c r="I305" s="17"/>
      <c r="J305" s="17"/>
      <c r="K305" s="143"/>
      <c r="L305" s="17"/>
      <c r="M305" s="15"/>
      <c r="N305" s="16"/>
      <c r="O305" s="17"/>
      <c r="P305" s="17"/>
      <c r="Q305" s="17"/>
      <c r="R305" s="17"/>
      <c r="S305" s="17"/>
      <c r="T305" s="18"/>
      <c r="U305" s="105"/>
      <c r="V305" s="17"/>
      <c r="W305" s="17"/>
      <c r="X305" s="17"/>
      <c r="Y305" s="17"/>
      <c r="Z305" s="17"/>
      <c r="AA305" s="17"/>
      <c r="AB305" s="17"/>
      <c r="AC305" s="105"/>
      <c r="AD305" s="105"/>
      <c r="AE305" s="105"/>
      <c r="AT305" s="13" t="s">
        <v>148</v>
      </c>
      <c r="AU305" s="13" t="s">
        <v>74</v>
      </c>
    </row>
    <row r="306" spans="1:65" s="20" customFormat="1" ht="25.9" customHeight="1" x14ac:dyDescent="0.2">
      <c r="B306" s="172"/>
      <c r="C306" s="23"/>
      <c r="D306" s="173" t="s">
        <v>67</v>
      </c>
      <c r="E306" s="174" t="s">
        <v>203</v>
      </c>
      <c r="F306" s="174" t="s">
        <v>782</v>
      </c>
      <c r="G306" s="23"/>
      <c r="H306" s="23"/>
      <c r="I306" s="23"/>
      <c r="J306" s="175">
        <f>BK306</f>
        <v>0</v>
      </c>
      <c r="K306" s="176"/>
      <c r="L306" s="23"/>
      <c r="M306" s="22"/>
      <c r="N306" s="23"/>
      <c r="O306" s="23"/>
      <c r="P306" s="24">
        <f>SUM(P309:P322)</f>
        <v>0</v>
      </c>
      <c r="Q306" s="23"/>
      <c r="R306" s="24">
        <f>SUM(R309:R322)</f>
        <v>0</v>
      </c>
      <c r="S306" s="23"/>
      <c r="T306" s="25">
        <f>SUM(T309:T322)</f>
        <v>0</v>
      </c>
      <c r="V306" s="23"/>
      <c r="W306" s="23"/>
      <c r="X306" s="23"/>
      <c r="Y306" s="23"/>
      <c r="Z306" s="23"/>
      <c r="AA306" s="23"/>
      <c r="AB306" s="23"/>
      <c r="AR306" s="26" t="s">
        <v>74</v>
      </c>
      <c r="AT306" s="27" t="s">
        <v>67</v>
      </c>
      <c r="AU306" s="27" t="s">
        <v>68</v>
      </c>
      <c r="AY306" s="26" t="s">
        <v>130</v>
      </c>
      <c r="BK306" s="28">
        <f>SUM(BK309:BK322)</f>
        <v>0</v>
      </c>
    </row>
    <row r="307" spans="1:65" s="5" customFormat="1" ht="19.5" x14ac:dyDescent="0.2">
      <c r="B307" s="177"/>
      <c r="C307" s="16"/>
      <c r="D307" s="178" t="s">
        <v>148</v>
      </c>
      <c r="E307" s="16"/>
      <c r="F307" s="200" t="s">
        <v>1249</v>
      </c>
      <c r="G307" s="180"/>
      <c r="H307" s="16"/>
      <c r="I307" s="16"/>
      <c r="J307" s="16"/>
      <c r="K307" s="181"/>
      <c r="L307" s="52"/>
      <c r="M307" s="52"/>
      <c r="N307" s="52"/>
      <c r="O307" s="52"/>
      <c r="P307" s="52"/>
      <c r="Q307" s="52"/>
      <c r="R307" s="52"/>
      <c r="S307" s="128"/>
      <c r="V307" s="16"/>
      <c r="W307" s="16"/>
      <c r="X307" s="16"/>
      <c r="Y307" s="16"/>
      <c r="Z307" s="16"/>
      <c r="AA307" s="16"/>
      <c r="AB307" s="16"/>
      <c r="AZ307" s="126" t="s">
        <v>148</v>
      </c>
      <c r="BA307" s="126" t="s">
        <v>74</v>
      </c>
    </row>
    <row r="308" spans="1:65" s="5" customFormat="1" ht="10.15" customHeight="1" x14ac:dyDescent="0.2">
      <c r="B308" s="177"/>
      <c r="C308" s="16"/>
      <c r="D308" s="178" t="s">
        <v>340</v>
      </c>
      <c r="E308" s="16"/>
      <c r="F308" s="200" t="s">
        <v>1252</v>
      </c>
      <c r="G308" s="16"/>
      <c r="H308" s="180">
        <f>2.91*5.91</f>
        <v>17.1981</v>
      </c>
      <c r="I308" s="16"/>
      <c r="J308" s="16"/>
      <c r="K308" s="181"/>
      <c r="L308" s="52"/>
      <c r="M308" s="52"/>
      <c r="N308" s="52"/>
      <c r="O308" s="52"/>
      <c r="P308" s="52"/>
      <c r="Q308" s="52"/>
      <c r="R308" s="52"/>
      <c r="S308" s="128"/>
      <c r="V308" s="16"/>
      <c r="W308" s="16"/>
      <c r="X308" s="16"/>
      <c r="Y308" s="16"/>
      <c r="Z308" s="16"/>
      <c r="AA308" s="16"/>
      <c r="AB308" s="16"/>
      <c r="AZ308" s="126" t="s">
        <v>148</v>
      </c>
      <c r="BA308" s="126" t="s">
        <v>74</v>
      </c>
    </row>
    <row r="309" spans="1:65" s="5" customFormat="1" ht="16.5" customHeight="1" x14ac:dyDescent="0.2">
      <c r="A309" s="105"/>
      <c r="B309" s="140"/>
      <c r="C309" s="33" t="s">
        <v>499</v>
      </c>
      <c r="D309" s="33" t="s">
        <v>131</v>
      </c>
      <c r="E309" s="34" t="s">
        <v>713</v>
      </c>
      <c r="F309" s="7" t="s">
        <v>714</v>
      </c>
      <c r="G309" s="35" t="s">
        <v>134</v>
      </c>
      <c r="H309" s="36">
        <v>17.198</v>
      </c>
      <c r="I309" s="1"/>
      <c r="J309" s="6">
        <f>ROUND(I309*H309,2)</f>
        <v>0</v>
      </c>
      <c r="K309" s="151" t="s">
        <v>1</v>
      </c>
      <c r="L309" s="17"/>
      <c r="M309" s="8" t="s">
        <v>1</v>
      </c>
      <c r="N309" s="9" t="s">
        <v>33</v>
      </c>
      <c r="O309" s="10">
        <v>0</v>
      </c>
      <c r="P309" s="10">
        <f>O309*H309</f>
        <v>0</v>
      </c>
      <c r="Q309" s="10">
        <v>0</v>
      </c>
      <c r="R309" s="10">
        <f>Q309*H309</f>
        <v>0</v>
      </c>
      <c r="S309" s="10">
        <v>0</v>
      </c>
      <c r="T309" s="11">
        <f>S309*H309</f>
        <v>0</v>
      </c>
      <c r="U309" s="105"/>
      <c r="V309" s="17"/>
      <c r="W309" s="17"/>
      <c r="X309" s="17"/>
      <c r="Y309" s="17"/>
      <c r="Z309" s="17"/>
      <c r="AA309" s="17"/>
      <c r="AB309" s="17"/>
      <c r="AC309" s="105"/>
      <c r="AD309" s="105"/>
      <c r="AE309" s="105"/>
      <c r="AR309" s="12" t="s">
        <v>135</v>
      </c>
      <c r="AT309" s="12" t="s">
        <v>131</v>
      </c>
      <c r="AU309" s="12" t="s">
        <v>74</v>
      </c>
      <c r="AY309" s="13" t="s">
        <v>130</v>
      </c>
      <c r="BE309" s="14">
        <f>IF(N309="základní",J309,0)</f>
        <v>0</v>
      </c>
      <c r="BF309" s="14">
        <f>IF(N309="snížená",J309,0)</f>
        <v>0</v>
      </c>
      <c r="BG309" s="14">
        <f>IF(N309="zákl. přenesená",J309,0)</f>
        <v>0</v>
      </c>
      <c r="BH309" s="14">
        <f>IF(N309="sníž. přenesená",J309,0)</f>
        <v>0</v>
      </c>
      <c r="BI309" s="14">
        <f>IF(N309="nulová",J309,0)</f>
        <v>0</v>
      </c>
      <c r="BJ309" s="13" t="s">
        <v>74</v>
      </c>
      <c r="BK309" s="14">
        <f>ROUND(I309*H309,2)</f>
        <v>0</v>
      </c>
      <c r="BL309" s="13" t="s">
        <v>135</v>
      </c>
      <c r="BM309" s="12" t="s">
        <v>498</v>
      </c>
    </row>
    <row r="310" spans="1:65" s="5" customFormat="1" ht="16.5" customHeight="1" x14ac:dyDescent="0.2">
      <c r="A310" s="105"/>
      <c r="B310" s="140"/>
      <c r="C310" s="33" t="s">
        <v>274</v>
      </c>
      <c r="D310" s="33" t="s">
        <v>131</v>
      </c>
      <c r="E310" s="34" t="s">
        <v>716</v>
      </c>
      <c r="F310" s="7" t="s">
        <v>717</v>
      </c>
      <c r="G310" s="35" t="s">
        <v>134</v>
      </c>
      <c r="H310" s="36">
        <v>3.4390000000000001</v>
      </c>
      <c r="I310" s="1"/>
      <c r="J310" s="6">
        <f>ROUND(I310*H310,2)</f>
        <v>0</v>
      </c>
      <c r="K310" s="151" t="s">
        <v>1</v>
      </c>
      <c r="L310" s="17"/>
      <c r="M310" s="8" t="s">
        <v>1</v>
      </c>
      <c r="N310" s="9" t="s">
        <v>33</v>
      </c>
      <c r="O310" s="10">
        <v>0</v>
      </c>
      <c r="P310" s="10">
        <f>O310*H310</f>
        <v>0</v>
      </c>
      <c r="Q310" s="10">
        <v>0</v>
      </c>
      <c r="R310" s="10">
        <f>Q310*H310</f>
        <v>0</v>
      </c>
      <c r="S310" s="10">
        <v>0</v>
      </c>
      <c r="T310" s="11">
        <f>S310*H310</f>
        <v>0</v>
      </c>
      <c r="U310" s="105"/>
      <c r="V310" s="17"/>
      <c r="W310" s="17"/>
      <c r="X310" s="17"/>
      <c r="Y310" s="17"/>
      <c r="Z310" s="17"/>
      <c r="AA310" s="17"/>
      <c r="AB310" s="17"/>
      <c r="AC310" s="105"/>
      <c r="AD310" s="105"/>
      <c r="AE310" s="105"/>
      <c r="AR310" s="12" t="s">
        <v>135</v>
      </c>
      <c r="AT310" s="12" t="s">
        <v>131</v>
      </c>
      <c r="AU310" s="12" t="s">
        <v>74</v>
      </c>
      <c r="AY310" s="13" t="s">
        <v>130</v>
      </c>
      <c r="BE310" s="14">
        <f>IF(N310="základní",J310,0)</f>
        <v>0</v>
      </c>
      <c r="BF310" s="14">
        <f>IF(N310="snížená",J310,0)</f>
        <v>0</v>
      </c>
      <c r="BG310" s="14">
        <f>IF(N310="zákl. přenesená",J310,0)</f>
        <v>0</v>
      </c>
      <c r="BH310" s="14">
        <f>IF(N310="sníž. přenesená",J310,0)</f>
        <v>0</v>
      </c>
      <c r="BI310" s="14">
        <f>IF(N310="nulová",J310,0)</f>
        <v>0</v>
      </c>
      <c r="BJ310" s="13" t="s">
        <v>74</v>
      </c>
      <c r="BK310" s="14">
        <f>ROUND(I310*H310,2)</f>
        <v>0</v>
      </c>
      <c r="BL310" s="13" t="s">
        <v>135</v>
      </c>
      <c r="BM310" s="12" t="s">
        <v>500</v>
      </c>
    </row>
    <row r="311" spans="1:65" s="5" customFormat="1" ht="19.5" x14ac:dyDescent="0.2">
      <c r="A311" s="105"/>
      <c r="B311" s="140"/>
      <c r="C311" s="17"/>
      <c r="D311" s="141" t="s">
        <v>148</v>
      </c>
      <c r="E311" s="17"/>
      <c r="F311" s="142" t="s">
        <v>718</v>
      </c>
      <c r="G311" s="17"/>
      <c r="H311" s="17"/>
      <c r="I311" s="17"/>
      <c r="J311" s="17"/>
      <c r="K311" s="143"/>
      <c r="L311" s="17"/>
      <c r="M311" s="15"/>
      <c r="N311" s="16"/>
      <c r="O311" s="17"/>
      <c r="P311" s="17"/>
      <c r="Q311" s="17"/>
      <c r="R311" s="17"/>
      <c r="S311" s="17"/>
      <c r="T311" s="18"/>
      <c r="U311" s="105"/>
      <c r="V311" s="17"/>
      <c r="W311" s="17"/>
      <c r="X311" s="17"/>
      <c r="Y311" s="17"/>
      <c r="Z311" s="17"/>
      <c r="AA311" s="17"/>
      <c r="AB311" s="17"/>
      <c r="AC311" s="105"/>
      <c r="AD311" s="105"/>
      <c r="AE311" s="105"/>
      <c r="AT311" s="13" t="s">
        <v>148</v>
      </c>
      <c r="AU311" s="13" t="s">
        <v>74</v>
      </c>
    </row>
    <row r="312" spans="1:65" s="5" customFormat="1" ht="16.5" customHeight="1" x14ac:dyDescent="0.2">
      <c r="A312" s="105"/>
      <c r="B312" s="140"/>
      <c r="C312" s="33" t="s">
        <v>502</v>
      </c>
      <c r="D312" s="33" t="s">
        <v>131</v>
      </c>
      <c r="E312" s="34" t="s">
        <v>735</v>
      </c>
      <c r="F312" s="7" t="s">
        <v>736</v>
      </c>
      <c r="G312" s="35" t="s">
        <v>134</v>
      </c>
      <c r="H312" s="36">
        <v>2</v>
      </c>
      <c r="I312" s="1"/>
      <c r="J312" s="6">
        <f>ROUND(I312*H312,2)</f>
        <v>0</v>
      </c>
      <c r="K312" s="151" t="s">
        <v>1</v>
      </c>
      <c r="L312" s="17"/>
      <c r="M312" s="8" t="s">
        <v>1</v>
      </c>
      <c r="N312" s="9" t="s">
        <v>33</v>
      </c>
      <c r="O312" s="10">
        <v>0</v>
      </c>
      <c r="P312" s="10">
        <f>O312*H312</f>
        <v>0</v>
      </c>
      <c r="Q312" s="10">
        <v>0</v>
      </c>
      <c r="R312" s="10">
        <f>Q312*H312</f>
        <v>0</v>
      </c>
      <c r="S312" s="10">
        <v>0</v>
      </c>
      <c r="T312" s="11">
        <f>S312*H312</f>
        <v>0</v>
      </c>
      <c r="U312" s="105"/>
      <c r="V312" s="17"/>
      <c r="W312" s="17"/>
      <c r="X312" s="17"/>
      <c r="Y312" s="17"/>
      <c r="Z312" s="17"/>
      <c r="AA312" s="17"/>
      <c r="AB312" s="17"/>
      <c r="AC312" s="105"/>
      <c r="AD312" s="105"/>
      <c r="AE312" s="105"/>
      <c r="AR312" s="12" t="s">
        <v>135</v>
      </c>
      <c r="AT312" s="12" t="s">
        <v>131</v>
      </c>
      <c r="AU312" s="12" t="s">
        <v>74</v>
      </c>
      <c r="AY312" s="13" t="s">
        <v>130</v>
      </c>
      <c r="BE312" s="14">
        <f>IF(N312="základní",J312,0)</f>
        <v>0</v>
      </c>
      <c r="BF312" s="14">
        <f>IF(N312="snížená",J312,0)</f>
        <v>0</v>
      </c>
      <c r="BG312" s="14">
        <f>IF(N312="zákl. přenesená",J312,0)</f>
        <v>0</v>
      </c>
      <c r="BH312" s="14">
        <f>IF(N312="sníž. přenesená",J312,0)</f>
        <v>0</v>
      </c>
      <c r="BI312" s="14">
        <f>IF(N312="nulová",J312,0)</f>
        <v>0</v>
      </c>
      <c r="BJ312" s="13" t="s">
        <v>74</v>
      </c>
      <c r="BK312" s="14">
        <f>ROUND(I312*H312,2)</f>
        <v>0</v>
      </c>
      <c r="BL312" s="13" t="s">
        <v>135</v>
      </c>
      <c r="BM312" s="12" t="s">
        <v>501</v>
      </c>
    </row>
    <row r="313" spans="1:65" s="5" customFormat="1" ht="19.5" x14ac:dyDescent="0.2">
      <c r="A313" s="105"/>
      <c r="B313" s="140"/>
      <c r="C313" s="17"/>
      <c r="D313" s="141" t="s">
        <v>148</v>
      </c>
      <c r="E313" s="17"/>
      <c r="F313" s="142" t="s">
        <v>737</v>
      </c>
      <c r="G313" s="17"/>
      <c r="H313" s="17"/>
      <c r="I313" s="17"/>
      <c r="J313" s="17"/>
      <c r="K313" s="143"/>
      <c r="L313" s="17"/>
      <c r="M313" s="15"/>
      <c r="N313" s="16"/>
      <c r="O313" s="17"/>
      <c r="P313" s="17"/>
      <c r="Q313" s="17"/>
      <c r="R313" s="17"/>
      <c r="S313" s="17"/>
      <c r="T313" s="18"/>
      <c r="U313" s="105"/>
      <c r="V313" s="17"/>
      <c r="W313" s="17"/>
      <c r="X313" s="17"/>
      <c r="Y313" s="17"/>
      <c r="Z313" s="17"/>
      <c r="AA313" s="17"/>
      <c r="AB313" s="17"/>
      <c r="AC313" s="105"/>
      <c r="AD313" s="105"/>
      <c r="AE313" s="105"/>
      <c r="AT313" s="13" t="s">
        <v>148</v>
      </c>
      <c r="AU313" s="13" t="s">
        <v>74</v>
      </c>
    </row>
    <row r="314" spans="1:65" s="5" customFormat="1" ht="16.5" customHeight="1" x14ac:dyDescent="0.2">
      <c r="A314" s="105"/>
      <c r="B314" s="140"/>
      <c r="C314" s="33" t="s">
        <v>275</v>
      </c>
      <c r="D314" s="33" t="s">
        <v>131</v>
      </c>
      <c r="E314" s="34" t="s">
        <v>232</v>
      </c>
      <c r="F314" s="7" t="s">
        <v>722</v>
      </c>
      <c r="G314" s="35" t="s">
        <v>723</v>
      </c>
      <c r="H314" s="36">
        <v>2.7E-2</v>
      </c>
      <c r="I314" s="1"/>
      <c r="J314" s="6">
        <f>ROUND(I314*H314,2)</f>
        <v>0</v>
      </c>
      <c r="K314" s="151" t="s">
        <v>1</v>
      </c>
      <c r="L314" s="17"/>
      <c r="M314" s="8" t="s">
        <v>1</v>
      </c>
      <c r="N314" s="9" t="s">
        <v>33</v>
      </c>
      <c r="O314" s="10">
        <v>0</v>
      </c>
      <c r="P314" s="10">
        <f>O314*H314</f>
        <v>0</v>
      </c>
      <c r="Q314" s="10">
        <v>0</v>
      </c>
      <c r="R314" s="10">
        <f>Q314*H314</f>
        <v>0</v>
      </c>
      <c r="S314" s="10">
        <v>0</v>
      </c>
      <c r="T314" s="11">
        <f>S314*H314</f>
        <v>0</v>
      </c>
      <c r="U314" s="105"/>
      <c r="V314" s="17"/>
      <c r="W314" s="17"/>
      <c r="X314" s="17"/>
      <c r="Y314" s="17"/>
      <c r="Z314" s="17"/>
      <c r="AA314" s="17"/>
      <c r="AB314" s="17"/>
      <c r="AC314" s="105"/>
      <c r="AD314" s="105"/>
      <c r="AE314" s="105"/>
      <c r="AR314" s="12" t="s">
        <v>135</v>
      </c>
      <c r="AT314" s="12" t="s">
        <v>131</v>
      </c>
      <c r="AU314" s="12" t="s">
        <v>74</v>
      </c>
      <c r="AY314" s="13" t="s">
        <v>130</v>
      </c>
      <c r="BE314" s="14">
        <f>IF(N314="základní",J314,0)</f>
        <v>0</v>
      </c>
      <c r="BF314" s="14">
        <f>IF(N314="snížená",J314,0)</f>
        <v>0</v>
      </c>
      <c r="BG314" s="14">
        <f>IF(N314="zákl. přenesená",J314,0)</f>
        <v>0</v>
      </c>
      <c r="BH314" s="14">
        <f>IF(N314="sníž. přenesená",J314,0)</f>
        <v>0</v>
      </c>
      <c r="BI314" s="14">
        <f>IF(N314="nulová",J314,0)</f>
        <v>0</v>
      </c>
      <c r="BJ314" s="13" t="s">
        <v>74</v>
      </c>
      <c r="BK314" s="14">
        <f>ROUND(I314*H314,2)</f>
        <v>0</v>
      </c>
      <c r="BL314" s="13" t="s">
        <v>135</v>
      </c>
      <c r="BM314" s="12" t="s">
        <v>503</v>
      </c>
    </row>
    <row r="315" spans="1:65" s="5" customFormat="1" ht="16.5" customHeight="1" x14ac:dyDescent="0.2">
      <c r="A315" s="105"/>
      <c r="B315" s="140"/>
      <c r="C315" s="33" t="s">
        <v>506</v>
      </c>
      <c r="D315" s="33" t="s">
        <v>131</v>
      </c>
      <c r="E315" s="34" t="s">
        <v>246</v>
      </c>
      <c r="F315" s="7" t="s">
        <v>724</v>
      </c>
      <c r="G315" s="35" t="s">
        <v>723</v>
      </c>
      <c r="H315" s="36">
        <v>2.7E-2</v>
      </c>
      <c r="I315" s="1"/>
      <c r="J315" s="6">
        <f>ROUND(I315*H315,2)</f>
        <v>0</v>
      </c>
      <c r="K315" s="151" t="s">
        <v>1</v>
      </c>
      <c r="L315" s="17"/>
      <c r="M315" s="8" t="s">
        <v>1</v>
      </c>
      <c r="N315" s="9" t="s">
        <v>33</v>
      </c>
      <c r="O315" s="10">
        <v>0</v>
      </c>
      <c r="P315" s="10">
        <f>O315*H315</f>
        <v>0</v>
      </c>
      <c r="Q315" s="10">
        <v>0</v>
      </c>
      <c r="R315" s="10">
        <f>Q315*H315</f>
        <v>0</v>
      </c>
      <c r="S315" s="10">
        <v>0</v>
      </c>
      <c r="T315" s="11">
        <f>S315*H315</f>
        <v>0</v>
      </c>
      <c r="U315" s="105"/>
      <c r="V315" s="17"/>
      <c r="W315" s="17"/>
      <c r="X315" s="17"/>
      <c r="Y315" s="17"/>
      <c r="Z315" s="17"/>
      <c r="AA315" s="17"/>
      <c r="AB315" s="17"/>
      <c r="AC315" s="105"/>
      <c r="AD315" s="105"/>
      <c r="AE315" s="105"/>
      <c r="AR315" s="12" t="s">
        <v>135</v>
      </c>
      <c r="AT315" s="12" t="s">
        <v>131</v>
      </c>
      <c r="AU315" s="12" t="s">
        <v>74</v>
      </c>
      <c r="AY315" s="13" t="s">
        <v>130</v>
      </c>
      <c r="BE315" s="14">
        <f>IF(N315="základní",J315,0)</f>
        <v>0</v>
      </c>
      <c r="BF315" s="14">
        <f>IF(N315="snížená",J315,0)</f>
        <v>0</v>
      </c>
      <c r="BG315" s="14">
        <f>IF(N315="zákl. přenesená",J315,0)</f>
        <v>0</v>
      </c>
      <c r="BH315" s="14">
        <f>IF(N315="sníž. přenesená",J315,0)</f>
        <v>0</v>
      </c>
      <c r="BI315" s="14">
        <f>IF(N315="nulová",J315,0)</f>
        <v>0</v>
      </c>
      <c r="BJ315" s="13" t="s">
        <v>74</v>
      </c>
      <c r="BK315" s="14">
        <f>ROUND(I315*H315,2)</f>
        <v>0</v>
      </c>
      <c r="BL315" s="13" t="s">
        <v>135</v>
      </c>
      <c r="BM315" s="12" t="s">
        <v>505</v>
      </c>
    </row>
    <row r="316" spans="1:65" s="5" customFormat="1" ht="16.5" customHeight="1" x14ac:dyDescent="0.2">
      <c r="A316" s="105"/>
      <c r="B316" s="140"/>
      <c r="C316" s="33" t="s">
        <v>279</v>
      </c>
      <c r="D316" s="33" t="s">
        <v>131</v>
      </c>
      <c r="E316" s="34" t="s">
        <v>770</v>
      </c>
      <c r="F316" s="7" t="s">
        <v>771</v>
      </c>
      <c r="G316" s="35" t="s">
        <v>134</v>
      </c>
      <c r="H316" s="36">
        <v>2</v>
      </c>
      <c r="I316" s="1"/>
      <c r="J316" s="6">
        <f>ROUND(I316*H316,2)</f>
        <v>0</v>
      </c>
      <c r="K316" s="151" t="s">
        <v>1</v>
      </c>
      <c r="L316" s="17"/>
      <c r="M316" s="8" t="s">
        <v>1</v>
      </c>
      <c r="N316" s="9" t="s">
        <v>33</v>
      </c>
      <c r="O316" s="10">
        <v>0</v>
      </c>
      <c r="P316" s="10">
        <f>O316*H316</f>
        <v>0</v>
      </c>
      <c r="Q316" s="10">
        <v>0</v>
      </c>
      <c r="R316" s="10">
        <f>Q316*H316</f>
        <v>0</v>
      </c>
      <c r="S316" s="10">
        <v>0</v>
      </c>
      <c r="T316" s="11">
        <f>S316*H316</f>
        <v>0</v>
      </c>
      <c r="U316" s="105"/>
      <c r="V316" s="17"/>
      <c r="W316" s="17"/>
      <c r="X316" s="17"/>
      <c r="Y316" s="17"/>
      <c r="Z316" s="17"/>
      <c r="AA316" s="17"/>
      <c r="AB316" s="17"/>
      <c r="AC316" s="105"/>
      <c r="AD316" s="105"/>
      <c r="AE316" s="105"/>
      <c r="AR316" s="12" t="s">
        <v>135</v>
      </c>
      <c r="AT316" s="12" t="s">
        <v>131</v>
      </c>
      <c r="AU316" s="12" t="s">
        <v>74</v>
      </c>
      <c r="AY316" s="13" t="s">
        <v>130</v>
      </c>
      <c r="BE316" s="14">
        <f>IF(N316="základní",J316,0)</f>
        <v>0</v>
      </c>
      <c r="BF316" s="14">
        <f>IF(N316="snížená",J316,0)</f>
        <v>0</v>
      </c>
      <c r="BG316" s="14">
        <f>IF(N316="zákl. přenesená",J316,0)</f>
        <v>0</v>
      </c>
      <c r="BH316" s="14">
        <f>IF(N316="sníž. přenesená",J316,0)</f>
        <v>0</v>
      </c>
      <c r="BI316" s="14">
        <f>IF(N316="nulová",J316,0)</f>
        <v>0</v>
      </c>
      <c r="BJ316" s="13" t="s">
        <v>74</v>
      </c>
      <c r="BK316" s="14">
        <f>ROUND(I316*H316,2)</f>
        <v>0</v>
      </c>
      <c r="BL316" s="13" t="s">
        <v>135</v>
      </c>
      <c r="BM316" s="12" t="s">
        <v>507</v>
      </c>
    </row>
    <row r="317" spans="1:65" s="5" customFormat="1" ht="39" x14ac:dyDescent="0.2">
      <c r="A317" s="105"/>
      <c r="B317" s="140"/>
      <c r="C317" s="17"/>
      <c r="D317" s="141" t="s">
        <v>148</v>
      </c>
      <c r="E317" s="17"/>
      <c r="F317" s="142" t="s">
        <v>743</v>
      </c>
      <c r="G317" s="17"/>
      <c r="H317" s="17"/>
      <c r="I317" s="17"/>
      <c r="J317" s="17"/>
      <c r="K317" s="143"/>
      <c r="L317" s="17"/>
      <c r="M317" s="15"/>
      <c r="N317" s="16"/>
      <c r="O317" s="17"/>
      <c r="P317" s="17"/>
      <c r="Q317" s="17"/>
      <c r="R317" s="17"/>
      <c r="S317" s="17"/>
      <c r="T317" s="18"/>
      <c r="U317" s="105"/>
      <c r="V317" s="17"/>
      <c r="W317" s="17"/>
      <c r="X317" s="17"/>
      <c r="Y317" s="17"/>
      <c r="Z317" s="17"/>
      <c r="AA317" s="17"/>
      <c r="AB317" s="17"/>
      <c r="AC317" s="105"/>
      <c r="AD317" s="105"/>
      <c r="AE317" s="105"/>
      <c r="AT317" s="13" t="s">
        <v>148</v>
      </c>
      <c r="AU317" s="13" t="s">
        <v>74</v>
      </c>
    </row>
    <row r="318" spans="1:65" s="5" customFormat="1" ht="16.5" customHeight="1" x14ac:dyDescent="0.2">
      <c r="A318" s="105"/>
      <c r="B318" s="140"/>
      <c r="C318" s="33" t="s">
        <v>509</v>
      </c>
      <c r="D318" s="33" t="s">
        <v>131</v>
      </c>
      <c r="E318" s="34" t="s">
        <v>772</v>
      </c>
      <c r="F318" s="7" t="s">
        <v>773</v>
      </c>
      <c r="G318" s="35" t="s">
        <v>134</v>
      </c>
      <c r="H318" s="36">
        <v>2</v>
      </c>
      <c r="I318" s="1"/>
      <c r="J318" s="6">
        <f>ROUND(I318*H318,2)</f>
        <v>0</v>
      </c>
      <c r="K318" s="151" t="s">
        <v>1</v>
      </c>
      <c r="L318" s="17"/>
      <c r="M318" s="8" t="s">
        <v>1</v>
      </c>
      <c r="N318" s="9" t="s">
        <v>33</v>
      </c>
      <c r="O318" s="10">
        <v>0</v>
      </c>
      <c r="P318" s="10">
        <f>O318*H318</f>
        <v>0</v>
      </c>
      <c r="Q318" s="10">
        <v>0</v>
      </c>
      <c r="R318" s="10">
        <f>Q318*H318</f>
        <v>0</v>
      </c>
      <c r="S318" s="10">
        <v>0</v>
      </c>
      <c r="T318" s="11">
        <f>S318*H318</f>
        <v>0</v>
      </c>
      <c r="U318" s="105"/>
      <c r="V318" s="17"/>
      <c r="W318" s="17"/>
      <c r="X318" s="17"/>
      <c r="Y318" s="17"/>
      <c r="Z318" s="17"/>
      <c r="AA318" s="17"/>
      <c r="AB318" s="17"/>
      <c r="AC318" s="105"/>
      <c r="AD318" s="105"/>
      <c r="AE318" s="105"/>
      <c r="AR318" s="12" t="s">
        <v>135</v>
      </c>
      <c r="AT318" s="12" t="s">
        <v>131</v>
      </c>
      <c r="AU318" s="12" t="s">
        <v>74</v>
      </c>
      <c r="AY318" s="13" t="s">
        <v>130</v>
      </c>
      <c r="BE318" s="14">
        <f>IF(N318="základní",J318,0)</f>
        <v>0</v>
      </c>
      <c r="BF318" s="14">
        <f>IF(N318="snížená",J318,0)</f>
        <v>0</v>
      </c>
      <c r="BG318" s="14">
        <f>IF(N318="zákl. přenesená",J318,0)</f>
        <v>0</v>
      </c>
      <c r="BH318" s="14">
        <f>IF(N318="sníž. přenesená",J318,0)</f>
        <v>0</v>
      </c>
      <c r="BI318" s="14">
        <f>IF(N318="nulová",J318,0)</f>
        <v>0</v>
      </c>
      <c r="BJ318" s="13" t="s">
        <v>74</v>
      </c>
      <c r="BK318" s="14">
        <f>ROUND(I318*H318,2)</f>
        <v>0</v>
      </c>
      <c r="BL318" s="13" t="s">
        <v>135</v>
      </c>
      <c r="BM318" s="12" t="s">
        <v>508</v>
      </c>
    </row>
    <row r="319" spans="1:65" s="5" customFormat="1" ht="16.5" customHeight="1" x14ac:dyDescent="0.2">
      <c r="A319" s="105"/>
      <c r="B319" s="140"/>
      <c r="C319" s="33" t="s">
        <v>282</v>
      </c>
      <c r="D319" s="33" t="s">
        <v>131</v>
      </c>
      <c r="E319" s="34" t="s">
        <v>783</v>
      </c>
      <c r="F319" s="7" t="s">
        <v>775</v>
      </c>
      <c r="G319" s="35" t="s">
        <v>134</v>
      </c>
      <c r="H319" s="36">
        <v>17.198</v>
      </c>
      <c r="I319" s="1"/>
      <c r="J319" s="6">
        <f>ROUND(I319*H319,2)</f>
        <v>0</v>
      </c>
      <c r="K319" s="151" t="s">
        <v>1</v>
      </c>
      <c r="L319" s="17"/>
      <c r="M319" s="8" t="s">
        <v>1</v>
      </c>
      <c r="N319" s="9" t="s">
        <v>33</v>
      </c>
      <c r="O319" s="10">
        <v>0</v>
      </c>
      <c r="P319" s="10">
        <f>O319*H319</f>
        <v>0</v>
      </c>
      <c r="Q319" s="10">
        <v>0</v>
      </c>
      <c r="R319" s="10">
        <f>Q319*H319</f>
        <v>0</v>
      </c>
      <c r="S319" s="10">
        <v>0</v>
      </c>
      <c r="T319" s="11">
        <f>S319*H319</f>
        <v>0</v>
      </c>
      <c r="U319" s="105"/>
      <c r="V319" s="17"/>
      <c r="W319" s="17"/>
      <c r="X319" s="17"/>
      <c r="Y319" s="17"/>
      <c r="Z319" s="17"/>
      <c r="AA319" s="17"/>
      <c r="AB319" s="17"/>
      <c r="AC319" s="105"/>
      <c r="AD319" s="105"/>
      <c r="AE319" s="105"/>
      <c r="AR319" s="12" t="s">
        <v>135</v>
      </c>
      <c r="AT319" s="12" t="s">
        <v>131</v>
      </c>
      <c r="AU319" s="12" t="s">
        <v>74</v>
      </c>
      <c r="AY319" s="13" t="s">
        <v>130</v>
      </c>
      <c r="BE319" s="14">
        <f>IF(N319="základní",J319,0)</f>
        <v>0</v>
      </c>
      <c r="BF319" s="14">
        <f>IF(N319="snížená",J319,0)</f>
        <v>0</v>
      </c>
      <c r="BG319" s="14">
        <f>IF(N319="zákl. přenesená",J319,0)</f>
        <v>0</v>
      </c>
      <c r="BH319" s="14">
        <f>IF(N319="sníž. přenesená",J319,0)</f>
        <v>0</v>
      </c>
      <c r="BI319" s="14">
        <f>IF(N319="nulová",J319,0)</f>
        <v>0</v>
      </c>
      <c r="BJ319" s="13" t="s">
        <v>74</v>
      </c>
      <c r="BK319" s="14">
        <f>ROUND(I319*H319,2)</f>
        <v>0</v>
      </c>
      <c r="BL319" s="13" t="s">
        <v>135</v>
      </c>
      <c r="BM319" s="12" t="s">
        <v>510</v>
      </c>
    </row>
    <row r="320" spans="1:65" s="5" customFormat="1" ht="16.5" customHeight="1" x14ac:dyDescent="0.2">
      <c r="A320" s="105"/>
      <c r="B320" s="140"/>
      <c r="C320" s="33" t="s">
        <v>513</v>
      </c>
      <c r="D320" s="33" t="s">
        <v>131</v>
      </c>
      <c r="E320" s="34" t="s">
        <v>784</v>
      </c>
      <c r="F320" s="7" t="s">
        <v>785</v>
      </c>
      <c r="G320" s="35" t="s">
        <v>134</v>
      </c>
      <c r="H320" s="36">
        <v>1</v>
      </c>
      <c r="I320" s="1"/>
      <c r="J320" s="6">
        <f>ROUND(I320*H320,2)</f>
        <v>0</v>
      </c>
      <c r="K320" s="151" t="s">
        <v>1</v>
      </c>
      <c r="L320" s="17"/>
      <c r="M320" s="8" t="s">
        <v>1</v>
      </c>
      <c r="N320" s="9" t="s">
        <v>33</v>
      </c>
      <c r="O320" s="10">
        <v>0</v>
      </c>
      <c r="P320" s="10">
        <f>O320*H320</f>
        <v>0</v>
      </c>
      <c r="Q320" s="10">
        <v>0</v>
      </c>
      <c r="R320" s="10">
        <f>Q320*H320</f>
        <v>0</v>
      </c>
      <c r="S320" s="10">
        <v>0</v>
      </c>
      <c r="T320" s="11">
        <f>S320*H320</f>
        <v>0</v>
      </c>
      <c r="U320" s="105"/>
      <c r="V320" s="17"/>
      <c r="W320" s="17"/>
      <c r="X320" s="17"/>
      <c r="Y320" s="17"/>
      <c r="Z320" s="17"/>
      <c r="AA320" s="17"/>
      <c r="AB320" s="17"/>
      <c r="AC320" s="105"/>
      <c r="AD320" s="105"/>
      <c r="AE320" s="105"/>
      <c r="AR320" s="12" t="s">
        <v>135</v>
      </c>
      <c r="AT320" s="12" t="s">
        <v>131</v>
      </c>
      <c r="AU320" s="12" t="s">
        <v>74</v>
      </c>
      <c r="AY320" s="13" t="s">
        <v>130</v>
      </c>
      <c r="BE320" s="14">
        <f>IF(N320="základní",J320,0)</f>
        <v>0</v>
      </c>
      <c r="BF320" s="14">
        <f>IF(N320="snížená",J320,0)</f>
        <v>0</v>
      </c>
      <c r="BG320" s="14">
        <f>IF(N320="zákl. přenesená",J320,0)</f>
        <v>0</v>
      </c>
      <c r="BH320" s="14">
        <f>IF(N320="sníž. přenesená",J320,0)</f>
        <v>0</v>
      </c>
      <c r="BI320" s="14">
        <f>IF(N320="nulová",J320,0)</f>
        <v>0</v>
      </c>
      <c r="BJ320" s="13" t="s">
        <v>74</v>
      </c>
      <c r="BK320" s="14">
        <f>ROUND(I320*H320,2)</f>
        <v>0</v>
      </c>
      <c r="BL320" s="13" t="s">
        <v>135</v>
      </c>
      <c r="BM320" s="12" t="s">
        <v>511</v>
      </c>
    </row>
    <row r="321" spans="1:65" s="5" customFormat="1" ht="16.5" customHeight="1" x14ac:dyDescent="0.2">
      <c r="A321" s="105"/>
      <c r="B321" s="140"/>
      <c r="C321" s="33" t="s">
        <v>286</v>
      </c>
      <c r="D321" s="33" t="s">
        <v>131</v>
      </c>
      <c r="E321" s="34" t="s">
        <v>776</v>
      </c>
      <c r="F321" s="7" t="s">
        <v>777</v>
      </c>
      <c r="G321" s="35" t="s">
        <v>134</v>
      </c>
      <c r="H321" s="36">
        <v>17.198</v>
      </c>
      <c r="I321" s="1"/>
      <c r="J321" s="6">
        <f>ROUND(I321*H321,2)</f>
        <v>0</v>
      </c>
      <c r="K321" s="151" t="s">
        <v>1</v>
      </c>
      <c r="L321" s="17"/>
      <c r="M321" s="8" t="s">
        <v>1</v>
      </c>
      <c r="N321" s="9" t="s">
        <v>33</v>
      </c>
      <c r="O321" s="10">
        <v>0</v>
      </c>
      <c r="P321" s="10">
        <f>O321*H321</f>
        <v>0</v>
      </c>
      <c r="Q321" s="10">
        <v>0</v>
      </c>
      <c r="R321" s="10">
        <f>Q321*H321</f>
        <v>0</v>
      </c>
      <c r="S321" s="10">
        <v>0</v>
      </c>
      <c r="T321" s="11">
        <f>S321*H321</f>
        <v>0</v>
      </c>
      <c r="U321" s="105"/>
      <c r="V321" s="17"/>
      <c r="W321" s="17"/>
      <c r="X321" s="17"/>
      <c r="Y321" s="17"/>
      <c r="Z321" s="17"/>
      <c r="AA321" s="17"/>
      <c r="AB321" s="17"/>
      <c r="AC321" s="105"/>
      <c r="AD321" s="105"/>
      <c r="AE321" s="105"/>
      <c r="AR321" s="12" t="s">
        <v>135</v>
      </c>
      <c r="AT321" s="12" t="s">
        <v>131</v>
      </c>
      <c r="AU321" s="12" t="s">
        <v>74</v>
      </c>
      <c r="AY321" s="13" t="s">
        <v>130</v>
      </c>
      <c r="BE321" s="14">
        <f>IF(N321="základní",J321,0)</f>
        <v>0</v>
      </c>
      <c r="BF321" s="14">
        <f>IF(N321="snížená",J321,0)</f>
        <v>0</v>
      </c>
      <c r="BG321" s="14">
        <f>IF(N321="zákl. přenesená",J321,0)</f>
        <v>0</v>
      </c>
      <c r="BH321" s="14">
        <f>IF(N321="sníž. přenesená",J321,0)</f>
        <v>0</v>
      </c>
      <c r="BI321" s="14">
        <f>IF(N321="nulová",J321,0)</f>
        <v>0</v>
      </c>
      <c r="BJ321" s="13" t="s">
        <v>74</v>
      </c>
      <c r="BK321" s="14">
        <f>ROUND(I321*H321,2)</f>
        <v>0</v>
      </c>
      <c r="BL321" s="13" t="s">
        <v>135</v>
      </c>
      <c r="BM321" s="12" t="s">
        <v>514</v>
      </c>
    </row>
    <row r="322" spans="1:65" s="5" customFormat="1" ht="29.25" x14ac:dyDescent="0.2">
      <c r="A322" s="105"/>
      <c r="B322" s="140"/>
      <c r="C322" s="17"/>
      <c r="D322" s="141" t="s">
        <v>148</v>
      </c>
      <c r="E322" s="17"/>
      <c r="F322" s="142" t="s">
        <v>778</v>
      </c>
      <c r="G322" s="17"/>
      <c r="H322" s="17"/>
      <c r="I322" s="17"/>
      <c r="J322" s="17"/>
      <c r="K322" s="143"/>
      <c r="L322" s="17"/>
      <c r="M322" s="15"/>
      <c r="N322" s="16"/>
      <c r="O322" s="17"/>
      <c r="P322" s="17"/>
      <c r="Q322" s="17"/>
      <c r="R322" s="17"/>
      <c r="S322" s="17"/>
      <c r="T322" s="18"/>
      <c r="U322" s="105"/>
      <c r="V322" s="17"/>
      <c r="W322" s="17"/>
      <c r="X322" s="17"/>
      <c r="Y322" s="17"/>
      <c r="Z322" s="17"/>
      <c r="AA322" s="17"/>
      <c r="AB322" s="17"/>
      <c r="AC322" s="105"/>
      <c r="AD322" s="105"/>
      <c r="AE322" s="105"/>
      <c r="AT322" s="13" t="s">
        <v>148</v>
      </c>
      <c r="AU322" s="13" t="s">
        <v>74</v>
      </c>
    </row>
    <row r="323" spans="1:65" s="20" customFormat="1" ht="25.9" customHeight="1" x14ac:dyDescent="0.2">
      <c r="B323" s="172"/>
      <c r="C323" s="23"/>
      <c r="D323" s="173" t="s">
        <v>67</v>
      </c>
      <c r="E323" s="174" t="s">
        <v>207</v>
      </c>
      <c r="F323" s="174" t="s">
        <v>786</v>
      </c>
      <c r="G323" s="23"/>
      <c r="H323" s="23"/>
      <c r="I323" s="23"/>
      <c r="J323" s="175">
        <f>BK323</f>
        <v>0</v>
      </c>
      <c r="K323" s="176"/>
      <c r="L323" s="23"/>
      <c r="M323" s="22"/>
      <c r="N323" s="23"/>
      <c r="O323" s="23"/>
      <c r="P323" s="24">
        <f>SUM(P326:P338)</f>
        <v>0</v>
      </c>
      <c r="Q323" s="23"/>
      <c r="R323" s="24">
        <f>SUM(R326:R338)</f>
        <v>0</v>
      </c>
      <c r="S323" s="23"/>
      <c r="T323" s="25">
        <f>SUM(T326:T338)</f>
        <v>0</v>
      </c>
      <c r="V323" s="23"/>
      <c r="W323" s="23"/>
      <c r="X323" s="23"/>
      <c r="Y323" s="23"/>
      <c r="Z323" s="23"/>
      <c r="AA323" s="23"/>
      <c r="AB323" s="23"/>
      <c r="AR323" s="26" t="s">
        <v>74</v>
      </c>
      <c r="AT323" s="27" t="s">
        <v>67</v>
      </c>
      <c r="AU323" s="27" t="s">
        <v>68</v>
      </c>
      <c r="AY323" s="26" t="s">
        <v>130</v>
      </c>
      <c r="BK323" s="28">
        <f>SUM(BK326:BK338)</f>
        <v>0</v>
      </c>
    </row>
    <row r="324" spans="1:65" s="5" customFormat="1" ht="19.5" x14ac:dyDescent="0.2">
      <c r="B324" s="177"/>
      <c r="C324" s="16"/>
      <c r="D324" s="178" t="s">
        <v>148</v>
      </c>
      <c r="E324" s="16"/>
      <c r="F324" s="200" t="s">
        <v>1249</v>
      </c>
      <c r="G324" s="180"/>
      <c r="H324" s="16"/>
      <c r="I324" s="16"/>
      <c r="J324" s="16"/>
      <c r="K324" s="181"/>
      <c r="L324" s="52"/>
      <c r="M324" s="52"/>
      <c r="N324" s="52"/>
      <c r="O324" s="52"/>
      <c r="P324" s="52"/>
      <c r="Q324" s="52"/>
      <c r="R324" s="52"/>
      <c r="S324" s="128"/>
      <c r="V324" s="16"/>
      <c r="W324" s="16"/>
      <c r="X324" s="16"/>
      <c r="Y324" s="16"/>
      <c r="Z324" s="16"/>
      <c r="AA324" s="16"/>
      <c r="AB324" s="16"/>
      <c r="AZ324" s="126" t="s">
        <v>148</v>
      </c>
      <c r="BA324" s="126" t="s">
        <v>74</v>
      </c>
    </row>
    <row r="325" spans="1:65" s="5" customFormat="1" ht="10.15" customHeight="1" x14ac:dyDescent="0.2">
      <c r="B325" s="177"/>
      <c r="C325" s="16"/>
      <c r="D325" s="178" t="s">
        <v>340</v>
      </c>
      <c r="E325" s="16"/>
      <c r="F325" s="200" t="s">
        <v>1253</v>
      </c>
      <c r="G325" s="16"/>
      <c r="H325" s="180">
        <f>4.2*5.91</f>
        <v>24.822000000000003</v>
      </c>
      <c r="I325" s="16"/>
      <c r="J325" s="16"/>
      <c r="K325" s="181"/>
      <c r="L325" s="52"/>
      <c r="M325" s="52"/>
      <c r="N325" s="52"/>
      <c r="O325" s="52"/>
      <c r="P325" s="52"/>
      <c r="Q325" s="52"/>
      <c r="R325" s="52"/>
      <c r="S325" s="128"/>
      <c r="V325" s="16"/>
      <c r="W325" s="16"/>
      <c r="X325" s="16"/>
      <c r="Y325" s="16"/>
      <c r="Z325" s="16"/>
      <c r="AA325" s="16"/>
      <c r="AB325" s="16"/>
      <c r="AZ325" s="126" t="s">
        <v>148</v>
      </c>
      <c r="BA325" s="126" t="s">
        <v>74</v>
      </c>
    </row>
    <row r="326" spans="1:65" s="5" customFormat="1" ht="16.5" customHeight="1" x14ac:dyDescent="0.2">
      <c r="A326" s="105"/>
      <c r="B326" s="140"/>
      <c r="C326" s="33" t="s">
        <v>516</v>
      </c>
      <c r="D326" s="33" t="s">
        <v>131</v>
      </c>
      <c r="E326" s="34" t="s">
        <v>713</v>
      </c>
      <c r="F326" s="7" t="s">
        <v>714</v>
      </c>
      <c r="G326" s="35" t="s">
        <v>134</v>
      </c>
      <c r="H326" s="36">
        <v>24.821999999999999</v>
      </c>
      <c r="I326" s="1"/>
      <c r="J326" s="6">
        <f>ROUND(I326*H326,2)</f>
        <v>0</v>
      </c>
      <c r="K326" s="151" t="s">
        <v>1</v>
      </c>
      <c r="L326" s="17"/>
      <c r="M326" s="8" t="s">
        <v>1</v>
      </c>
      <c r="N326" s="9" t="s">
        <v>33</v>
      </c>
      <c r="O326" s="10">
        <v>0</v>
      </c>
      <c r="P326" s="10">
        <f>O326*H326</f>
        <v>0</v>
      </c>
      <c r="Q326" s="10">
        <v>0</v>
      </c>
      <c r="R326" s="10">
        <f>Q326*H326</f>
        <v>0</v>
      </c>
      <c r="S326" s="10">
        <v>0</v>
      </c>
      <c r="T326" s="11">
        <f>S326*H326</f>
        <v>0</v>
      </c>
      <c r="U326" s="105"/>
      <c r="V326" s="17"/>
      <c r="W326" s="17"/>
      <c r="X326" s="17"/>
      <c r="Y326" s="17"/>
      <c r="Z326" s="17"/>
      <c r="AA326" s="17"/>
      <c r="AB326" s="17"/>
      <c r="AC326" s="105"/>
      <c r="AD326" s="105"/>
      <c r="AE326" s="105"/>
      <c r="AR326" s="12" t="s">
        <v>135</v>
      </c>
      <c r="AT326" s="12" t="s">
        <v>131</v>
      </c>
      <c r="AU326" s="12" t="s">
        <v>74</v>
      </c>
      <c r="AY326" s="13" t="s">
        <v>130</v>
      </c>
      <c r="BE326" s="14">
        <f>IF(N326="základní",J326,0)</f>
        <v>0</v>
      </c>
      <c r="BF326" s="14">
        <f>IF(N326="snížená",J326,0)</f>
        <v>0</v>
      </c>
      <c r="BG326" s="14">
        <f>IF(N326="zákl. přenesená",J326,0)</f>
        <v>0</v>
      </c>
      <c r="BH326" s="14">
        <f>IF(N326="sníž. přenesená",J326,0)</f>
        <v>0</v>
      </c>
      <c r="BI326" s="14">
        <f>IF(N326="nulová",J326,0)</f>
        <v>0</v>
      </c>
      <c r="BJ326" s="13" t="s">
        <v>74</v>
      </c>
      <c r="BK326" s="14">
        <f>ROUND(I326*H326,2)</f>
        <v>0</v>
      </c>
      <c r="BL326" s="13" t="s">
        <v>135</v>
      </c>
      <c r="BM326" s="12" t="s">
        <v>515</v>
      </c>
    </row>
    <row r="327" spans="1:65" s="5" customFormat="1" ht="16.5" customHeight="1" x14ac:dyDescent="0.2">
      <c r="A327" s="105"/>
      <c r="B327" s="140"/>
      <c r="C327" s="33" t="s">
        <v>290</v>
      </c>
      <c r="D327" s="33" t="s">
        <v>131</v>
      </c>
      <c r="E327" s="34" t="s">
        <v>716</v>
      </c>
      <c r="F327" s="7" t="s">
        <v>717</v>
      </c>
      <c r="G327" s="35" t="s">
        <v>134</v>
      </c>
      <c r="H327" s="36">
        <v>4.9640000000000004</v>
      </c>
      <c r="I327" s="1"/>
      <c r="J327" s="6">
        <f>ROUND(I327*H327,2)</f>
        <v>0</v>
      </c>
      <c r="K327" s="151" t="s">
        <v>1</v>
      </c>
      <c r="L327" s="17"/>
      <c r="M327" s="8" t="s">
        <v>1</v>
      </c>
      <c r="N327" s="9" t="s">
        <v>33</v>
      </c>
      <c r="O327" s="10">
        <v>0</v>
      </c>
      <c r="P327" s="10">
        <f>O327*H327</f>
        <v>0</v>
      </c>
      <c r="Q327" s="10">
        <v>0</v>
      </c>
      <c r="R327" s="10">
        <f>Q327*H327</f>
        <v>0</v>
      </c>
      <c r="S327" s="10">
        <v>0</v>
      </c>
      <c r="T327" s="11">
        <f>S327*H327</f>
        <v>0</v>
      </c>
      <c r="U327" s="105"/>
      <c r="V327" s="17"/>
      <c r="W327" s="17"/>
      <c r="X327" s="17"/>
      <c r="Y327" s="17"/>
      <c r="Z327" s="17"/>
      <c r="AA327" s="17"/>
      <c r="AB327" s="17"/>
      <c r="AC327" s="105"/>
      <c r="AD327" s="105"/>
      <c r="AE327" s="105"/>
      <c r="AR327" s="12" t="s">
        <v>135</v>
      </c>
      <c r="AT327" s="12" t="s">
        <v>131</v>
      </c>
      <c r="AU327" s="12" t="s">
        <v>74</v>
      </c>
      <c r="AY327" s="13" t="s">
        <v>130</v>
      </c>
      <c r="BE327" s="14">
        <f>IF(N327="základní",J327,0)</f>
        <v>0</v>
      </c>
      <c r="BF327" s="14">
        <f>IF(N327="snížená",J327,0)</f>
        <v>0</v>
      </c>
      <c r="BG327" s="14">
        <f>IF(N327="zákl. přenesená",J327,0)</f>
        <v>0</v>
      </c>
      <c r="BH327" s="14">
        <f>IF(N327="sníž. přenesená",J327,0)</f>
        <v>0</v>
      </c>
      <c r="BI327" s="14">
        <f>IF(N327="nulová",J327,0)</f>
        <v>0</v>
      </c>
      <c r="BJ327" s="13" t="s">
        <v>74</v>
      </c>
      <c r="BK327" s="14">
        <f>ROUND(I327*H327,2)</f>
        <v>0</v>
      </c>
      <c r="BL327" s="13" t="s">
        <v>135</v>
      </c>
      <c r="BM327" s="12" t="s">
        <v>517</v>
      </c>
    </row>
    <row r="328" spans="1:65" s="5" customFormat="1" ht="19.5" x14ac:dyDescent="0.2">
      <c r="A328" s="105"/>
      <c r="B328" s="140"/>
      <c r="C328" s="17"/>
      <c r="D328" s="141" t="s">
        <v>148</v>
      </c>
      <c r="E328" s="17"/>
      <c r="F328" s="142" t="s">
        <v>718</v>
      </c>
      <c r="G328" s="17"/>
      <c r="H328" s="17"/>
      <c r="I328" s="17"/>
      <c r="J328" s="17"/>
      <c r="K328" s="143"/>
      <c r="L328" s="17"/>
      <c r="M328" s="15"/>
      <c r="N328" s="16"/>
      <c r="O328" s="17"/>
      <c r="P328" s="17"/>
      <c r="Q328" s="17"/>
      <c r="R328" s="17"/>
      <c r="S328" s="17"/>
      <c r="T328" s="18"/>
      <c r="U328" s="105"/>
      <c r="V328" s="17"/>
      <c r="W328" s="17"/>
      <c r="X328" s="17"/>
      <c r="Y328" s="17"/>
      <c r="Z328" s="17"/>
      <c r="AA328" s="17"/>
      <c r="AB328" s="17"/>
      <c r="AC328" s="105"/>
      <c r="AD328" s="105"/>
      <c r="AE328" s="105"/>
      <c r="AT328" s="13" t="s">
        <v>148</v>
      </c>
      <c r="AU328" s="13" t="s">
        <v>74</v>
      </c>
    </row>
    <row r="329" spans="1:65" s="5" customFormat="1" ht="16.5" customHeight="1" x14ac:dyDescent="0.2">
      <c r="A329" s="105"/>
      <c r="B329" s="140"/>
      <c r="C329" s="33" t="s">
        <v>520</v>
      </c>
      <c r="D329" s="33" t="s">
        <v>131</v>
      </c>
      <c r="E329" s="34" t="s">
        <v>735</v>
      </c>
      <c r="F329" s="7" t="s">
        <v>736</v>
      </c>
      <c r="G329" s="35" t="s">
        <v>134</v>
      </c>
      <c r="H329" s="36">
        <v>3</v>
      </c>
      <c r="I329" s="1"/>
      <c r="J329" s="6">
        <f>ROUND(I329*H329,2)</f>
        <v>0</v>
      </c>
      <c r="K329" s="151" t="s">
        <v>1</v>
      </c>
      <c r="L329" s="17"/>
      <c r="M329" s="8" t="s">
        <v>1</v>
      </c>
      <c r="N329" s="9" t="s">
        <v>33</v>
      </c>
      <c r="O329" s="10">
        <v>0</v>
      </c>
      <c r="P329" s="10">
        <f>O329*H329</f>
        <v>0</v>
      </c>
      <c r="Q329" s="10">
        <v>0</v>
      </c>
      <c r="R329" s="10">
        <f>Q329*H329</f>
        <v>0</v>
      </c>
      <c r="S329" s="10">
        <v>0</v>
      </c>
      <c r="T329" s="11">
        <f>S329*H329</f>
        <v>0</v>
      </c>
      <c r="U329" s="105"/>
      <c r="V329" s="17"/>
      <c r="W329" s="17"/>
      <c r="X329" s="17"/>
      <c r="Y329" s="17"/>
      <c r="Z329" s="17"/>
      <c r="AA329" s="17"/>
      <c r="AB329" s="17"/>
      <c r="AC329" s="105"/>
      <c r="AD329" s="105"/>
      <c r="AE329" s="105"/>
      <c r="AR329" s="12" t="s">
        <v>135</v>
      </c>
      <c r="AT329" s="12" t="s">
        <v>131</v>
      </c>
      <c r="AU329" s="12" t="s">
        <v>74</v>
      </c>
      <c r="AY329" s="13" t="s">
        <v>130</v>
      </c>
      <c r="BE329" s="14">
        <f>IF(N329="základní",J329,0)</f>
        <v>0</v>
      </c>
      <c r="BF329" s="14">
        <f>IF(N329="snížená",J329,0)</f>
        <v>0</v>
      </c>
      <c r="BG329" s="14">
        <f>IF(N329="zákl. přenesená",J329,0)</f>
        <v>0</v>
      </c>
      <c r="BH329" s="14">
        <f>IF(N329="sníž. přenesená",J329,0)</f>
        <v>0</v>
      </c>
      <c r="BI329" s="14">
        <f>IF(N329="nulová",J329,0)</f>
        <v>0</v>
      </c>
      <c r="BJ329" s="13" t="s">
        <v>74</v>
      </c>
      <c r="BK329" s="14">
        <f>ROUND(I329*H329,2)</f>
        <v>0</v>
      </c>
      <c r="BL329" s="13" t="s">
        <v>135</v>
      </c>
      <c r="BM329" s="12" t="s">
        <v>518</v>
      </c>
    </row>
    <row r="330" spans="1:65" s="5" customFormat="1" ht="19.5" x14ac:dyDescent="0.2">
      <c r="A330" s="105"/>
      <c r="B330" s="140"/>
      <c r="C330" s="17"/>
      <c r="D330" s="141" t="s">
        <v>148</v>
      </c>
      <c r="E330" s="17"/>
      <c r="F330" s="142" t="s">
        <v>737</v>
      </c>
      <c r="G330" s="17"/>
      <c r="H330" s="17"/>
      <c r="I330" s="17"/>
      <c r="J330" s="17"/>
      <c r="K330" s="143"/>
      <c r="L330" s="17"/>
      <c r="M330" s="15"/>
      <c r="N330" s="16"/>
      <c r="O330" s="17"/>
      <c r="P330" s="17"/>
      <c r="Q330" s="17"/>
      <c r="R330" s="17"/>
      <c r="S330" s="17"/>
      <c r="T330" s="18"/>
      <c r="U330" s="105"/>
      <c r="V330" s="17"/>
      <c r="W330" s="17"/>
      <c r="X330" s="17"/>
      <c r="Y330" s="17"/>
      <c r="Z330" s="17"/>
      <c r="AA330" s="17"/>
      <c r="AB330" s="17"/>
      <c r="AC330" s="105"/>
      <c r="AD330" s="105"/>
      <c r="AE330" s="105"/>
      <c r="AT330" s="13" t="s">
        <v>148</v>
      </c>
      <c r="AU330" s="13" t="s">
        <v>74</v>
      </c>
    </row>
    <row r="331" spans="1:65" s="5" customFormat="1" ht="16.5" customHeight="1" x14ac:dyDescent="0.2">
      <c r="A331" s="105"/>
      <c r="B331" s="140"/>
      <c r="C331" s="33" t="s">
        <v>292</v>
      </c>
      <c r="D331" s="33" t="s">
        <v>131</v>
      </c>
      <c r="E331" s="34" t="s">
        <v>232</v>
      </c>
      <c r="F331" s="7" t="s">
        <v>722</v>
      </c>
      <c r="G331" s="35" t="s">
        <v>723</v>
      </c>
      <c r="H331" s="36">
        <v>3.9E-2</v>
      </c>
      <c r="I331" s="1"/>
      <c r="J331" s="6">
        <f>ROUND(I331*H331,2)</f>
        <v>0</v>
      </c>
      <c r="K331" s="151" t="s">
        <v>1</v>
      </c>
      <c r="L331" s="17"/>
      <c r="M331" s="8" t="s">
        <v>1</v>
      </c>
      <c r="N331" s="9" t="s">
        <v>33</v>
      </c>
      <c r="O331" s="10">
        <v>0</v>
      </c>
      <c r="P331" s="10">
        <f>O331*H331</f>
        <v>0</v>
      </c>
      <c r="Q331" s="10">
        <v>0</v>
      </c>
      <c r="R331" s="10">
        <f>Q331*H331</f>
        <v>0</v>
      </c>
      <c r="S331" s="10">
        <v>0</v>
      </c>
      <c r="T331" s="11">
        <f>S331*H331</f>
        <v>0</v>
      </c>
      <c r="U331" s="105"/>
      <c r="V331" s="17"/>
      <c r="W331" s="17"/>
      <c r="X331" s="17"/>
      <c r="Y331" s="17"/>
      <c r="Z331" s="17"/>
      <c r="AA331" s="17"/>
      <c r="AB331" s="17"/>
      <c r="AC331" s="105"/>
      <c r="AD331" s="105"/>
      <c r="AE331" s="105"/>
      <c r="AR331" s="12" t="s">
        <v>135</v>
      </c>
      <c r="AT331" s="12" t="s">
        <v>131</v>
      </c>
      <c r="AU331" s="12" t="s">
        <v>74</v>
      </c>
      <c r="AY331" s="13" t="s">
        <v>130</v>
      </c>
      <c r="BE331" s="14">
        <f>IF(N331="základní",J331,0)</f>
        <v>0</v>
      </c>
      <c r="BF331" s="14">
        <f>IF(N331="snížená",J331,0)</f>
        <v>0</v>
      </c>
      <c r="BG331" s="14">
        <f>IF(N331="zákl. přenesená",J331,0)</f>
        <v>0</v>
      </c>
      <c r="BH331" s="14">
        <f>IF(N331="sníž. přenesená",J331,0)</f>
        <v>0</v>
      </c>
      <c r="BI331" s="14">
        <f>IF(N331="nulová",J331,0)</f>
        <v>0</v>
      </c>
      <c r="BJ331" s="13" t="s">
        <v>74</v>
      </c>
      <c r="BK331" s="14">
        <f>ROUND(I331*H331,2)</f>
        <v>0</v>
      </c>
      <c r="BL331" s="13" t="s">
        <v>135</v>
      </c>
      <c r="BM331" s="12" t="s">
        <v>521</v>
      </c>
    </row>
    <row r="332" spans="1:65" s="5" customFormat="1" ht="16.5" customHeight="1" x14ac:dyDescent="0.2">
      <c r="A332" s="105"/>
      <c r="B332" s="140"/>
      <c r="C332" s="33" t="s">
        <v>523</v>
      </c>
      <c r="D332" s="33" t="s">
        <v>131</v>
      </c>
      <c r="E332" s="34" t="s">
        <v>246</v>
      </c>
      <c r="F332" s="7" t="s">
        <v>724</v>
      </c>
      <c r="G332" s="35" t="s">
        <v>723</v>
      </c>
      <c r="H332" s="36">
        <v>3.9E-2</v>
      </c>
      <c r="I332" s="1"/>
      <c r="J332" s="6">
        <f>ROUND(I332*H332,2)</f>
        <v>0</v>
      </c>
      <c r="K332" s="151" t="s">
        <v>1</v>
      </c>
      <c r="L332" s="17"/>
      <c r="M332" s="8" t="s">
        <v>1</v>
      </c>
      <c r="N332" s="9" t="s">
        <v>33</v>
      </c>
      <c r="O332" s="10">
        <v>0</v>
      </c>
      <c r="P332" s="10">
        <f>O332*H332</f>
        <v>0</v>
      </c>
      <c r="Q332" s="10">
        <v>0</v>
      </c>
      <c r="R332" s="10">
        <f>Q332*H332</f>
        <v>0</v>
      </c>
      <c r="S332" s="10">
        <v>0</v>
      </c>
      <c r="T332" s="11">
        <f>S332*H332</f>
        <v>0</v>
      </c>
      <c r="U332" s="105"/>
      <c r="V332" s="17"/>
      <c r="W332" s="17"/>
      <c r="X332" s="17"/>
      <c r="Y332" s="17"/>
      <c r="Z332" s="17"/>
      <c r="AA332" s="17"/>
      <c r="AB332" s="17"/>
      <c r="AC332" s="105"/>
      <c r="AD332" s="105"/>
      <c r="AE332" s="105"/>
      <c r="AR332" s="12" t="s">
        <v>135</v>
      </c>
      <c r="AT332" s="12" t="s">
        <v>131</v>
      </c>
      <c r="AU332" s="12" t="s">
        <v>74</v>
      </c>
      <c r="AY332" s="13" t="s">
        <v>130</v>
      </c>
      <c r="BE332" s="14">
        <f>IF(N332="základní",J332,0)</f>
        <v>0</v>
      </c>
      <c r="BF332" s="14">
        <f>IF(N332="snížená",J332,0)</f>
        <v>0</v>
      </c>
      <c r="BG332" s="14">
        <f>IF(N332="zákl. přenesená",J332,0)</f>
        <v>0</v>
      </c>
      <c r="BH332" s="14">
        <f>IF(N332="sníž. přenesená",J332,0)</f>
        <v>0</v>
      </c>
      <c r="BI332" s="14">
        <f>IF(N332="nulová",J332,0)</f>
        <v>0</v>
      </c>
      <c r="BJ332" s="13" t="s">
        <v>74</v>
      </c>
      <c r="BK332" s="14">
        <f>ROUND(I332*H332,2)</f>
        <v>0</v>
      </c>
      <c r="BL332" s="13" t="s">
        <v>135</v>
      </c>
      <c r="BM332" s="12" t="s">
        <v>522</v>
      </c>
    </row>
    <row r="333" spans="1:65" s="5" customFormat="1" ht="16.5" customHeight="1" x14ac:dyDescent="0.2">
      <c r="A333" s="105"/>
      <c r="B333" s="140"/>
      <c r="C333" s="33" t="s">
        <v>297</v>
      </c>
      <c r="D333" s="33" t="s">
        <v>131</v>
      </c>
      <c r="E333" s="34" t="s">
        <v>770</v>
      </c>
      <c r="F333" s="7" t="s">
        <v>771</v>
      </c>
      <c r="G333" s="35" t="s">
        <v>134</v>
      </c>
      <c r="H333" s="36">
        <v>3</v>
      </c>
      <c r="I333" s="1"/>
      <c r="J333" s="6">
        <f>ROUND(I333*H333,2)</f>
        <v>0</v>
      </c>
      <c r="K333" s="151" t="s">
        <v>1</v>
      </c>
      <c r="L333" s="17"/>
      <c r="M333" s="8" t="s">
        <v>1</v>
      </c>
      <c r="N333" s="9" t="s">
        <v>33</v>
      </c>
      <c r="O333" s="10">
        <v>0</v>
      </c>
      <c r="P333" s="10">
        <f>O333*H333</f>
        <v>0</v>
      </c>
      <c r="Q333" s="10">
        <v>0</v>
      </c>
      <c r="R333" s="10">
        <f>Q333*H333</f>
        <v>0</v>
      </c>
      <c r="S333" s="10">
        <v>0</v>
      </c>
      <c r="T333" s="11">
        <f>S333*H333</f>
        <v>0</v>
      </c>
      <c r="U333" s="105"/>
      <c r="V333" s="17"/>
      <c r="W333" s="17"/>
      <c r="X333" s="17"/>
      <c r="Y333" s="17"/>
      <c r="Z333" s="17"/>
      <c r="AA333" s="17"/>
      <c r="AB333" s="17"/>
      <c r="AC333" s="105"/>
      <c r="AD333" s="105"/>
      <c r="AE333" s="105"/>
      <c r="AR333" s="12" t="s">
        <v>135</v>
      </c>
      <c r="AT333" s="12" t="s">
        <v>131</v>
      </c>
      <c r="AU333" s="12" t="s">
        <v>74</v>
      </c>
      <c r="AY333" s="13" t="s">
        <v>130</v>
      </c>
      <c r="BE333" s="14">
        <f>IF(N333="základní",J333,0)</f>
        <v>0</v>
      </c>
      <c r="BF333" s="14">
        <f>IF(N333="snížená",J333,0)</f>
        <v>0</v>
      </c>
      <c r="BG333" s="14">
        <f>IF(N333="zákl. přenesená",J333,0)</f>
        <v>0</v>
      </c>
      <c r="BH333" s="14">
        <f>IF(N333="sníž. přenesená",J333,0)</f>
        <v>0</v>
      </c>
      <c r="BI333" s="14">
        <f>IF(N333="nulová",J333,0)</f>
        <v>0</v>
      </c>
      <c r="BJ333" s="13" t="s">
        <v>74</v>
      </c>
      <c r="BK333" s="14">
        <f>ROUND(I333*H333,2)</f>
        <v>0</v>
      </c>
      <c r="BL333" s="13" t="s">
        <v>135</v>
      </c>
      <c r="BM333" s="12" t="s">
        <v>524</v>
      </c>
    </row>
    <row r="334" spans="1:65" s="5" customFormat="1" ht="39" x14ac:dyDescent="0.2">
      <c r="A334" s="105"/>
      <c r="B334" s="140"/>
      <c r="C334" s="17"/>
      <c r="D334" s="141" t="s">
        <v>148</v>
      </c>
      <c r="E334" s="17"/>
      <c r="F334" s="142" t="s">
        <v>755</v>
      </c>
      <c r="G334" s="17"/>
      <c r="H334" s="17"/>
      <c r="I334" s="17"/>
      <c r="J334" s="17"/>
      <c r="K334" s="143"/>
      <c r="L334" s="17"/>
      <c r="M334" s="15"/>
      <c r="N334" s="16"/>
      <c r="O334" s="17"/>
      <c r="P334" s="17"/>
      <c r="Q334" s="17"/>
      <c r="R334" s="17"/>
      <c r="S334" s="17"/>
      <c r="T334" s="18"/>
      <c r="U334" s="105"/>
      <c r="V334" s="17"/>
      <c r="W334" s="17"/>
      <c r="X334" s="17"/>
      <c r="Y334" s="17"/>
      <c r="Z334" s="17"/>
      <c r="AA334" s="17"/>
      <c r="AB334" s="17"/>
      <c r="AC334" s="105"/>
      <c r="AD334" s="105"/>
      <c r="AE334" s="105"/>
      <c r="AT334" s="13" t="s">
        <v>148</v>
      </c>
      <c r="AU334" s="13" t="s">
        <v>74</v>
      </c>
    </row>
    <row r="335" spans="1:65" s="5" customFormat="1" ht="16.5" customHeight="1" x14ac:dyDescent="0.2">
      <c r="A335" s="105"/>
      <c r="B335" s="140"/>
      <c r="C335" s="33" t="s">
        <v>527</v>
      </c>
      <c r="D335" s="33" t="s">
        <v>131</v>
      </c>
      <c r="E335" s="34" t="s">
        <v>772</v>
      </c>
      <c r="F335" s="7" t="s">
        <v>773</v>
      </c>
      <c r="G335" s="35" t="s">
        <v>134</v>
      </c>
      <c r="H335" s="36">
        <v>3</v>
      </c>
      <c r="I335" s="1"/>
      <c r="J335" s="6">
        <f>ROUND(I335*H335,2)</f>
        <v>0</v>
      </c>
      <c r="K335" s="151" t="s">
        <v>1</v>
      </c>
      <c r="L335" s="17"/>
      <c r="M335" s="8" t="s">
        <v>1</v>
      </c>
      <c r="N335" s="9" t="s">
        <v>33</v>
      </c>
      <c r="O335" s="10">
        <v>0</v>
      </c>
      <c r="P335" s="10">
        <f>O335*H335</f>
        <v>0</v>
      </c>
      <c r="Q335" s="10">
        <v>0</v>
      </c>
      <c r="R335" s="10">
        <f>Q335*H335</f>
        <v>0</v>
      </c>
      <c r="S335" s="10">
        <v>0</v>
      </c>
      <c r="T335" s="11">
        <f>S335*H335</f>
        <v>0</v>
      </c>
      <c r="U335" s="105"/>
      <c r="V335" s="17"/>
      <c r="W335" s="17"/>
      <c r="X335" s="17"/>
      <c r="Y335" s="17"/>
      <c r="Z335" s="17"/>
      <c r="AA335" s="17"/>
      <c r="AB335" s="17"/>
      <c r="AC335" s="105"/>
      <c r="AD335" s="105"/>
      <c r="AE335" s="105"/>
      <c r="AR335" s="12" t="s">
        <v>135</v>
      </c>
      <c r="AT335" s="12" t="s">
        <v>131</v>
      </c>
      <c r="AU335" s="12" t="s">
        <v>74</v>
      </c>
      <c r="AY335" s="13" t="s">
        <v>130</v>
      </c>
      <c r="BE335" s="14">
        <f>IF(N335="základní",J335,0)</f>
        <v>0</v>
      </c>
      <c r="BF335" s="14">
        <f>IF(N335="snížená",J335,0)</f>
        <v>0</v>
      </c>
      <c r="BG335" s="14">
        <f>IF(N335="zákl. přenesená",J335,0)</f>
        <v>0</v>
      </c>
      <c r="BH335" s="14">
        <f>IF(N335="sníž. přenesená",J335,0)</f>
        <v>0</v>
      </c>
      <c r="BI335" s="14">
        <f>IF(N335="nulová",J335,0)</f>
        <v>0</v>
      </c>
      <c r="BJ335" s="13" t="s">
        <v>74</v>
      </c>
      <c r="BK335" s="14">
        <f>ROUND(I335*H335,2)</f>
        <v>0</v>
      </c>
      <c r="BL335" s="13" t="s">
        <v>135</v>
      </c>
      <c r="BM335" s="12" t="s">
        <v>525</v>
      </c>
    </row>
    <row r="336" spans="1:65" s="5" customFormat="1" ht="16.5" customHeight="1" x14ac:dyDescent="0.2">
      <c r="A336" s="105"/>
      <c r="B336" s="140"/>
      <c r="C336" s="33" t="s">
        <v>301</v>
      </c>
      <c r="D336" s="33" t="s">
        <v>131</v>
      </c>
      <c r="E336" s="34" t="s">
        <v>774</v>
      </c>
      <c r="F336" s="7" t="s">
        <v>775</v>
      </c>
      <c r="G336" s="35" t="s">
        <v>134</v>
      </c>
      <c r="H336" s="36">
        <v>24.821999999999999</v>
      </c>
      <c r="I336" s="1"/>
      <c r="J336" s="6">
        <f>ROUND(I336*H336,2)</f>
        <v>0</v>
      </c>
      <c r="K336" s="151" t="s">
        <v>1</v>
      </c>
      <c r="L336" s="17"/>
      <c r="M336" s="8" t="s">
        <v>1</v>
      </c>
      <c r="N336" s="9" t="s">
        <v>33</v>
      </c>
      <c r="O336" s="10">
        <v>0</v>
      </c>
      <c r="P336" s="10">
        <f>O336*H336</f>
        <v>0</v>
      </c>
      <c r="Q336" s="10">
        <v>0</v>
      </c>
      <c r="R336" s="10">
        <f>Q336*H336</f>
        <v>0</v>
      </c>
      <c r="S336" s="10">
        <v>0</v>
      </c>
      <c r="T336" s="11">
        <f>S336*H336</f>
        <v>0</v>
      </c>
      <c r="U336" s="105"/>
      <c r="V336" s="17"/>
      <c r="W336" s="17"/>
      <c r="X336" s="17"/>
      <c r="Y336" s="17"/>
      <c r="Z336" s="17"/>
      <c r="AA336" s="17"/>
      <c r="AB336" s="17"/>
      <c r="AC336" s="105"/>
      <c r="AD336" s="105"/>
      <c r="AE336" s="105"/>
      <c r="AR336" s="12" t="s">
        <v>135</v>
      </c>
      <c r="AT336" s="12" t="s">
        <v>131</v>
      </c>
      <c r="AU336" s="12" t="s">
        <v>74</v>
      </c>
      <c r="AY336" s="13" t="s">
        <v>130</v>
      </c>
      <c r="BE336" s="14">
        <f>IF(N336="základní",J336,0)</f>
        <v>0</v>
      </c>
      <c r="BF336" s="14">
        <f>IF(N336="snížená",J336,0)</f>
        <v>0</v>
      </c>
      <c r="BG336" s="14">
        <f>IF(N336="zákl. přenesená",J336,0)</f>
        <v>0</v>
      </c>
      <c r="BH336" s="14">
        <f>IF(N336="sníž. přenesená",J336,0)</f>
        <v>0</v>
      </c>
      <c r="BI336" s="14">
        <f>IF(N336="nulová",J336,0)</f>
        <v>0</v>
      </c>
      <c r="BJ336" s="13" t="s">
        <v>74</v>
      </c>
      <c r="BK336" s="14">
        <f>ROUND(I336*H336,2)</f>
        <v>0</v>
      </c>
      <c r="BL336" s="13" t="s">
        <v>135</v>
      </c>
      <c r="BM336" s="12" t="s">
        <v>528</v>
      </c>
    </row>
    <row r="337" spans="1:65" s="5" customFormat="1" ht="16.5" customHeight="1" x14ac:dyDescent="0.2">
      <c r="A337" s="105"/>
      <c r="B337" s="140"/>
      <c r="C337" s="33" t="s">
        <v>530</v>
      </c>
      <c r="D337" s="33" t="s">
        <v>131</v>
      </c>
      <c r="E337" s="34" t="s">
        <v>776</v>
      </c>
      <c r="F337" s="7" t="s">
        <v>777</v>
      </c>
      <c r="G337" s="35" t="s">
        <v>134</v>
      </c>
      <c r="H337" s="36">
        <v>24.821999999999999</v>
      </c>
      <c r="I337" s="1"/>
      <c r="J337" s="6">
        <f>ROUND(I337*H337,2)</f>
        <v>0</v>
      </c>
      <c r="K337" s="151" t="s">
        <v>1</v>
      </c>
      <c r="L337" s="17"/>
      <c r="M337" s="8" t="s">
        <v>1</v>
      </c>
      <c r="N337" s="9" t="s">
        <v>33</v>
      </c>
      <c r="O337" s="10">
        <v>0</v>
      </c>
      <c r="P337" s="10">
        <f>O337*H337</f>
        <v>0</v>
      </c>
      <c r="Q337" s="10">
        <v>0</v>
      </c>
      <c r="R337" s="10">
        <f>Q337*H337</f>
        <v>0</v>
      </c>
      <c r="S337" s="10">
        <v>0</v>
      </c>
      <c r="T337" s="11">
        <f>S337*H337</f>
        <v>0</v>
      </c>
      <c r="U337" s="105"/>
      <c r="V337" s="17"/>
      <c r="W337" s="17"/>
      <c r="X337" s="17"/>
      <c r="Y337" s="17"/>
      <c r="Z337" s="17"/>
      <c r="AA337" s="17"/>
      <c r="AB337" s="17"/>
      <c r="AC337" s="105"/>
      <c r="AD337" s="105"/>
      <c r="AE337" s="105"/>
      <c r="AR337" s="12" t="s">
        <v>135</v>
      </c>
      <c r="AT337" s="12" t="s">
        <v>131</v>
      </c>
      <c r="AU337" s="12" t="s">
        <v>74</v>
      </c>
      <c r="AY337" s="13" t="s">
        <v>130</v>
      </c>
      <c r="BE337" s="14">
        <f>IF(N337="základní",J337,0)</f>
        <v>0</v>
      </c>
      <c r="BF337" s="14">
        <f>IF(N337="snížená",J337,0)</f>
        <v>0</v>
      </c>
      <c r="BG337" s="14">
        <f>IF(N337="zákl. přenesená",J337,0)</f>
        <v>0</v>
      </c>
      <c r="BH337" s="14">
        <f>IF(N337="sníž. přenesená",J337,0)</f>
        <v>0</v>
      </c>
      <c r="BI337" s="14">
        <f>IF(N337="nulová",J337,0)</f>
        <v>0</v>
      </c>
      <c r="BJ337" s="13" t="s">
        <v>74</v>
      </c>
      <c r="BK337" s="14">
        <f>ROUND(I337*H337,2)</f>
        <v>0</v>
      </c>
      <c r="BL337" s="13" t="s">
        <v>135</v>
      </c>
      <c r="BM337" s="12" t="s">
        <v>529</v>
      </c>
    </row>
    <row r="338" spans="1:65" s="5" customFormat="1" ht="29.25" x14ac:dyDescent="0.2">
      <c r="A338" s="105"/>
      <c r="B338" s="140"/>
      <c r="C338" s="17"/>
      <c r="D338" s="141" t="s">
        <v>148</v>
      </c>
      <c r="E338" s="17"/>
      <c r="F338" s="142" t="s">
        <v>778</v>
      </c>
      <c r="G338" s="17"/>
      <c r="H338" s="17"/>
      <c r="I338" s="17"/>
      <c r="J338" s="17"/>
      <c r="K338" s="143"/>
      <c r="L338" s="17"/>
      <c r="M338" s="15"/>
      <c r="N338" s="16"/>
      <c r="O338" s="17"/>
      <c r="P338" s="17"/>
      <c r="Q338" s="17"/>
      <c r="R338" s="17"/>
      <c r="S338" s="17"/>
      <c r="T338" s="18"/>
      <c r="U338" s="105"/>
      <c r="V338" s="17"/>
      <c r="W338" s="17"/>
      <c r="X338" s="17"/>
      <c r="Y338" s="17"/>
      <c r="Z338" s="17"/>
      <c r="AA338" s="17"/>
      <c r="AB338" s="17"/>
      <c r="AC338" s="105"/>
      <c r="AD338" s="105"/>
      <c r="AE338" s="105"/>
      <c r="AT338" s="13" t="s">
        <v>148</v>
      </c>
      <c r="AU338" s="13" t="s">
        <v>74</v>
      </c>
    </row>
    <row r="339" spans="1:65" s="20" customFormat="1" ht="25.9" customHeight="1" x14ac:dyDescent="0.2">
      <c r="B339" s="172"/>
      <c r="C339" s="23"/>
      <c r="D339" s="173" t="s">
        <v>67</v>
      </c>
      <c r="E339" s="174" t="s">
        <v>212</v>
      </c>
      <c r="F339" s="174" t="s">
        <v>787</v>
      </c>
      <c r="G339" s="23"/>
      <c r="H339" s="23"/>
      <c r="I339" s="23"/>
      <c r="J339" s="175">
        <f>BK339</f>
        <v>0</v>
      </c>
      <c r="K339" s="176"/>
      <c r="L339" s="23"/>
      <c r="M339" s="22"/>
      <c r="N339" s="23"/>
      <c r="O339" s="23"/>
      <c r="P339" s="24">
        <f>SUM(P342:P354)</f>
        <v>0</v>
      </c>
      <c r="Q339" s="23"/>
      <c r="R339" s="24">
        <f>SUM(R342:R354)</f>
        <v>0</v>
      </c>
      <c r="S339" s="23"/>
      <c r="T339" s="25">
        <f>SUM(T342:T354)</f>
        <v>0</v>
      </c>
      <c r="V339" s="23"/>
      <c r="W339" s="23"/>
      <c r="X339" s="23"/>
      <c r="Y339" s="23"/>
      <c r="Z339" s="23"/>
      <c r="AA339" s="23"/>
      <c r="AB339" s="23"/>
      <c r="AR339" s="26" t="s">
        <v>74</v>
      </c>
      <c r="AT339" s="27" t="s">
        <v>67</v>
      </c>
      <c r="AU339" s="27" t="s">
        <v>68</v>
      </c>
      <c r="AY339" s="26" t="s">
        <v>130</v>
      </c>
      <c r="BK339" s="28">
        <f>SUM(BK342:BK354)</f>
        <v>0</v>
      </c>
    </row>
    <row r="340" spans="1:65" s="5" customFormat="1" ht="19.5" x14ac:dyDescent="0.2">
      <c r="B340" s="177"/>
      <c r="C340" s="16"/>
      <c r="D340" s="178" t="s">
        <v>148</v>
      </c>
      <c r="E340" s="16"/>
      <c r="F340" s="200" t="s">
        <v>1249</v>
      </c>
      <c r="G340" s="180"/>
      <c r="H340" s="16"/>
      <c r="I340" s="16"/>
      <c r="J340" s="16"/>
      <c r="K340" s="181"/>
      <c r="L340" s="52"/>
      <c r="M340" s="52"/>
      <c r="N340" s="52"/>
      <c r="O340" s="52"/>
      <c r="P340" s="52"/>
      <c r="Q340" s="52"/>
      <c r="R340" s="52"/>
      <c r="S340" s="128"/>
      <c r="V340" s="16"/>
      <c r="W340" s="16"/>
      <c r="X340" s="16"/>
      <c r="Y340" s="16"/>
      <c r="Z340" s="16"/>
      <c r="AA340" s="16"/>
      <c r="AB340" s="16"/>
      <c r="AZ340" s="126" t="s">
        <v>148</v>
      </c>
      <c r="BA340" s="126" t="s">
        <v>74</v>
      </c>
    </row>
    <row r="341" spans="1:65" s="5" customFormat="1" ht="10.15" customHeight="1" x14ac:dyDescent="0.2">
      <c r="B341" s="177"/>
      <c r="C341" s="16"/>
      <c r="D341" s="178" t="s">
        <v>340</v>
      </c>
      <c r="E341" s="16"/>
      <c r="F341" s="200" t="s">
        <v>1254</v>
      </c>
      <c r="G341" s="16"/>
      <c r="H341" s="180">
        <f>6.37*5.87</f>
        <v>37.3919</v>
      </c>
      <c r="I341" s="16"/>
      <c r="J341" s="16"/>
      <c r="K341" s="181"/>
      <c r="L341" s="52"/>
      <c r="M341" s="52"/>
      <c r="N341" s="52"/>
      <c r="O341" s="52"/>
      <c r="P341" s="52"/>
      <c r="Q341" s="52"/>
      <c r="R341" s="52"/>
      <c r="S341" s="128"/>
      <c r="V341" s="16"/>
      <c r="W341" s="16"/>
      <c r="X341" s="16"/>
      <c r="Y341" s="16"/>
      <c r="Z341" s="16"/>
      <c r="AA341" s="16"/>
      <c r="AB341" s="16"/>
      <c r="AZ341" s="126" t="s">
        <v>148</v>
      </c>
      <c r="BA341" s="126" t="s">
        <v>74</v>
      </c>
    </row>
    <row r="342" spans="1:65" s="5" customFormat="1" ht="16.5" customHeight="1" x14ac:dyDescent="0.2">
      <c r="A342" s="105"/>
      <c r="B342" s="140"/>
      <c r="C342" s="33" t="s">
        <v>417</v>
      </c>
      <c r="D342" s="33" t="s">
        <v>131</v>
      </c>
      <c r="E342" s="34" t="s">
        <v>713</v>
      </c>
      <c r="F342" s="7" t="s">
        <v>714</v>
      </c>
      <c r="G342" s="35" t="s">
        <v>134</v>
      </c>
      <c r="H342" s="36">
        <v>37.392000000000003</v>
      </c>
      <c r="I342" s="1"/>
      <c r="J342" s="6">
        <f>ROUND(I342*H342,2)</f>
        <v>0</v>
      </c>
      <c r="K342" s="151" t="s">
        <v>1</v>
      </c>
      <c r="L342" s="17"/>
      <c r="M342" s="8" t="s">
        <v>1</v>
      </c>
      <c r="N342" s="9" t="s">
        <v>33</v>
      </c>
      <c r="O342" s="10">
        <v>0</v>
      </c>
      <c r="P342" s="10">
        <f>O342*H342</f>
        <v>0</v>
      </c>
      <c r="Q342" s="10">
        <v>0</v>
      </c>
      <c r="R342" s="10">
        <f>Q342*H342</f>
        <v>0</v>
      </c>
      <c r="S342" s="10">
        <v>0</v>
      </c>
      <c r="T342" s="11">
        <f>S342*H342</f>
        <v>0</v>
      </c>
      <c r="U342" s="105"/>
      <c r="V342" s="17"/>
      <c r="W342" s="17"/>
      <c r="X342" s="17"/>
      <c r="Y342" s="17"/>
      <c r="Z342" s="17"/>
      <c r="AA342" s="17"/>
      <c r="AB342" s="17"/>
      <c r="AC342" s="105"/>
      <c r="AD342" s="105"/>
      <c r="AE342" s="105"/>
      <c r="AR342" s="12" t="s">
        <v>135</v>
      </c>
      <c r="AT342" s="12" t="s">
        <v>131</v>
      </c>
      <c r="AU342" s="12" t="s">
        <v>74</v>
      </c>
      <c r="AY342" s="13" t="s">
        <v>130</v>
      </c>
      <c r="BE342" s="14">
        <f>IF(N342="základní",J342,0)</f>
        <v>0</v>
      </c>
      <c r="BF342" s="14">
        <f>IF(N342="snížená",J342,0)</f>
        <v>0</v>
      </c>
      <c r="BG342" s="14">
        <f>IF(N342="zákl. přenesená",J342,0)</f>
        <v>0</v>
      </c>
      <c r="BH342" s="14">
        <f>IF(N342="sníž. přenesená",J342,0)</f>
        <v>0</v>
      </c>
      <c r="BI342" s="14">
        <f>IF(N342="nulová",J342,0)</f>
        <v>0</v>
      </c>
      <c r="BJ342" s="13" t="s">
        <v>74</v>
      </c>
      <c r="BK342" s="14">
        <f>ROUND(I342*H342,2)</f>
        <v>0</v>
      </c>
      <c r="BL342" s="13" t="s">
        <v>135</v>
      </c>
      <c r="BM342" s="12" t="s">
        <v>531</v>
      </c>
    </row>
    <row r="343" spans="1:65" s="5" customFormat="1" ht="16.5" customHeight="1" x14ac:dyDescent="0.2">
      <c r="A343" s="105"/>
      <c r="B343" s="140"/>
      <c r="C343" s="33" t="s">
        <v>534</v>
      </c>
      <c r="D343" s="33" t="s">
        <v>131</v>
      </c>
      <c r="E343" s="34" t="s">
        <v>716</v>
      </c>
      <c r="F343" s="7" t="s">
        <v>717</v>
      </c>
      <c r="G343" s="35" t="s">
        <v>134</v>
      </c>
      <c r="H343" s="36">
        <v>7.4779999999999998</v>
      </c>
      <c r="I343" s="1"/>
      <c r="J343" s="6">
        <f>ROUND(I343*H343,2)</f>
        <v>0</v>
      </c>
      <c r="K343" s="151" t="s">
        <v>1</v>
      </c>
      <c r="L343" s="17"/>
      <c r="M343" s="8" t="s">
        <v>1</v>
      </c>
      <c r="N343" s="9" t="s">
        <v>33</v>
      </c>
      <c r="O343" s="10">
        <v>0</v>
      </c>
      <c r="P343" s="10">
        <f>O343*H343</f>
        <v>0</v>
      </c>
      <c r="Q343" s="10">
        <v>0</v>
      </c>
      <c r="R343" s="10">
        <f>Q343*H343</f>
        <v>0</v>
      </c>
      <c r="S343" s="10">
        <v>0</v>
      </c>
      <c r="T343" s="11">
        <f>S343*H343</f>
        <v>0</v>
      </c>
      <c r="U343" s="105"/>
      <c r="V343" s="17"/>
      <c r="W343" s="17"/>
      <c r="X343" s="17"/>
      <c r="Y343" s="17"/>
      <c r="Z343" s="17"/>
      <c r="AA343" s="17"/>
      <c r="AB343" s="17"/>
      <c r="AC343" s="105"/>
      <c r="AD343" s="105"/>
      <c r="AE343" s="105"/>
      <c r="AR343" s="12" t="s">
        <v>135</v>
      </c>
      <c r="AT343" s="12" t="s">
        <v>131</v>
      </c>
      <c r="AU343" s="12" t="s">
        <v>74</v>
      </c>
      <c r="AY343" s="13" t="s">
        <v>130</v>
      </c>
      <c r="BE343" s="14">
        <f>IF(N343="základní",J343,0)</f>
        <v>0</v>
      </c>
      <c r="BF343" s="14">
        <f>IF(N343="snížená",J343,0)</f>
        <v>0</v>
      </c>
      <c r="BG343" s="14">
        <f>IF(N343="zákl. přenesená",J343,0)</f>
        <v>0</v>
      </c>
      <c r="BH343" s="14">
        <f>IF(N343="sníž. přenesená",J343,0)</f>
        <v>0</v>
      </c>
      <c r="BI343" s="14">
        <f>IF(N343="nulová",J343,0)</f>
        <v>0</v>
      </c>
      <c r="BJ343" s="13" t="s">
        <v>74</v>
      </c>
      <c r="BK343" s="14">
        <f>ROUND(I343*H343,2)</f>
        <v>0</v>
      </c>
      <c r="BL343" s="13" t="s">
        <v>135</v>
      </c>
      <c r="BM343" s="12" t="s">
        <v>532</v>
      </c>
    </row>
    <row r="344" spans="1:65" s="5" customFormat="1" ht="19.5" x14ac:dyDescent="0.2">
      <c r="A344" s="105"/>
      <c r="B344" s="140"/>
      <c r="C344" s="17"/>
      <c r="D344" s="141" t="s">
        <v>148</v>
      </c>
      <c r="E344" s="17"/>
      <c r="F344" s="142" t="s">
        <v>718</v>
      </c>
      <c r="G344" s="17"/>
      <c r="H344" s="17"/>
      <c r="I344" s="17"/>
      <c r="J344" s="17"/>
      <c r="K344" s="143"/>
      <c r="L344" s="17"/>
      <c r="M344" s="15"/>
      <c r="N344" s="16"/>
      <c r="O344" s="17"/>
      <c r="P344" s="17"/>
      <c r="Q344" s="17"/>
      <c r="R344" s="17"/>
      <c r="S344" s="17"/>
      <c r="T344" s="18"/>
      <c r="U344" s="105"/>
      <c r="V344" s="17"/>
      <c r="W344" s="17"/>
      <c r="X344" s="17"/>
      <c r="Y344" s="17"/>
      <c r="Z344" s="17"/>
      <c r="AA344" s="17"/>
      <c r="AB344" s="17"/>
      <c r="AC344" s="105"/>
      <c r="AD344" s="105"/>
      <c r="AE344" s="105"/>
      <c r="AT344" s="13" t="s">
        <v>148</v>
      </c>
      <c r="AU344" s="13" t="s">
        <v>74</v>
      </c>
    </row>
    <row r="345" spans="1:65" s="5" customFormat="1" ht="16.5" customHeight="1" x14ac:dyDescent="0.2">
      <c r="A345" s="105"/>
      <c r="B345" s="140"/>
      <c r="C345" s="33" t="s">
        <v>420</v>
      </c>
      <c r="D345" s="33" t="s">
        <v>131</v>
      </c>
      <c r="E345" s="34" t="s">
        <v>735</v>
      </c>
      <c r="F345" s="7" t="s">
        <v>736</v>
      </c>
      <c r="G345" s="35" t="s">
        <v>134</v>
      </c>
      <c r="H345" s="36">
        <v>4</v>
      </c>
      <c r="I345" s="1"/>
      <c r="J345" s="6">
        <f>ROUND(I345*H345,2)</f>
        <v>0</v>
      </c>
      <c r="K345" s="151" t="s">
        <v>1</v>
      </c>
      <c r="L345" s="17"/>
      <c r="M345" s="8" t="s">
        <v>1</v>
      </c>
      <c r="N345" s="9" t="s">
        <v>33</v>
      </c>
      <c r="O345" s="10">
        <v>0</v>
      </c>
      <c r="P345" s="10">
        <f>O345*H345</f>
        <v>0</v>
      </c>
      <c r="Q345" s="10">
        <v>0</v>
      </c>
      <c r="R345" s="10">
        <f>Q345*H345</f>
        <v>0</v>
      </c>
      <c r="S345" s="10">
        <v>0</v>
      </c>
      <c r="T345" s="11">
        <f>S345*H345</f>
        <v>0</v>
      </c>
      <c r="U345" s="105"/>
      <c r="V345" s="17"/>
      <c r="W345" s="17"/>
      <c r="X345" s="17"/>
      <c r="Y345" s="17"/>
      <c r="Z345" s="17"/>
      <c r="AA345" s="17"/>
      <c r="AB345" s="17"/>
      <c r="AC345" s="105"/>
      <c r="AD345" s="105"/>
      <c r="AE345" s="105"/>
      <c r="AR345" s="12" t="s">
        <v>135</v>
      </c>
      <c r="AT345" s="12" t="s">
        <v>131</v>
      </c>
      <c r="AU345" s="12" t="s">
        <v>74</v>
      </c>
      <c r="AY345" s="13" t="s">
        <v>130</v>
      </c>
      <c r="BE345" s="14">
        <f>IF(N345="základní",J345,0)</f>
        <v>0</v>
      </c>
      <c r="BF345" s="14">
        <f>IF(N345="snížená",J345,0)</f>
        <v>0</v>
      </c>
      <c r="BG345" s="14">
        <f>IF(N345="zákl. přenesená",J345,0)</f>
        <v>0</v>
      </c>
      <c r="BH345" s="14">
        <f>IF(N345="sníž. přenesená",J345,0)</f>
        <v>0</v>
      </c>
      <c r="BI345" s="14">
        <f>IF(N345="nulová",J345,0)</f>
        <v>0</v>
      </c>
      <c r="BJ345" s="13" t="s">
        <v>74</v>
      </c>
      <c r="BK345" s="14">
        <f>ROUND(I345*H345,2)</f>
        <v>0</v>
      </c>
      <c r="BL345" s="13" t="s">
        <v>135</v>
      </c>
      <c r="BM345" s="12" t="s">
        <v>535</v>
      </c>
    </row>
    <row r="346" spans="1:65" s="5" customFormat="1" ht="19.5" x14ac:dyDescent="0.2">
      <c r="A346" s="105"/>
      <c r="B346" s="140"/>
      <c r="C346" s="17"/>
      <c r="D346" s="141" t="s">
        <v>148</v>
      </c>
      <c r="E346" s="17"/>
      <c r="F346" s="142" t="s">
        <v>737</v>
      </c>
      <c r="G346" s="17"/>
      <c r="H346" s="17"/>
      <c r="I346" s="17"/>
      <c r="J346" s="17"/>
      <c r="K346" s="143"/>
      <c r="L346" s="17"/>
      <c r="M346" s="15"/>
      <c r="N346" s="16"/>
      <c r="O346" s="17"/>
      <c r="P346" s="17"/>
      <c r="Q346" s="17"/>
      <c r="R346" s="17"/>
      <c r="S346" s="17"/>
      <c r="T346" s="18"/>
      <c r="U346" s="105"/>
      <c r="V346" s="17"/>
      <c r="W346" s="17"/>
      <c r="X346" s="17"/>
      <c r="Y346" s="17"/>
      <c r="Z346" s="17"/>
      <c r="AA346" s="17"/>
      <c r="AB346" s="17"/>
      <c r="AC346" s="105"/>
      <c r="AD346" s="105"/>
      <c r="AE346" s="105"/>
      <c r="AT346" s="13" t="s">
        <v>148</v>
      </c>
      <c r="AU346" s="13" t="s">
        <v>74</v>
      </c>
    </row>
    <row r="347" spans="1:65" s="5" customFormat="1" ht="16.5" customHeight="1" x14ac:dyDescent="0.2">
      <c r="A347" s="105"/>
      <c r="B347" s="140"/>
      <c r="C347" s="33" t="s">
        <v>537</v>
      </c>
      <c r="D347" s="33" t="s">
        <v>131</v>
      </c>
      <c r="E347" s="34" t="s">
        <v>232</v>
      </c>
      <c r="F347" s="7" t="s">
        <v>722</v>
      </c>
      <c r="G347" s="35" t="s">
        <v>723</v>
      </c>
      <c r="H347" s="36">
        <v>5.8999999999999997E-2</v>
      </c>
      <c r="I347" s="1"/>
      <c r="J347" s="6">
        <f>ROUND(I347*H347,2)</f>
        <v>0</v>
      </c>
      <c r="K347" s="151" t="s">
        <v>1</v>
      </c>
      <c r="L347" s="17"/>
      <c r="M347" s="8" t="s">
        <v>1</v>
      </c>
      <c r="N347" s="9" t="s">
        <v>33</v>
      </c>
      <c r="O347" s="10">
        <v>0</v>
      </c>
      <c r="P347" s="10">
        <f>O347*H347</f>
        <v>0</v>
      </c>
      <c r="Q347" s="10">
        <v>0</v>
      </c>
      <c r="R347" s="10">
        <f>Q347*H347</f>
        <v>0</v>
      </c>
      <c r="S347" s="10">
        <v>0</v>
      </c>
      <c r="T347" s="11">
        <f>S347*H347</f>
        <v>0</v>
      </c>
      <c r="U347" s="105"/>
      <c r="V347" s="17"/>
      <c r="W347" s="17"/>
      <c r="X347" s="17"/>
      <c r="Y347" s="17"/>
      <c r="Z347" s="17"/>
      <c r="AA347" s="17"/>
      <c r="AB347" s="17"/>
      <c r="AC347" s="105"/>
      <c r="AD347" s="105"/>
      <c r="AE347" s="105"/>
      <c r="AR347" s="12" t="s">
        <v>135</v>
      </c>
      <c r="AT347" s="12" t="s">
        <v>131</v>
      </c>
      <c r="AU347" s="12" t="s">
        <v>74</v>
      </c>
      <c r="AY347" s="13" t="s">
        <v>130</v>
      </c>
      <c r="BE347" s="14">
        <f>IF(N347="základní",J347,0)</f>
        <v>0</v>
      </c>
      <c r="BF347" s="14">
        <f>IF(N347="snížená",J347,0)</f>
        <v>0</v>
      </c>
      <c r="BG347" s="14">
        <f>IF(N347="zákl. přenesená",J347,0)</f>
        <v>0</v>
      </c>
      <c r="BH347" s="14">
        <f>IF(N347="sníž. přenesená",J347,0)</f>
        <v>0</v>
      </c>
      <c r="BI347" s="14">
        <f>IF(N347="nulová",J347,0)</f>
        <v>0</v>
      </c>
      <c r="BJ347" s="13" t="s">
        <v>74</v>
      </c>
      <c r="BK347" s="14">
        <f>ROUND(I347*H347,2)</f>
        <v>0</v>
      </c>
      <c r="BL347" s="13" t="s">
        <v>135</v>
      </c>
      <c r="BM347" s="12" t="s">
        <v>536</v>
      </c>
    </row>
    <row r="348" spans="1:65" s="5" customFormat="1" ht="16.5" customHeight="1" x14ac:dyDescent="0.2">
      <c r="A348" s="105"/>
      <c r="B348" s="140"/>
      <c r="C348" s="33" t="s">
        <v>423</v>
      </c>
      <c r="D348" s="33" t="s">
        <v>131</v>
      </c>
      <c r="E348" s="34" t="s">
        <v>246</v>
      </c>
      <c r="F348" s="7" t="s">
        <v>724</v>
      </c>
      <c r="G348" s="35" t="s">
        <v>723</v>
      </c>
      <c r="H348" s="36">
        <v>5.8999999999999997E-2</v>
      </c>
      <c r="I348" s="1"/>
      <c r="J348" s="6">
        <f>ROUND(I348*H348,2)</f>
        <v>0</v>
      </c>
      <c r="K348" s="151" t="s">
        <v>1</v>
      </c>
      <c r="L348" s="17"/>
      <c r="M348" s="8" t="s">
        <v>1</v>
      </c>
      <c r="N348" s="9" t="s">
        <v>33</v>
      </c>
      <c r="O348" s="10">
        <v>0</v>
      </c>
      <c r="P348" s="10">
        <f>O348*H348</f>
        <v>0</v>
      </c>
      <c r="Q348" s="10">
        <v>0</v>
      </c>
      <c r="R348" s="10">
        <f>Q348*H348</f>
        <v>0</v>
      </c>
      <c r="S348" s="10">
        <v>0</v>
      </c>
      <c r="T348" s="11">
        <f>S348*H348</f>
        <v>0</v>
      </c>
      <c r="U348" s="105"/>
      <c r="V348" s="17"/>
      <c r="W348" s="17"/>
      <c r="X348" s="17"/>
      <c r="Y348" s="17"/>
      <c r="Z348" s="17"/>
      <c r="AA348" s="17"/>
      <c r="AB348" s="17"/>
      <c r="AC348" s="105"/>
      <c r="AD348" s="105"/>
      <c r="AE348" s="105"/>
      <c r="AR348" s="12" t="s">
        <v>135</v>
      </c>
      <c r="AT348" s="12" t="s">
        <v>131</v>
      </c>
      <c r="AU348" s="12" t="s">
        <v>74</v>
      </c>
      <c r="AY348" s="13" t="s">
        <v>130</v>
      </c>
      <c r="BE348" s="14">
        <f>IF(N348="základní",J348,0)</f>
        <v>0</v>
      </c>
      <c r="BF348" s="14">
        <f>IF(N348="snížená",J348,0)</f>
        <v>0</v>
      </c>
      <c r="BG348" s="14">
        <f>IF(N348="zákl. přenesená",J348,0)</f>
        <v>0</v>
      </c>
      <c r="BH348" s="14">
        <f>IF(N348="sníž. přenesená",J348,0)</f>
        <v>0</v>
      </c>
      <c r="BI348" s="14">
        <f>IF(N348="nulová",J348,0)</f>
        <v>0</v>
      </c>
      <c r="BJ348" s="13" t="s">
        <v>74</v>
      </c>
      <c r="BK348" s="14">
        <f>ROUND(I348*H348,2)</f>
        <v>0</v>
      </c>
      <c r="BL348" s="13" t="s">
        <v>135</v>
      </c>
      <c r="BM348" s="12" t="s">
        <v>538</v>
      </c>
    </row>
    <row r="349" spans="1:65" s="5" customFormat="1" ht="16.5" customHeight="1" x14ac:dyDescent="0.2">
      <c r="A349" s="105"/>
      <c r="B349" s="140"/>
      <c r="C349" s="33" t="s">
        <v>541</v>
      </c>
      <c r="D349" s="33" t="s">
        <v>131</v>
      </c>
      <c r="E349" s="34" t="s">
        <v>770</v>
      </c>
      <c r="F349" s="7" t="s">
        <v>771</v>
      </c>
      <c r="G349" s="35" t="s">
        <v>134</v>
      </c>
      <c r="H349" s="36">
        <v>4</v>
      </c>
      <c r="I349" s="1"/>
      <c r="J349" s="6">
        <f>ROUND(I349*H349,2)</f>
        <v>0</v>
      </c>
      <c r="K349" s="151" t="s">
        <v>1</v>
      </c>
      <c r="L349" s="17"/>
      <c r="M349" s="8" t="s">
        <v>1</v>
      </c>
      <c r="N349" s="9" t="s">
        <v>33</v>
      </c>
      <c r="O349" s="10">
        <v>0</v>
      </c>
      <c r="P349" s="10">
        <f>O349*H349</f>
        <v>0</v>
      </c>
      <c r="Q349" s="10">
        <v>0</v>
      </c>
      <c r="R349" s="10">
        <f>Q349*H349</f>
        <v>0</v>
      </c>
      <c r="S349" s="10">
        <v>0</v>
      </c>
      <c r="T349" s="11">
        <f>S349*H349</f>
        <v>0</v>
      </c>
      <c r="U349" s="105"/>
      <c r="V349" s="17"/>
      <c r="W349" s="17"/>
      <c r="X349" s="17"/>
      <c r="Y349" s="17"/>
      <c r="Z349" s="17"/>
      <c r="AA349" s="17"/>
      <c r="AB349" s="17"/>
      <c r="AC349" s="105"/>
      <c r="AD349" s="105"/>
      <c r="AE349" s="105"/>
      <c r="AR349" s="12" t="s">
        <v>135</v>
      </c>
      <c r="AT349" s="12" t="s">
        <v>131</v>
      </c>
      <c r="AU349" s="12" t="s">
        <v>74</v>
      </c>
      <c r="AY349" s="13" t="s">
        <v>130</v>
      </c>
      <c r="BE349" s="14">
        <f>IF(N349="základní",J349,0)</f>
        <v>0</v>
      </c>
      <c r="BF349" s="14">
        <f>IF(N349="snížená",J349,0)</f>
        <v>0</v>
      </c>
      <c r="BG349" s="14">
        <f>IF(N349="zákl. přenesená",J349,0)</f>
        <v>0</v>
      </c>
      <c r="BH349" s="14">
        <f>IF(N349="sníž. přenesená",J349,0)</f>
        <v>0</v>
      </c>
      <c r="BI349" s="14">
        <f>IF(N349="nulová",J349,0)</f>
        <v>0</v>
      </c>
      <c r="BJ349" s="13" t="s">
        <v>74</v>
      </c>
      <c r="BK349" s="14">
        <f>ROUND(I349*H349,2)</f>
        <v>0</v>
      </c>
      <c r="BL349" s="13" t="s">
        <v>135</v>
      </c>
      <c r="BM349" s="12" t="s">
        <v>539</v>
      </c>
    </row>
    <row r="350" spans="1:65" s="5" customFormat="1" ht="39" x14ac:dyDescent="0.2">
      <c r="A350" s="105"/>
      <c r="B350" s="140"/>
      <c r="C350" s="17"/>
      <c r="D350" s="141" t="s">
        <v>148</v>
      </c>
      <c r="E350" s="17"/>
      <c r="F350" s="142" t="s">
        <v>755</v>
      </c>
      <c r="G350" s="17"/>
      <c r="H350" s="17"/>
      <c r="I350" s="17"/>
      <c r="J350" s="17"/>
      <c r="K350" s="143"/>
      <c r="L350" s="17"/>
      <c r="M350" s="15"/>
      <c r="N350" s="16"/>
      <c r="O350" s="17"/>
      <c r="P350" s="17"/>
      <c r="Q350" s="17"/>
      <c r="R350" s="17"/>
      <c r="S350" s="17"/>
      <c r="T350" s="18"/>
      <c r="U350" s="105"/>
      <c r="V350" s="17"/>
      <c r="W350" s="17"/>
      <c r="X350" s="17"/>
      <c r="Y350" s="17"/>
      <c r="Z350" s="17"/>
      <c r="AA350" s="17"/>
      <c r="AB350" s="17"/>
      <c r="AC350" s="105"/>
      <c r="AD350" s="105"/>
      <c r="AE350" s="105"/>
      <c r="AT350" s="13" t="s">
        <v>148</v>
      </c>
      <c r="AU350" s="13" t="s">
        <v>74</v>
      </c>
    </row>
    <row r="351" spans="1:65" s="5" customFormat="1" ht="16.5" customHeight="1" x14ac:dyDescent="0.2">
      <c r="A351" s="105"/>
      <c r="B351" s="140"/>
      <c r="C351" s="33" t="s">
        <v>425</v>
      </c>
      <c r="D351" s="33" t="s">
        <v>131</v>
      </c>
      <c r="E351" s="34" t="s">
        <v>772</v>
      </c>
      <c r="F351" s="7" t="s">
        <v>773</v>
      </c>
      <c r="G351" s="35" t="s">
        <v>134</v>
      </c>
      <c r="H351" s="36">
        <v>4</v>
      </c>
      <c r="I351" s="1"/>
      <c r="J351" s="6">
        <f>ROUND(I351*H351,2)</f>
        <v>0</v>
      </c>
      <c r="K351" s="151" t="s">
        <v>1</v>
      </c>
      <c r="L351" s="17"/>
      <c r="M351" s="8" t="s">
        <v>1</v>
      </c>
      <c r="N351" s="9" t="s">
        <v>33</v>
      </c>
      <c r="O351" s="10">
        <v>0</v>
      </c>
      <c r="P351" s="10">
        <f>O351*H351</f>
        <v>0</v>
      </c>
      <c r="Q351" s="10">
        <v>0</v>
      </c>
      <c r="R351" s="10">
        <f>Q351*H351</f>
        <v>0</v>
      </c>
      <c r="S351" s="10">
        <v>0</v>
      </c>
      <c r="T351" s="11">
        <f>S351*H351</f>
        <v>0</v>
      </c>
      <c r="U351" s="105"/>
      <c r="V351" s="17"/>
      <c r="W351" s="17"/>
      <c r="X351" s="17"/>
      <c r="Y351" s="17"/>
      <c r="Z351" s="17"/>
      <c r="AA351" s="17"/>
      <c r="AB351" s="17"/>
      <c r="AC351" s="105"/>
      <c r="AD351" s="105"/>
      <c r="AE351" s="105"/>
      <c r="AR351" s="12" t="s">
        <v>135</v>
      </c>
      <c r="AT351" s="12" t="s">
        <v>131</v>
      </c>
      <c r="AU351" s="12" t="s">
        <v>74</v>
      </c>
      <c r="AY351" s="13" t="s">
        <v>130</v>
      </c>
      <c r="BE351" s="14">
        <f>IF(N351="základní",J351,0)</f>
        <v>0</v>
      </c>
      <c r="BF351" s="14">
        <f>IF(N351="snížená",J351,0)</f>
        <v>0</v>
      </c>
      <c r="BG351" s="14">
        <f>IF(N351="zákl. přenesená",J351,0)</f>
        <v>0</v>
      </c>
      <c r="BH351" s="14">
        <f>IF(N351="sníž. přenesená",J351,0)</f>
        <v>0</v>
      </c>
      <c r="BI351" s="14">
        <f>IF(N351="nulová",J351,0)</f>
        <v>0</v>
      </c>
      <c r="BJ351" s="13" t="s">
        <v>74</v>
      </c>
      <c r="BK351" s="14">
        <f>ROUND(I351*H351,2)</f>
        <v>0</v>
      </c>
      <c r="BL351" s="13" t="s">
        <v>135</v>
      </c>
      <c r="BM351" s="12" t="s">
        <v>542</v>
      </c>
    </row>
    <row r="352" spans="1:65" s="5" customFormat="1" ht="16.5" customHeight="1" x14ac:dyDescent="0.2">
      <c r="A352" s="105"/>
      <c r="B352" s="140"/>
      <c r="C352" s="33" t="s">
        <v>544</v>
      </c>
      <c r="D352" s="33" t="s">
        <v>131</v>
      </c>
      <c r="E352" s="34" t="s">
        <v>774</v>
      </c>
      <c r="F352" s="7" t="s">
        <v>775</v>
      </c>
      <c r="G352" s="35" t="s">
        <v>134</v>
      </c>
      <c r="H352" s="36">
        <v>37.392000000000003</v>
      </c>
      <c r="I352" s="1"/>
      <c r="J352" s="6">
        <f>ROUND(I352*H352,2)</f>
        <v>0</v>
      </c>
      <c r="K352" s="151" t="s">
        <v>1</v>
      </c>
      <c r="L352" s="17"/>
      <c r="M352" s="8" t="s">
        <v>1</v>
      </c>
      <c r="N352" s="9" t="s">
        <v>33</v>
      </c>
      <c r="O352" s="10">
        <v>0</v>
      </c>
      <c r="P352" s="10">
        <f>O352*H352</f>
        <v>0</v>
      </c>
      <c r="Q352" s="10">
        <v>0</v>
      </c>
      <c r="R352" s="10">
        <f>Q352*H352</f>
        <v>0</v>
      </c>
      <c r="S352" s="10">
        <v>0</v>
      </c>
      <c r="T352" s="11">
        <f>S352*H352</f>
        <v>0</v>
      </c>
      <c r="U352" s="105"/>
      <c r="V352" s="17"/>
      <c r="W352" s="17"/>
      <c r="X352" s="17"/>
      <c r="Y352" s="17"/>
      <c r="Z352" s="17"/>
      <c r="AA352" s="17"/>
      <c r="AB352" s="17"/>
      <c r="AC352" s="105"/>
      <c r="AD352" s="105"/>
      <c r="AE352" s="105"/>
      <c r="AR352" s="12" t="s">
        <v>135</v>
      </c>
      <c r="AT352" s="12" t="s">
        <v>131</v>
      </c>
      <c r="AU352" s="12" t="s">
        <v>74</v>
      </c>
      <c r="AY352" s="13" t="s">
        <v>130</v>
      </c>
      <c r="BE352" s="14">
        <f>IF(N352="základní",J352,0)</f>
        <v>0</v>
      </c>
      <c r="BF352" s="14">
        <f>IF(N352="snížená",J352,0)</f>
        <v>0</v>
      </c>
      <c r="BG352" s="14">
        <f>IF(N352="zákl. přenesená",J352,0)</f>
        <v>0</v>
      </c>
      <c r="BH352" s="14">
        <f>IF(N352="sníž. přenesená",J352,0)</f>
        <v>0</v>
      </c>
      <c r="BI352" s="14">
        <f>IF(N352="nulová",J352,0)</f>
        <v>0</v>
      </c>
      <c r="BJ352" s="13" t="s">
        <v>74</v>
      </c>
      <c r="BK352" s="14">
        <f>ROUND(I352*H352,2)</f>
        <v>0</v>
      </c>
      <c r="BL352" s="13" t="s">
        <v>135</v>
      </c>
      <c r="BM352" s="12" t="s">
        <v>543</v>
      </c>
    </row>
    <row r="353" spans="1:65" s="5" customFormat="1" ht="16.5" customHeight="1" x14ac:dyDescent="0.2">
      <c r="A353" s="105"/>
      <c r="B353" s="140"/>
      <c r="C353" s="33" t="s">
        <v>427</v>
      </c>
      <c r="D353" s="33" t="s">
        <v>131</v>
      </c>
      <c r="E353" s="34" t="s">
        <v>776</v>
      </c>
      <c r="F353" s="7" t="s">
        <v>777</v>
      </c>
      <c r="G353" s="35" t="s">
        <v>134</v>
      </c>
      <c r="H353" s="36">
        <v>37.392000000000003</v>
      </c>
      <c r="I353" s="1"/>
      <c r="J353" s="6">
        <f>ROUND(I353*H353,2)</f>
        <v>0</v>
      </c>
      <c r="K353" s="151" t="s">
        <v>1</v>
      </c>
      <c r="L353" s="17"/>
      <c r="M353" s="8" t="s">
        <v>1</v>
      </c>
      <c r="N353" s="9" t="s">
        <v>33</v>
      </c>
      <c r="O353" s="10">
        <v>0</v>
      </c>
      <c r="P353" s="10">
        <f>O353*H353</f>
        <v>0</v>
      </c>
      <c r="Q353" s="10">
        <v>0</v>
      </c>
      <c r="R353" s="10">
        <f>Q353*H353</f>
        <v>0</v>
      </c>
      <c r="S353" s="10">
        <v>0</v>
      </c>
      <c r="T353" s="11">
        <f>S353*H353</f>
        <v>0</v>
      </c>
      <c r="U353" s="105"/>
      <c r="V353" s="17"/>
      <c r="W353" s="17"/>
      <c r="X353" s="17"/>
      <c r="Y353" s="17"/>
      <c r="Z353" s="17"/>
      <c r="AA353" s="17"/>
      <c r="AB353" s="17"/>
      <c r="AC353" s="105"/>
      <c r="AD353" s="105"/>
      <c r="AE353" s="105"/>
      <c r="AR353" s="12" t="s">
        <v>135</v>
      </c>
      <c r="AT353" s="12" t="s">
        <v>131</v>
      </c>
      <c r="AU353" s="12" t="s">
        <v>74</v>
      </c>
      <c r="AY353" s="13" t="s">
        <v>130</v>
      </c>
      <c r="BE353" s="14">
        <f>IF(N353="základní",J353,0)</f>
        <v>0</v>
      </c>
      <c r="BF353" s="14">
        <f>IF(N353="snížená",J353,0)</f>
        <v>0</v>
      </c>
      <c r="BG353" s="14">
        <f>IF(N353="zákl. přenesená",J353,0)</f>
        <v>0</v>
      </c>
      <c r="BH353" s="14">
        <f>IF(N353="sníž. přenesená",J353,0)</f>
        <v>0</v>
      </c>
      <c r="BI353" s="14">
        <f>IF(N353="nulová",J353,0)</f>
        <v>0</v>
      </c>
      <c r="BJ353" s="13" t="s">
        <v>74</v>
      </c>
      <c r="BK353" s="14">
        <f>ROUND(I353*H353,2)</f>
        <v>0</v>
      </c>
      <c r="BL353" s="13" t="s">
        <v>135</v>
      </c>
      <c r="BM353" s="12" t="s">
        <v>545</v>
      </c>
    </row>
    <row r="354" spans="1:65" s="5" customFormat="1" ht="29.25" x14ac:dyDescent="0.2">
      <c r="A354" s="105"/>
      <c r="B354" s="140"/>
      <c r="C354" s="17"/>
      <c r="D354" s="141" t="s">
        <v>148</v>
      </c>
      <c r="E354" s="17"/>
      <c r="F354" s="142" t="s">
        <v>778</v>
      </c>
      <c r="G354" s="17"/>
      <c r="H354" s="17"/>
      <c r="I354" s="17"/>
      <c r="J354" s="17"/>
      <c r="K354" s="143"/>
      <c r="L354" s="17"/>
      <c r="M354" s="15"/>
      <c r="N354" s="16"/>
      <c r="O354" s="17"/>
      <c r="P354" s="17"/>
      <c r="Q354" s="17"/>
      <c r="R354" s="17"/>
      <c r="S354" s="17"/>
      <c r="T354" s="18"/>
      <c r="U354" s="105"/>
      <c r="V354" s="17"/>
      <c r="W354" s="17"/>
      <c r="X354" s="17"/>
      <c r="Y354" s="17"/>
      <c r="Z354" s="17"/>
      <c r="AA354" s="17"/>
      <c r="AB354" s="17"/>
      <c r="AC354" s="105"/>
      <c r="AD354" s="105"/>
      <c r="AE354" s="105"/>
      <c r="AT354" s="13" t="s">
        <v>148</v>
      </c>
      <c r="AU354" s="13" t="s">
        <v>74</v>
      </c>
    </row>
    <row r="355" spans="1:65" s="20" customFormat="1" ht="25.9" customHeight="1" x14ac:dyDescent="0.2">
      <c r="B355" s="172"/>
      <c r="C355" s="23"/>
      <c r="D355" s="173" t="s">
        <v>67</v>
      </c>
      <c r="E355" s="174" t="s">
        <v>220</v>
      </c>
      <c r="F355" s="174" t="s">
        <v>788</v>
      </c>
      <c r="G355" s="23"/>
      <c r="H355" s="23"/>
      <c r="I355" s="23"/>
      <c r="J355" s="175">
        <f>BK355</f>
        <v>0</v>
      </c>
      <c r="K355" s="176"/>
      <c r="L355" s="23"/>
      <c r="M355" s="22"/>
      <c r="N355" s="23"/>
      <c r="O355" s="23"/>
      <c r="P355" s="24">
        <f>SUM(P358:P370)</f>
        <v>0</v>
      </c>
      <c r="Q355" s="23"/>
      <c r="R355" s="24">
        <f>SUM(R358:R370)</f>
        <v>0</v>
      </c>
      <c r="S355" s="23"/>
      <c r="T355" s="25">
        <f>SUM(T358:T370)</f>
        <v>0</v>
      </c>
      <c r="V355" s="23"/>
      <c r="W355" s="23"/>
      <c r="X355" s="23"/>
      <c r="Y355" s="23"/>
      <c r="Z355" s="23"/>
      <c r="AA355" s="23"/>
      <c r="AB355" s="23"/>
      <c r="AR355" s="26" t="s">
        <v>74</v>
      </c>
      <c r="AT355" s="27" t="s">
        <v>67</v>
      </c>
      <c r="AU355" s="27" t="s">
        <v>68</v>
      </c>
      <c r="AY355" s="26" t="s">
        <v>130</v>
      </c>
      <c r="BK355" s="28">
        <f>SUM(BK358:BK370)</f>
        <v>0</v>
      </c>
    </row>
    <row r="356" spans="1:65" s="5" customFormat="1" ht="19.5" x14ac:dyDescent="0.2">
      <c r="B356" s="177"/>
      <c r="C356" s="16"/>
      <c r="D356" s="178" t="s">
        <v>148</v>
      </c>
      <c r="E356" s="16"/>
      <c r="F356" s="200" t="s">
        <v>1249</v>
      </c>
      <c r="G356" s="180"/>
      <c r="H356" s="16"/>
      <c r="I356" s="16"/>
      <c r="J356" s="16"/>
      <c r="K356" s="181"/>
      <c r="L356" s="52"/>
      <c r="M356" s="52"/>
      <c r="N356" s="52"/>
      <c r="O356" s="52"/>
      <c r="P356" s="52"/>
      <c r="Q356" s="52"/>
      <c r="R356" s="52"/>
      <c r="S356" s="128"/>
      <c r="V356" s="16"/>
      <c r="W356" s="16"/>
      <c r="X356" s="16"/>
      <c r="Y356" s="16"/>
      <c r="Z356" s="16"/>
      <c r="AA356" s="16"/>
      <c r="AB356" s="16"/>
      <c r="AZ356" s="126" t="s">
        <v>148</v>
      </c>
      <c r="BA356" s="126" t="s">
        <v>74</v>
      </c>
    </row>
    <row r="357" spans="1:65" s="5" customFormat="1" ht="10.15" customHeight="1" x14ac:dyDescent="0.2">
      <c r="B357" s="177"/>
      <c r="C357" s="16"/>
      <c r="D357" s="178" t="s">
        <v>340</v>
      </c>
      <c r="E357" s="16"/>
      <c r="F357" s="200" t="s">
        <v>1255</v>
      </c>
      <c r="G357" s="16"/>
      <c r="H357" s="180">
        <f>(5.69*5.89)+((6.22-5.69)*5.89/2)</f>
        <v>35.074949999999994</v>
      </c>
      <c r="I357" s="16"/>
      <c r="J357" s="16"/>
      <c r="K357" s="181"/>
      <c r="L357" s="52"/>
      <c r="M357" s="52"/>
      <c r="N357" s="52"/>
      <c r="O357" s="52"/>
      <c r="P357" s="52"/>
      <c r="Q357" s="52"/>
      <c r="R357" s="52"/>
      <c r="S357" s="128"/>
      <c r="V357" s="16"/>
      <c r="W357" s="16"/>
      <c r="X357" s="16"/>
      <c r="Y357" s="16"/>
      <c r="Z357" s="16"/>
      <c r="AA357" s="16"/>
      <c r="AB357" s="16"/>
      <c r="AZ357" s="126" t="s">
        <v>148</v>
      </c>
      <c r="BA357" s="126" t="s">
        <v>74</v>
      </c>
    </row>
    <row r="358" spans="1:65" s="5" customFormat="1" ht="16.5" customHeight="1" x14ac:dyDescent="0.2">
      <c r="A358" s="105"/>
      <c r="B358" s="140"/>
      <c r="C358" s="33" t="s">
        <v>550</v>
      </c>
      <c r="D358" s="33" t="s">
        <v>131</v>
      </c>
      <c r="E358" s="34" t="s">
        <v>713</v>
      </c>
      <c r="F358" s="7" t="s">
        <v>714</v>
      </c>
      <c r="G358" s="35" t="s">
        <v>134</v>
      </c>
      <c r="H358" s="36">
        <v>35.075000000000003</v>
      </c>
      <c r="I358" s="1"/>
      <c r="J358" s="6">
        <f>ROUND(I358*H358,2)</f>
        <v>0</v>
      </c>
      <c r="K358" s="151" t="s">
        <v>1</v>
      </c>
      <c r="L358" s="17"/>
      <c r="M358" s="8" t="s">
        <v>1</v>
      </c>
      <c r="N358" s="9" t="s">
        <v>33</v>
      </c>
      <c r="O358" s="10">
        <v>0</v>
      </c>
      <c r="P358" s="10">
        <f>O358*H358</f>
        <v>0</v>
      </c>
      <c r="Q358" s="10">
        <v>0</v>
      </c>
      <c r="R358" s="10">
        <f>Q358*H358</f>
        <v>0</v>
      </c>
      <c r="S358" s="10">
        <v>0</v>
      </c>
      <c r="T358" s="11">
        <f>S358*H358</f>
        <v>0</v>
      </c>
      <c r="U358" s="105"/>
      <c r="V358" s="17"/>
      <c r="W358" s="17"/>
      <c r="X358" s="17"/>
      <c r="Y358" s="17"/>
      <c r="Z358" s="17"/>
      <c r="AA358" s="17"/>
      <c r="AB358" s="17"/>
      <c r="AC358" s="105"/>
      <c r="AD358" s="105"/>
      <c r="AE358" s="105"/>
      <c r="AR358" s="12" t="s">
        <v>135</v>
      </c>
      <c r="AT358" s="12" t="s">
        <v>131</v>
      </c>
      <c r="AU358" s="12" t="s">
        <v>74</v>
      </c>
      <c r="AY358" s="13" t="s">
        <v>130</v>
      </c>
      <c r="BE358" s="14">
        <f>IF(N358="základní",J358,0)</f>
        <v>0</v>
      </c>
      <c r="BF358" s="14">
        <f>IF(N358="snížená",J358,0)</f>
        <v>0</v>
      </c>
      <c r="BG358" s="14">
        <f>IF(N358="zákl. přenesená",J358,0)</f>
        <v>0</v>
      </c>
      <c r="BH358" s="14">
        <f>IF(N358="sníž. přenesená",J358,0)</f>
        <v>0</v>
      </c>
      <c r="BI358" s="14">
        <f>IF(N358="nulová",J358,0)</f>
        <v>0</v>
      </c>
      <c r="BJ358" s="13" t="s">
        <v>74</v>
      </c>
      <c r="BK358" s="14">
        <f>ROUND(I358*H358,2)</f>
        <v>0</v>
      </c>
      <c r="BL358" s="13" t="s">
        <v>135</v>
      </c>
      <c r="BM358" s="12" t="s">
        <v>548</v>
      </c>
    </row>
    <row r="359" spans="1:65" s="5" customFormat="1" ht="16.5" customHeight="1" x14ac:dyDescent="0.2">
      <c r="A359" s="105"/>
      <c r="B359" s="140"/>
      <c r="C359" s="33" t="s">
        <v>429</v>
      </c>
      <c r="D359" s="33" t="s">
        <v>131</v>
      </c>
      <c r="E359" s="34" t="s">
        <v>716</v>
      </c>
      <c r="F359" s="7" t="s">
        <v>717</v>
      </c>
      <c r="G359" s="35" t="s">
        <v>134</v>
      </c>
      <c r="H359" s="36">
        <v>7.0149999999999997</v>
      </c>
      <c r="I359" s="1"/>
      <c r="J359" s="6">
        <f>ROUND(I359*H359,2)</f>
        <v>0</v>
      </c>
      <c r="K359" s="151" t="s">
        <v>1</v>
      </c>
      <c r="L359" s="17"/>
      <c r="M359" s="8" t="s">
        <v>1</v>
      </c>
      <c r="N359" s="9" t="s">
        <v>33</v>
      </c>
      <c r="O359" s="10">
        <v>0</v>
      </c>
      <c r="P359" s="10">
        <f>O359*H359</f>
        <v>0</v>
      </c>
      <c r="Q359" s="10">
        <v>0</v>
      </c>
      <c r="R359" s="10">
        <f>Q359*H359</f>
        <v>0</v>
      </c>
      <c r="S359" s="10">
        <v>0</v>
      </c>
      <c r="T359" s="11">
        <f>S359*H359</f>
        <v>0</v>
      </c>
      <c r="U359" s="105"/>
      <c r="V359" s="17"/>
      <c r="W359" s="17"/>
      <c r="X359" s="17"/>
      <c r="Y359" s="17"/>
      <c r="Z359" s="17"/>
      <c r="AA359" s="17"/>
      <c r="AB359" s="17"/>
      <c r="AC359" s="105"/>
      <c r="AD359" s="105"/>
      <c r="AE359" s="105"/>
      <c r="AR359" s="12" t="s">
        <v>135</v>
      </c>
      <c r="AT359" s="12" t="s">
        <v>131</v>
      </c>
      <c r="AU359" s="12" t="s">
        <v>74</v>
      </c>
      <c r="AY359" s="13" t="s">
        <v>130</v>
      </c>
      <c r="BE359" s="14">
        <f>IF(N359="základní",J359,0)</f>
        <v>0</v>
      </c>
      <c r="BF359" s="14">
        <f>IF(N359="snížená",J359,0)</f>
        <v>0</v>
      </c>
      <c r="BG359" s="14">
        <f>IF(N359="zákl. přenesená",J359,0)</f>
        <v>0</v>
      </c>
      <c r="BH359" s="14">
        <f>IF(N359="sníž. přenesená",J359,0)</f>
        <v>0</v>
      </c>
      <c r="BI359" s="14">
        <f>IF(N359="nulová",J359,0)</f>
        <v>0</v>
      </c>
      <c r="BJ359" s="13" t="s">
        <v>74</v>
      </c>
      <c r="BK359" s="14">
        <f>ROUND(I359*H359,2)</f>
        <v>0</v>
      </c>
      <c r="BL359" s="13" t="s">
        <v>135</v>
      </c>
      <c r="BM359" s="12" t="s">
        <v>553</v>
      </c>
    </row>
    <row r="360" spans="1:65" s="5" customFormat="1" ht="19.5" x14ac:dyDescent="0.2">
      <c r="A360" s="105"/>
      <c r="B360" s="140"/>
      <c r="C360" s="17"/>
      <c r="D360" s="141" t="s">
        <v>148</v>
      </c>
      <c r="E360" s="17"/>
      <c r="F360" s="142" t="s">
        <v>718</v>
      </c>
      <c r="G360" s="17"/>
      <c r="H360" s="17"/>
      <c r="I360" s="17"/>
      <c r="J360" s="17"/>
      <c r="K360" s="143"/>
      <c r="L360" s="17"/>
      <c r="M360" s="15"/>
      <c r="N360" s="16"/>
      <c r="O360" s="17"/>
      <c r="P360" s="17"/>
      <c r="Q360" s="17"/>
      <c r="R360" s="17"/>
      <c r="S360" s="17"/>
      <c r="T360" s="18"/>
      <c r="U360" s="105"/>
      <c r="V360" s="17"/>
      <c r="W360" s="17"/>
      <c r="X360" s="17"/>
      <c r="Y360" s="17"/>
      <c r="Z360" s="17"/>
      <c r="AA360" s="17"/>
      <c r="AB360" s="17"/>
      <c r="AC360" s="105"/>
      <c r="AD360" s="105"/>
      <c r="AE360" s="105"/>
      <c r="AT360" s="13" t="s">
        <v>148</v>
      </c>
      <c r="AU360" s="13" t="s">
        <v>74</v>
      </c>
    </row>
    <row r="361" spans="1:65" s="5" customFormat="1" ht="16.5" customHeight="1" x14ac:dyDescent="0.2">
      <c r="A361" s="105"/>
      <c r="B361" s="140"/>
      <c r="C361" s="33" t="s">
        <v>556</v>
      </c>
      <c r="D361" s="33" t="s">
        <v>131</v>
      </c>
      <c r="E361" s="34" t="s">
        <v>735</v>
      </c>
      <c r="F361" s="7" t="s">
        <v>736</v>
      </c>
      <c r="G361" s="35" t="s">
        <v>134</v>
      </c>
      <c r="H361" s="36">
        <v>3</v>
      </c>
      <c r="I361" s="1"/>
      <c r="J361" s="6">
        <f>ROUND(I361*H361,2)</f>
        <v>0</v>
      </c>
      <c r="K361" s="151" t="s">
        <v>1</v>
      </c>
      <c r="L361" s="17"/>
      <c r="M361" s="8" t="s">
        <v>1</v>
      </c>
      <c r="N361" s="9" t="s">
        <v>33</v>
      </c>
      <c r="O361" s="10">
        <v>0</v>
      </c>
      <c r="P361" s="10">
        <f>O361*H361</f>
        <v>0</v>
      </c>
      <c r="Q361" s="10">
        <v>0</v>
      </c>
      <c r="R361" s="10">
        <f>Q361*H361</f>
        <v>0</v>
      </c>
      <c r="S361" s="10">
        <v>0</v>
      </c>
      <c r="T361" s="11">
        <f>S361*H361</f>
        <v>0</v>
      </c>
      <c r="U361" s="105"/>
      <c r="V361" s="17"/>
      <c r="W361" s="17"/>
      <c r="X361" s="17"/>
      <c r="Y361" s="17"/>
      <c r="Z361" s="17"/>
      <c r="AA361" s="17"/>
      <c r="AB361" s="17"/>
      <c r="AC361" s="105"/>
      <c r="AD361" s="105"/>
      <c r="AE361" s="105"/>
      <c r="AR361" s="12" t="s">
        <v>135</v>
      </c>
      <c r="AT361" s="12" t="s">
        <v>131</v>
      </c>
      <c r="AU361" s="12" t="s">
        <v>74</v>
      </c>
      <c r="AY361" s="13" t="s">
        <v>130</v>
      </c>
      <c r="BE361" s="14">
        <f>IF(N361="základní",J361,0)</f>
        <v>0</v>
      </c>
      <c r="BF361" s="14">
        <f>IF(N361="snížená",J361,0)</f>
        <v>0</v>
      </c>
      <c r="BG361" s="14">
        <f>IF(N361="zákl. přenesená",J361,0)</f>
        <v>0</v>
      </c>
      <c r="BH361" s="14">
        <f>IF(N361="sníž. přenesená",J361,0)</f>
        <v>0</v>
      </c>
      <c r="BI361" s="14">
        <f>IF(N361="nulová",J361,0)</f>
        <v>0</v>
      </c>
      <c r="BJ361" s="13" t="s">
        <v>74</v>
      </c>
      <c r="BK361" s="14">
        <f>ROUND(I361*H361,2)</f>
        <v>0</v>
      </c>
      <c r="BL361" s="13" t="s">
        <v>135</v>
      </c>
      <c r="BM361" s="12" t="s">
        <v>554</v>
      </c>
    </row>
    <row r="362" spans="1:65" s="5" customFormat="1" ht="19.5" x14ac:dyDescent="0.2">
      <c r="A362" s="105"/>
      <c r="B362" s="140"/>
      <c r="C362" s="17"/>
      <c r="D362" s="141" t="s">
        <v>148</v>
      </c>
      <c r="E362" s="17"/>
      <c r="F362" s="142" t="s">
        <v>737</v>
      </c>
      <c r="G362" s="17"/>
      <c r="H362" s="17"/>
      <c r="I362" s="17"/>
      <c r="J362" s="17"/>
      <c r="K362" s="143"/>
      <c r="L362" s="17"/>
      <c r="M362" s="15"/>
      <c r="N362" s="16"/>
      <c r="O362" s="17"/>
      <c r="P362" s="17"/>
      <c r="Q362" s="17"/>
      <c r="R362" s="17"/>
      <c r="S362" s="17"/>
      <c r="T362" s="18"/>
      <c r="U362" s="105"/>
      <c r="V362" s="17"/>
      <c r="W362" s="17"/>
      <c r="X362" s="17"/>
      <c r="Y362" s="17"/>
      <c r="Z362" s="17"/>
      <c r="AA362" s="17"/>
      <c r="AB362" s="17"/>
      <c r="AC362" s="105"/>
      <c r="AD362" s="105"/>
      <c r="AE362" s="105"/>
      <c r="AT362" s="13" t="s">
        <v>148</v>
      </c>
      <c r="AU362" s="13" t="s">
        <v>74</v>
      </c>
    </row>
    <row r="363" spans="1:65" s="5" customFormat="1" ht="16.5" customHeight="1" x14ac:dyDescent="0.2">
      <c r="A363" s="105"/>
      <c r="B363" s="140"/>
      <c r="C363" s="33" t="s">
        <v>434</v>
      </c>
      <c r="D363" s="33" t="s">
        <v>131</v>
      </c>
      <c r="E363" s="34" t="s">
        <v>232</v>
      </c>
      <c r="F363" s="7" t="s">
        <v>722</v>
      </c>
      <c r="G363" s="35" t="s">
        <v>723</v>
      </c>
      <c r="H363" s="36">
        <v>5.6000000000000001E-2</v>
      </c>
      <c r="I363" s="1"/>
      <c r="J363" s="6">
        <f>ROUND(I363*H363,2)</f>
        <v>0</v>
      </c>
      <c r="K363" s="151" t="s">
        <v>1</v>
      </c>
      <c r="L363" s="17"/>
      <c r="M363" s="8" t="s">
        <v>1</v>
      </c>
      <c r="N363" s="9" t="s">
        <v>33</v>
      </c>
      <c r="O363" s="10">
        <v>0</v>
      </c>
      <c r="P363" s="10">
        <f>O363*H363</f>
        <v>0</v>
      </c>
      <c r="Q363" s="10">
        <v>0</v>
      </c>
      <c r="R363" s="10">
        <f>Q363*H363</f>
        <v>0</v>
      </c>
      <c r="S363" s="10">
        <v>0</v>
      </c>
      <c r="T363" s="11">
        <f>S363*H363</f>
        <v>0</v>
      </c>
      <c r="U363" s="105"/>
      <c r="V363" s="17"/>
      <c r="W363" s="17"/>
      <c r="X363" s="17"/>
      <c r="Y363" s="17"/>
      <c r="Z363" s="17"/>
      <c r="AA363" s="17"/>
      <c r="AB363" s="17"/>
      <c r="AC363" s="105"/>
      <c r="AD363" s="105"/>
      <c r="AE363" s="105"/>
      <c r="AR363" s="12" t="s">
        <v>135</v>
      </c>
      <c r="AT363" s="12" t="s">
        <v>131</v>
      </c>
      <c r="AU363" s="12" t="s">
        <v>74</v>
      </c>
      <c r="AY363" s="13" t="s">
        <v>130</v>
      </c>
      <c r="BE363" s="14">
        <f>IF(N363="základní",J363,0)</f>
        <v>0</v>
      </c>
      <c r="BF363" s="14">
        <f>IF(N363="snížená",J363,0)</f>
        <v>0</v>
      </c>
      <c r="BG363" s="14">
        <f>IF(N363="zákl. přenesená",J363,0)</f>
        <v>0</v>
      </c>
      <c r="BH363" s="14">
        <f>IF(N363="sníž. přenesená",J363,0)</f>
        <v>0</v>
      </c>
      <c r="BI363" s="14">
        <f>IF(N363="nulová",J363,0)</f>
        <v>0</v>
      </c>
      <c r="BJ363" s="13" t="s">
        <v>74</v>
      </c>
      <c r="BK363" s="14">
        <f>ROUND(I363*H363,2)</f>
        <v>0</v>
      </c>
      <c r="BL363" s="13" t="s">
        <v>135</v>
      </c>
      <c r="BM363" s="12" t="s">
        <v>557</v>
      </c>
    </row>
    <row r="364" spans="1:65" s="5" customFormat="1" ht="16.5" customHeight="1" x14ac:dyDescent="0.2">
      <c r="A364" s="105"/>
      <c r="B364" s="140"/>
      <c r="C364" s="33" t="s">
        <v>562</v>
      </c>
      <c r="D364" s="33" t="s">
        <v>131</v>
      </c>
      <c r="E364" s="34" t="s">
        <v>246</v>
      </c>
      <c r="F364" s="7" t="s">
        <v>724</v>
      </c>
      <c r="G364" s="35" t="s">
        <v>723</v>
      </c>
      <c r="H364" s="36">
        <v>5.6000000000000001E-2</v>
      </c>
      <c r="I364" s="1"/>
      <c r="J364" s="6">
        <f>ROUND(I364*H364,2)</f>
        <v>0</v>
      </c>
      <c r="K364" s="151" t="s">
        <v>1</v>
      </c>
      <c r="L364" s="17"/>
      <c r="M364" s="8" t="s">
        <v>1</v>
      </c>
      <c r="N364" s="9" t="s">
        <v>33</v>
      </c>
      <c r="O364" s="10">
        <v>0</v>
      </c>
      <c r="P364" s="10">
        <f>O364*H364</f>
        <v>0</v>
      </c>
      <c r="Q364" s="10">
        <v>0</v>
      </c>
      <c r="R364" s="10">
        <f>Q364*H364</f>
        <v>0</v>
      </c>
      <c r="S364" s="10">
        <v>0</v>
      </c>
      <c r="T364" s="11">
        <f>S364*H364</f>
        <v>0</v>
      </c>
      <c r="U364" s="105"/>
      <c r="V364" s="17"/>
      <c r="W364" s="17"/>
      <c r="X364" s="17"/>
      <c r="Y364" s="17"/>
      <c r="Z364" s="17"/>
      <c r="AA364" s="17"/>
      <c r="AB364" s="17"/>
      <c r="AC364" s="105"/>
      <c r="AD364" s="105"/>
      <c r="AE364" s="105"/>
      <c r="AR364" s="12" t="s">
        <v>135</v>
      </c>
      <c r="AT364" s="12" t="s">
        <v>131</v>
      </c>
      <c r="AU364" s="12" t="s">
        <v>74</v>
      </c>
      <c r="AY364" s="13" t="s">
        <v>130</v>
      </c>
      <c r="BE364" s="14">
        <f>IF(N364="základní",J364,0)</f>
        <v>0</v>
      </c>
      <c r="BF364" s="14">
        <f>IF(N364="snížená",J364,0)</f>
        <v>0</v>
      </c>
      <c r="BG364" s="14">
        <f>IF(N364="zákl. přenesená",J364,0)</f>
        <v>0</v>
      </c>
      <c r="BH364" s="14">
        <f>IF(N364="sníž. přenesená",J364,0)</f>
        <v>0</v>
      </c>
      <c r="BI364" s="14">
        <f>IF(N364="nulová",J364,0)</f>
        <v>0</v>
      </c>
      <c r="BJ364" s="13" t="s">
        <v>74</v>
      </c>
      <c r="BK364" s="14">
        <f>ROUND(I364*H364,2)</f>
        <v>0</v>
      </c>
      <c r="BL364" s="13" t="s">
        <v>135</v>
      </c>
      <c r="BM364" s="12" t="s">
        <v>561</v>
      </c>
    </row>
    <row r="365" spans="1:65" s="5" customFormat="1" ht="16.5" customHeight="1" x14ac:dyDescent="0.2">
      <c r="A365" s="105"/>
      <c r="B365" s="140"/>
      <c r="C365" s="33" t="s">
        <v>436</v>
      </c>
      <c r="D365" s="33" t="s">
        <v>131</v>
      </c>
      <c r="E365" s="34" t="s">
        <v>770</v>
      </c>
      <c r="F365" s="7" t="s">
        <v>771</v>
      </c>
      <c r="G365" s="35" t="s">
        <v>134</v>
      </c>
      <c r="H365" s="36">
        <v>3</v>
      </c>
      <c r="I365" s="1"/>
      <c r="J365" s="6">
        <f>ROUND(I365*H365,2)</f>
        <v>0</v>
      </c>
      <c r="K365" s="151" t="s">
        <v>1</v>
      </c>
      <c r="L365" s="17"/>
      <c r="M365" s="8" t="s">
        <v>1</v>
      </c>
      <c r="N365" s="9" t="s">
        <v>33</v>
      </c>
      <c r="O365" s="10">
        <v>0</v>
      </c>
      <c r="P365" s="10">
        <f>O365*H365</f>
        <v>0</v>
      </c>
      <c r="Q365" s="10">
        <v>0</v>
      </c>
      <c r="R365" s="10">
        <f>Q365*H365</f>
        <v>0</v>
      </c>
      <c r="S365" s="10">
        <v>0</v>
      </c>
      <c r="T365" s="11">
        <f>S365*H365</f>
        <v>0</v>
      </c>
      <c r="U365" s="105"/>
      <c r="V365" s="17"/>
      <c r="W365" s="17"/>
      <c r="X365" s="17"/>
      <c r="Y365" s="17"/>
      <c r="Z365" s="17"/>
      <c r="AA365" s="17"/>
      <c r="AB365" s="17"/>
      <c r="AC365" s="105"/>
      <c r="AD365" s="105"/>
      <c r="AE365" s="105"/>
      <c r="AR365" s="12" t="s">
        <v>135</v>
      </c>
      <c r="AT365" s="12" t="s">
        <v>131</v>
      </c>
      <c r="AU365" s="12" t="s">
        <v>74</v>
      </c>
      <c r="AY365" s="13" t="s">
        <v>130</v>
      </c>
      <c r="BE365" s="14">
        <f>IF(N365="základní",J365,0)</f>
        <v>0</v>
      </c>
      <c r="BF365" s="14">
        <f>IF(N365="snížená",J365,0)</f>
        <v>0</v>
      </c>
      <c r="BG365" s="14">
        <f>IF(N365="zákl. přenesená",J365,0)</f>
        <v>0</v>
      </c>
      <c r="BH365" s="14">
        <f>IF(N365="sníž. přenesená",J365,0)</f>
        <v>0</v>
      </c>
      <c r="BI365" s="14">
        <f>IF(N365="nulová",J365,0)</f>
        <v>0</v>
      </c>
      <c r="BJ365" s="13" t="s">
        <v>74</v>
      </c>
      <c r="BK365" s="14">
        <f>ROUND(I365*H365,2)</f>
        <v>0</v>
      </c>
      <c r="BL365" s="13" t="s">
        <v>135</v>
      </c>
      <c r="BM365" s="12" t="s">
        <v>565</v>
      </c>
    </row>
    <row r="366" spans="1:65" s="5" customFormat="1" ht="39" x14ac:dyDescent="0.2">
      <c r="A366" s="105"/>
      <c r="B366" s="140"/>
      <c r="C366" s="17"/>
      <c r="D366" s="141" t="s">
        <v>148</v>
      </c>
      <c r="E366" s="17"/>
      <c r="F366" s="142" t="s">
        <v>755</v>
      </c>
      <c r="G366" s="17"/>
      <c r="H366" s="17"/>
      <c r="I366" s="17"/>
      <c r="J366" s="17"/>
      <c r="K366" s="143"/>
      <c r="L366" s="17"/>
      <c r="M366" s="15"/>
      <c r="N366" s="16"/>
      <c r="O366" s="17"/>
      <c r="P366" s="17"/>
      <c r="Q366" s="17"/>
      <c r="R366" s="17"/>
      <c r="S366" s="17"/>
      <c r="T366" s="18"/>
      <c r="U366" s="105"/>
      <c r="V366" s="17"/>
      <c r="W366" s="17"/>
      <c r="X366" s="17"/>
      <c r="Y366" s="17"/>
      <c r="Z366" s="17"/>
      <c r="AA366" s="17"/>
      <c r="AB366" s="17"/>
      <c r="AC366" s="105"/>
      <c r="AD366" s="105"/>
      <c r="AE366" s="105"/>
      <c r="AT366" s="13" t="s">
        <v>148</v>
      </c>
      <c r="AU366" s="13" t="s">
        <v>74</v>
      </c>
    </row>
    <row r="367" spans="1:65" s="5" customFormat="1" ht="16.5" customHeight="1" x14ac:dyDescent="0.2">
      <c r="A367" s="105"/>
      <c r="B367" s="140"/>
      <c r="C367" s="33" t="s">
        <v>568</v>
      </c>
      <c r="D367" s="33" t="s">
        <v>131</v>
      </c>
      <c r="E367" s="34" t="s">
        <v>772</v>
      </c>
      <c r="F367" s="7" t="s">
        <v>773</v>
      </c>
      <c r="G367" s="35" t="s">
        <v>134</v>
      </c>
      <c r="H367" s="36">
        <v>3</v>
      </c>
      <c r="I367" s="1"/>
      <c r="J367" s="6">
        <f>ROUND(I367*H367,2)</f>
        <v>0</v>
      </c>
      <c r="K367" s="151" t="s">
        <v>1</v>
      </c>
      <c r="L367" s="17"/>
      <c r="M367" s="8" t="s">
        <v>1</v>
      </c>
      <c r="N367" s="9" t="s">
        <v>33</v>
      </c>
      <c r="O367" s="10">
        <v>0</v>
      </c>
      <c r="P367" s="10">
        <f>O367*H367</f>
        <v>0</v>
      </c>
      <c r="Q367" s="10">
        <v>0</v>
      </c>
      <c r="R367" s="10">
        <f>Q367*H367</f>
        <v>0</v>
      </c>
      <c r="S367" s="10">
        <v>0</v>
      </c>
      <c r="T367" s="11">
        <f>S367*H367</f>
        <v>0</v>
      </c>
      <c r="U367" s="105"/>
      <c r="V367" s="17"/>
      <c r="W367" s="17"/>
      <c r="X367" s="17"/>
      <c r="Y367" s="17"/>
      <c r="Z367" s="17"/>
      <c r="AA367" s="17"/>
      <c r="AB367" s="17"/>
      <c r="AC367" s="105"/>
      <c r="AD367" s="105"/>
      <c r="AE367" s="105"/>
      <c r="AR367" s="12" t="s">
        <v>135</v>
      </c>
      <c r="AT367" s="12" t="s">
        <v>131</v>
      </c>
      <c r="AU367" s="12" t="s">
        <v>74</v>
      </c>
      <c r="AY367" s="13" t="s">
        <v>130</v>
      </c>
      <c r="BE367" s="14">
        <f>IF(N367="základní",J367,0)</f>
        <v>0</v>
      </c>
      <c r="BF367" s="14">
        <f>IF(N367="snížená",J367,0)</f>
        <v>0</v>
      </c>
      <c r="BG367" s="14">
        <f>IF(N367="zákl. přenesená",J367,0)</f>
        <v>0</v>
      </c>
      <c r="BH367" s="14">
        <f>IF(N367="sníž. přenesená",J367,0)</f>
        <v>0</v>
      </c>
      <c r="BI367" s="14">
        <f>IF(N367="nulová",J367,0)</f>
        <v>0</v>
      </c>
      <c r="BJ367" s="13" t="s">
        <v>74</v>
      </c>
      <c r="BK367" s="14">
        <f>ROUND(I367*H367,2)</f>
        <v>0</v>
      </c>
      <c r="BL367" s="13" t="s">
        <v>135</v>
      </c>
      <c r="BM367" s="12" t="s">
        <v>567</v>
      </c>
    </row>
    <row r="368" spans="1:65" s="5" customFormat="1" ht="16.5" customHeight="1" x14ac:dyDescent="0.2">
      <c r="A368" s="105"/>
      <c r="B368" s="140"/>
      <c r="C368" s="33" t="s">
        <v>438</v>
      </c>
      <c r="D368" s="33" t="s">
        <v>131</v>
      </c>
      <c r="E368" s="34" t="s">
        <v>774</v>
      </c>
      <c r="F368" s="7" t="s">
        <v>775</v>
      </c>
      <c r="G368" s="35" t="s">
        <v>134</v>
      </c>
      <c r="H368" s="36">
        <v>35.075000000000003</v>
      </c>
      <c r="I368" s="1"/>
      <c r="J368" s="6">
        <f>ROUND(I368*H368,2)</f>
        <v>0</v>
      </c>
      <c r="K368" s="151" t="s">
        <v>1</v>
      </c>
      <c r="L368" s="17"/>
      <c r="M368" s="8" t="s">
        <v>1</v>
      </c>
      <c r="N368" s="9" t="s">
        <v>33</v>
      </c>
      <c r="O368" s="10">
        <v>0</v>
      </c>
      <c r="P368" s="10">
        <f>O368*H368</f>
        <v>0</v>
      </c>
      <c r="Q368" s="10">
        <v>0</v>
      </c>
      <c r="R368" s="10">
        <f>Q368*H368</f>
        <v>0</v>
      </c>
      <c r="S368" s="10">
        <v>0</v>
      </c>
      <c r="T368" s="11">
        <f>S368*H368</f>
        <v>0</v>
      </c>
      <c r="U368" s="105"/>
      <c r="V368" s="17"/>
      <c r="W368" s="17"/>
      <c r="X368" s="17"/>
      <c r="Y368" s="17"/>
      <c r="Z368" s="17"/>
      <c r="AA368" s="17"/>
      <c r="AB368" s="17"/>
      <c r="AC368" s="105"/>
      <c r="AD368" s="105"/>
      <c r="AE368" s="105"/>
      <c r="AR368" s="12" t="s">
        <v>135</v>
      </c>
      <c r="AT368" s="12" t="s">
        <v>131</v>
      </c>
      <c r="AU368" s="12" t="s">
        <v>74</v>
      </c>
      <c r="AY368" s="13" t="s">
        <v>130</v>
      </c>
      <c r="BE368" s="14">
        <f>IF(N368="základní",J368,0)</f>
        <v>0</v>
      </c>
      <c r="BF368" s="14">
        <f>IF(N368="snížená",J368,0)</f>
        <v>0</v>
      </c>
      <c r="BG368" s="14">
        <f>IF(N368="zákl. přenesená",J368,0)</f>
        <v>0</v>
      </c>
      <c r="BH368" s="14">
        <f>IF(N368="sníž. přenesená",J368,0)</f>
        <v>0</v>
      </c>
      <c r="BI368" s="14">
        <f>IF(N368="nulová",J368,0)</f>
        <v>0</v>
      </c>
      <c r="BJ368" s="13" t="s">
        <v>74</v>
      </c>
      <c r="BK368" s="14">
        <f>ROUND(I368*H368,2)</f>
        <v>0</v>
      </c>
      <c r="BL368" s="13" t="s">
        <v>135</v>
      </c>
      <c r="BM368" s="12" t="s">
        <v>570</v>
      </c>
    </row>
    <row r="369" spans="1:65" s="5" customFormat="1" ht="16.5" customHeight="1" x14ac:dyDescent="0.2">
      <c r="A369" s="105"/>
      <c r="B369" s="140"/>
      <c r="C369" s="33" t="s">
        <v>572</v>
      </c>
      <c r="D369" s="33" t="s">
        <v>131</v>
      </c>
      <c r="E369" s="34" t="s">
        <v>776</v>
      </c>
      <c r="F369" s="7" t="s">
        <v>777</v>
      </c>
      <c r="G369" s="35" t="s">
        <v>134</v>
      </c>
      <c r="H369" s="36">
        <v>35.075000000000003</v>
      </c>
      <c r="I369" s="1"/>
      <c r="J369" s="6">
        <f>ROUND(I369*H369,2)</f>
        <v>0</v>
      </c>
      <c r="K369" s="151" t="s">
        <v>1</v>
      </c>
      <c r="L369" s="17"/>
      <c r="M369" s="8" t="s">
        <v>1</v>
      </c>
      <c r="N369" s="9" t="s">
        <v>33</v>
      </c>
      <c r="O369" s="10">
        <v>0</v>
      </c>
      <c r="P369" s="10">
        <f>O369*H369</f>
        <v>0</v>
      </c>
      <c r="Q369" s="10">
        <v>0</v>
      </c>
      <c r="R369" s="10">
        <f>Q369*H369</f>
        <v>0</v>
      </c>
      <c r="S369" s="10">
        <v>0</v>
      </c>
      <c r="T369" s="11">
        <f>S369*H369</f>
        <v>0</v>
      </c>
      <c r="U369" s="105"/>
      <c r="V369" s="17"/>
      <c r="W369" s="17"/>
      <c r="X369" s="17"/>
      <c r="Y369" s="17"/>
      <c r="Z369" s="17"/>
      <c r="AA369" s="17"/>
      <c r="AB369" s="17"/>
      <c r="AC369" s="105"/>
      <c r="AD369" s="105"/>
      <c r="AE369" s="105"/>
      <c r="AR369" s="12" t="s">
        <v>135</v>
      </c>
      <c r="AT369" s="12" t="s">
        <v>131</v>
      </c>
      <c r="AU369" s="12" t="s">
        <v>74</v>
      </c>
      <c r="AY369" s="13" t="s">
        <v>130</v>
      </c>
      <c r="BE369" s="14">
        <f>IF(N369="základní",J369,0)</f>
        <v>0</v>
      </c>
      <c r="BF369" s="14">
        <f>IF(N369="snížená",J369,0)</f>
        <v>0</v>
      </c>
      <c r="BG369" s="14">
        <f>IF(N369="zákl. přenesená",J369,0)</f>
        <v>0</v>
      </c>
      <c r="BH369" s="14">
        <f>IF(N369="sníž. přenesená",J369,0)</f>
        <v>0</v>
      </c>
      <c r="BI369" s="14">
        <f>IF(N369="nulová",J369,0)</f>
        <v>0</v>
      </c>
      <c r="BJ369" s="13" t="s">
        <v>74</v>
      </c>
      <c r="BK369" s="14">
        <f>ROUND(I369*H369,2)</f>
        <v>0</v>
      </c>
      <c r="BL369" s="13" t="s">
        <v>135</v>
      </c>
      <c r="BM369" s="12" t="s">
        <v>571</v>
      </c>
    </row>
    <row r="370" spans="1:65" s="5" customFormat="1" ht="29.25" x14ac:dyDescent="0.2">
      <c r="A370" s="105"/>
      <c r="B370" s="140"/>
      <c r="C370" s="17"/>
      <c r="D370" s="141" t="s">
        <v>148</v>
      </c>
      <c r="E370" s="17"/>
      <c r="F370" s="142" t="s">
        <v>778</v>
      </c>
      <c r="G370" s="17"/>
      <c r="H370" s="17"/>
      <c r="I370" s="17"/>
      <c r="J370" s="17"/>
      <c r="K370" s="143"/>
      <c r="L370" s="17"/>
      <c r="M370" s="15"/>
      <c r="N370" s="16"/>
      <c r="O370" s="17"/>
      <c r="P370" s="17"/>
      <c r="Q370" s="17"/>
      <c r="R370" s="17"/>
      <c r="S370" s="17"/>
      <c r="T370" s="18"/>
      <c r="U370" s="105"/>
      <c r="V370" s="17"/>
      <c r="W370" s="17"/>
      <c r="X370" s="17"/>
      <c r="Y370" s="17"/>
      <c r="Z370" s="17"/>
      <c r="AA370" s="17"/>
      <c r="AB370" s="17"/>
      <c r="AC370" s="105"/>
      <c r="AD370" s="105"/>
      <c r="AE370" s="105"/>
      <c r="AT370" s="13" t="s">
        <v>148</v>
      </c>
      <c r="AU370" s="13" t="s">
        <v>74</v>
      </c>
    </row>
    <row r="371" spans="1:65" s="20" customFormat="1" ht="25.9" customHeight="1" x14ac:dyDescent="0.2">
      <c r="B371" s="172"/>
      <c r="C371" s="23"/>
      <c r="D371" s="173" t="s">
        <v>67</v>
      </c>
      <c r="E371" s="174" t="s">
        <v>226</v>
      </c>
      <c r="F371" s="174" t="s">
        <v>789</v>
      </c>
      <c r="G371" s="23"/>
      <c r="H371" s="23"/>
      <c r="I371" s="23"/>
      <c r="J371" s="175">
        <f>BK371</f>
        <v>0</v>
      </c>
      <c r="K371" s="176"/>
      <c r="L371" s="23"/>
      <c r="M371" s="22"/>
      <c r="N371" s="23"/>
      <c r="O371" s="23"/>
      <c r="P371" s="24">
        <f>SUM(P374:P386)</f>
        <v>0</v>
      </c>
      <c r="Q371" s="23"/>
      <c r="R371" s="24">
        <f>SUM(R374:R386)</f>
        <v>0</v>
      </c>
      <c r="S371" s="23"/>
      <c r="T371" s="25">
        <f>SUM(T374:T386)</f>
        <v>0</v>
      </c>
      <c r="V371" s="23"/>
      <c r="W371" s="23"/>
      <c r="X371" s="23"/>
      <c r="Y371" s="23"/>
      <c r="Z371" s="23"/>
      <c r="AA371" s="23"/>
      <c r="AB371" s="23"/>
      <c r="AR371" s="26" t="s">
        <v>74</v>
      </c>
      <c r="AT371" s="27" t="s">
        <v>67</v>
      </c>
      <c r="AU371" s="27" t="s">
        <v>68</v>
      </c>
      <c r="AY371" s="26" t="s">
        <v>130</v>
      </c>
      <c r="BK371" s="28">
        <f>SUM(BK374:BK386)</f>
        <v>0</v>
      </c>
    </row>
    <row r="372" spans="1:65" s="5" customFormat="1" ht="19.5" x14ac:dyDescent="0.2">
      <c r="B372" s="177"/>
      <c r="C372" s="202"/>
      <c r="D372" s="203" t="s">
        <v>148</v>
      </c>
      <c r="E372" s="202"/>
      <c r="F372" s="200" t="s">
        <v>1249</v>
      </c>
      <c r="G372" s="180"/>
      <c r="H372" s="16"/>
      <c r="I372" s="202"/>
      <c r="J372" s="202"/>
      <c r="K372" s="204"/>
      <c r="L372" s="52"/>
      <c r="M372" s="52"/>
      <c r="N372" s="52"/>
      <c r="O372" s="52"/>
      <c r="P372" s="52"/>
      <c r="Q372" s="52"/>
      <c r="R372" s="52"/>
      <c r="S372" s="128"/>
      <c r="V372" s="16"/>
      <c r="W372" s="16"/>
      <c r="X372" s="16"/>
      <c r="Y372" s="16"/>
      <c r="Z372" s="16"/>
      <c r="AA372" s="16"/>
      <c r="AB372" s="16"/>
      <c r="AZ372" s="126" t="s">
        <v>148</v>
      </c>
      <c r="BA372" s="126" t="s">
        <v>74</v>
      </c>
    </row>
    <row r="373" spans="1:65" s="5" customFormat="1" ht="10.15" customHeight="1" x14ac:dyDescent="0.2">
      <c r="B373" s="177"/>
      <c r="C373" s="202"/>
      <c r="D373" s="203" t="s">
        <v>340</v>
      </c>
      <c r="E373" s="202"/>
      <c r="F373" s="205" t="s">
        <v>1256</v>
      </c>
      <c r="G373" s="16"/>
      <c r="H373" s="180">
        <f>7.71*1.56</f>
        <v>12.0276</v>
      </c>
      <c r="I373" s="202"/>
      <c r="J373" s="202"/>
      <c r="K373" s="204"/>
      <c r="L373" s="52"/>
      <c r="M373" s="52"/>
      <c r="N373" s="52"/>
      <c r="O373" s="52"/>
      <c r="P373" s="52"/>
      <c r="Q373" s="52"/>
      <c r="R373" s="52"/>
      <c r="S373" s="128"/>
      <c r="V373" s="16"/>
      <c r="W373" s="16"/>
      <c r="X373" s="16"/>
      <c r="Y373" s="16"/>
      <c r="Z373" s="16"/>
      <c r="AA373" s="16"/>
      <c r="AB373" s="16"/>
      <c r="AZ373" s="126" t="s">
        <v>148</v>
      </c>
      <c r="BA373" s="126" t="s">
        <v>74</v>
      </c>
    </row>
    <row r="374" spans="1:65" s="5" customFormat="1" ht="16.5" customHeight="1" x14ac:dyDescent="0.2">
      <c r="A374" s="105"/>
      <c r="B374" s="140"/>
      <c r="C374" s="33" t="s">
        <v>441</v>
      </c>
      <c r="D374" s="33" t="s">
        <v>131</v>
      </c>
      <c r="E374" s="34" t="s">
        <v>713</v>
      </c>
      <c r="F374" s="7" t="s">
        <v>714</v>
      </c>
      <c r="G374" s="35" t="s">
        <v>134</v>
      </c>
      <c r="H374" s="36">
        <v>12.028</v>
      </c>
      <c r="I374" s="1"/>
      <c r="J374" s="6">
        <f>ROUND(I374*H374,2)</f>
        <v>0</v>
      </c>
      <c r="K374" s="151" t="s">
        <v>1</v>
      </c>
      <c r="L374" s="17"/>
      <c r="M374" s="8" t="s">
        <v>1</v>
      </c>
      <c r="N374" s="9" t="s">
        <v>33</v>
      </c>
      <c r="O374" s="10">
        <v>0</v>
      </c>
      <c r="P374" s="10">
        <f>O374*H374</f>
        <v>0</v>
      </c>
      <c r="Q374" s="10">
        <v>0</v>
      </c>
      <c r="R374" s="10">
        <f>Q374*H374</f>
        <v>0</v>
      </c>
      <c r="S374" s="10">
        <v>0</v>
      </c>
      <c r="T374" s="11">
        <f>S374*H374</f>
        <v>0</v>
      </c>
      <c r="U374" s="105"/>
      <c r="V374" s="17"/>
      <c r="W374" s="17"/>
      <c r="X374" s="17"/>
      <c r="Y374" s="17"/>
      <c r="Z374" s="17"/>
      <c r="AA374" s="17"/>
      <c r="AB374" s="17"/>
      <c r="AC374" s="105"/>
      <c r="AD374" s="105"/>
      <c r="AE374" s="105"/>
      <c r="AR374" s="12" t="s">
        <v>135</v>
      </c>
      <c r="AT374" s="12" t="s">
        <v>131</v>
      </c>
      <c r="AU374" s="12" t="s">
        <v>74</v>
      </c>
      <c r="AY374" s="13" t="s">
        <v>130</v>
      </c>
      <c r="BE374" s="14">
        <f>IF(N374="základní",J374,0)</f>
        <v>0</v>
      </c>
      <c r="BF374" s="14">
        <f>IF(N374="snížená",J374,0)</f>
        <v>0</v>
      </c>
      <c r="BG374" s="14">
        <f>IF(N374="zákl. přenesená",J374,0)</f>
        <v>0</v>
      </c>
      <c r="BH374" s="14">
        <f>IF(N374="sníž. přenesená",J374,0)</f>
        <v>0</v>
      </c>
      <c r="BI374" s="14">
        <f>IF(N374="nulová",J374,0)</f>
        <v>0</v>
      </c>
      <c r="BJ374" s="13" t="s">
        <v>74</v>
      </c>
      <c r="BK374" s="14">
        <f>ROUND(I374*H374,2)</f>
        <v>0</v>
      </c>
      <c r="BL374" s="13" t="s">
        <v>135</v>
      </c>
      <c r="BM374" s="12" t="s">
        <v>573</v>
      </c>
    </row>
    <row r="375" spans="1:65" s="5" customFormat="1" ht="16.5" customHeight="1" x14ac:dyDescent="0.2">
      <c r="A375" s="105"/>
      <c r="B375" s="140"/>
      <c r="C375" s="33" t="s">
        <v>577</v>
      </c>
      <c r="D375" s="33" t="s">
        <v>131</v>
      </c>
      <c r="E375" s="34" t="s">
        <v>716</v>
      </c>
      <c r="F375" s="7" t="s">
        <v>717</v>
      </c>
      <c r="G375" s="35" t="s">
        <v>134</v>
      </c>
      <c r="H375" s="36">
        <v>2.4060000000000001</v>
      </c>
      <c r="I375" s="1"/>
      <c r="J375" s="6">
        <f>ROUND(I375*H375,2)</f>
        <v>0</v>
      </c>
      <c r="K375" s="151" t="s">
        <v>1</v>
      </c>
      <c r="L375" s="17"/>
      <c r="M375" s="8" t="s">
        <v>1</v>
      </c>
      <c r="N375" s="9" t="s">
        <v>33</v>
      </c>
      <c r="O375" s="10">
        <v>0</v>
      </c>
      <c r="P375" s="10">
        <f>O375*H375</f>
        <v>0</v>
      </c>
      <c r="Q375" s="10">
        <v>0</v>
      </c>
      <c r="R375" s="10">
        <f>Q375*H375</f>
        <v>0</v>
      </c>
      <c r="S375" s="10">
        <v>0</v>
      </c>
      <c r="T375" s="11">
        <f>S375*H375</f>
        <v>0</v>
      </c>
      <c r="U375" s="105"/>
      <c r="V375" s="17"/>
      <c r="W375" s="17"/>
      <c r="X375" s="17"/>
      <c r="Y375" s="17"/>
      <c r="Z375" s="17"/>
      <c r="AA375" s="17"/>
      <c r="AB375" s="17"/>
      <c r="AC375" s="105"/>
      <c r="AD375" s="105"/>
      <c r="AE375" s="105"/>
      <c r="AR375" s="12" t="s">
        <v>135</v>
      </c>
      <c r="AT375" s="12" t="s">
        <v>131</v>
      </c>
      <c r="AU375" s="12" t="s">
        <v>74</v>
      </c>
      <c r="AY375" s="13" t="s">
        <v>130</v>
      </c>
      <c r="BE375" s="14">
        <f>IF(N375="základní",J375,0)</f>
        <v>0</v>
      </c>
      <c r="BF375" s="14">
        <f>IF(N375="snížená",J375,0)</f>
        <v>0</v>
      </c>
      <c r="BG375" s="14">
        <f>IF(N375="zákl. přenesená",J375,0)</f>
        <v>0</v>
      </c>
      <c r="BH375" s="14">
        <f>IF(N375="sníž. přenesená",J375,0)</f>
        <v>0</v>
      </c>
      <c r="BI375" s="14">
        <f>IF(N375="nulová",J375,0)</f>
        <v>0</v>
      </c>
      <c r="BJ375" s="13" t="s">
        <v>74</v>
      </c>
      <c r="BK375" s="14">
        <f>ROUND(I375*H375,2)</f>
        <v>0</v>
      </c>
      <c r="BL375" s="13" t="s">
        <v>135</v>
      </c>
      <c r="BM375" s="12" t="s">
        <v>574</v>
      </c>
    </row>
    <row r="376" spans="1:65" s="5" customFormat="1" ht="19.5" x14ac:dyDescent="0.2">
      <c r="A376" s="105"/>
      <c r="B376" s="140"/>
      <c r="C376" s="17"/>
      <c r="D376" s="141" t="s">
        <v>148</v>
      </c>
      <c r="E376" s="17"/>
      <c r="F376" s="142" t="s">
        <v>718</v>
      </c>
      <c r="G376" s="17"/>
      <c r="H376" s="17"/>
      <c r="I376" s="17"/>
      <c r="J376" s="17"/>
      <c r="K376" s="143"/>
      <c r="L376" s="17"/>
      <c r="M376" s="15"/>
      <c r="N376" s="16"/>
      <c r="O376" s="17"/>
      <c r="P376" s="17"/>
      <c r="Q376" s="17"/>
      <c r="R376" s="17"/>
      <c r="S376" s="17"/>
      <c r="T376" s="18"/>
      <c r="U376" s="105"/>
      <c r="V376" s="17"/>
      <c r="W376" s="17"/>
      <c r="X376" s="17"/>
      <c r="Y376" s="17"/>
      <c r="Z376" s="17"/>
      <c r="AA376" s="17"/>
      <c r="AB376" s="17"/>
      <c r="AC376" s="105"/>
      <c r="AD376" s="105"/>
      <c r="AE376" s="105"/>
      <c r="AT376" s="13" t="s">
        <v>148</v>
      </c>
      <c r="AU376" s="13" t="s">
        <v>74</v>
      </c>
    </row>
    <row r="377" spans="1:65" s="5" customFormat="1" ht="16.5" customHeight="1" x14ac:dyDescent="0.2">
      <c r="A377" s="105"/>
      <c r="B377" s="140"/>
      <c r="C377" s="33" t="s">
        <v>446</v>
      </c>
      <c r="D377" s="33" t="s">
        <v>131</v>
      </c>
      <c r="E377" s="34" t="s">
        <v>735</v>
      </c>
      <c r="F377" s="7" t="s">
        <v>736</v>
      </c>
      <c r="G377" s="35" t="s">
        <v>134</v>
      </c>
      <c r="H377" s="36">
        <v>2</v>
      </c>
      <c r="I377" s="1"/>
      <c r="J377" s="6">
        <f>ROUND(I377*H377,2)</f>
        <v>0</v>
      </c>
      <c r="K377" s="151" t="s">
        <v>1</v>
      </c>
      <c r="L377" s="17"/>
      <c r="M377" s="8" t="s">
        <v>1</v>
      </c>
      <c r="N377" s="9" t="s">
        <v>33</v>
      </c>
      <c r="O377" s="10">
        <v>0</v>
      </c>
      <c r="P377" s="10">
        <f>O377*H377</f>
        <v>0</v>
      </c>
      <c r="Q377" s="10">
        <v>0</v>
      </c>
      <c r="R377" s="10">
        <f>Q377*H377</f>
        <v>0</v>
      </c>
      <c r="S377" s="10">
        <v>0</v>
      </c>
      <c r="T377" s="11">
        <f>S377*H377</f>
        <v>0</v>
      </c>
      <c r="U377" s="105"/>
      <c r="V377" s="17"/>
      <c r="W377" s="17"/>
      <c r="X377" s="17"/>
      <c r="Y377" s="17"/>
      <c r="Z377" s="17"/>
      <c r="AA377" s="17"/>
      <c r="AB377" s="17"/>
      <c r="AC377" s="105"/>
      <c r="AD377" s="105"/>
      <c r="AE377" s="105"/>
      <c r="AR377" s="12" t="s">
        <v>135</v>
      </c>
      <c r="AT377" s="12" t="s">
        <v>131</v>
      </c>
      <c r="AU377" s="12" t="s">
        <v>74</v>
      </c>
      <c r="AY377" s="13" t="s">
        <v>130</v>
      </c>
      <c r="BE377" s="14">
        <f>IF(N377="základní",J377,0)</f>
        <v>0</v>
      </c>
      <c r="BF377" s="14">
        <f>IF(N377="snížená",J377,0)</f>
        <v>0</v>
      </c>
      <c r="BG377" s="14">
        <f>IF(N377="zákl. přenesená",J377,0)</f>
        <v>0</v>
      </c>
      <c r="BH377" s="14">
        <f>IF(N377="sníž. přenesená",J377,0)</f>
        <v>0</v>
      </c>
      <c r="BI377" s="14">
        <f>IF(N377="nulová",J377,0)</f>
        <v>0</v>
      </c>
      <c r="BJ377" s="13" t="s">
        <v>74</v>
      </c>
      <c r="BK377" s="14">
        <f>ROUND(I377*H377,2)</f>
        <v>0</v>
      </c>
      <c r="BL377" s="13" t="s">
        <v>135</v>
      </c>
      <c r="BM377" s="12" t="s">
        <v>578</v>
      </c>
    </row>
    <row r="378" spans="1:65" s="5" customFormat="1" ht="19.5" x14ac:dyDescent="0.2">
      <c r="A378" s="105"/>
      <c r="B378" s="140"/>
      <c r="C378" s="17"/>
      <c r="D378" s="141" t="s">
        <v>148</v>
      </c>
      <c r="E378" s="17"/>
      <c r="F378" s="142" t="s">
        <v>737</v>
      </c>
      <c r="G378" s="17"/>
      <c r="H378" s="17"/>
      <c r="I378" s="17"/>
      <c r="J378" s="17"/>
      <c r="K378" s="143"/>
      <c r="L378" s="17"/>
      <c r="M378" s="15"/>
      <c r="N378" s="16"/>
      <c r="O378" s="17"/>
      <c r="P378" s="17"/>
      <c r="Q378" s="17"/>
      <c r="R378" s="17"/>
      <c r="S378" s="17"/>
      <c r="T378" s="18"/>
      <c r="U378" s="105"/>
      <c r="V378" s="17"/>
      <c r="W378" s="17"/>
      <c r="X378" s="17"/>
      <c r="Y378" s="17"/>
      <c r="Z378" s="17"/>
      <c r="AA378" s="17"/>
      <c r="AB378" s="17"/>
      <c r="AC378" s="105"/>
      <c r="AD378" s="105"/>
      <c r="AE378" s="105"/>
      <c r="AT378" s="13" t="s">
        <v>148</v>
      </c>
      <c r="AU378" s="13" t="s">
        <v>74</v>
      </c>
    </row>
    <row r="379" spans="1:65" s="5" customFormat="1" ht="16.5" customHeight="1" x14ac:dyDescent="0.2">
      <c r="A379" s="105"/>
      <c r="B379" s="140"/>
      <c r="C379" s="33" t="s">
        <v>580</v>
      </c>
      <c r="D379" s="33" t="s">
        <v>131</v>
      </c>
      <c r="E379" s="34" t="s">
        <v>232</v>
      </c>
      <c r="F379" s="7" t="s">
        <v>722</v>
      </c>
      <c r="G379" s="35" t="s">
        <v>723</v>
      </c>
      <c r="H379" s="36">
        <v>1.9E-2</v>
      </c>
      <c r="I379" s="1"/>
      <c r="J379" s="6">
        <f>ROUND(I379*H379,2)</f>
        <v>0</v>
      </c>
      <c r="K379" s="151" t="s">
        <v>1</v>
      </c>
      <c r="L379" s="17"/>
      <c r="M379" s="8" t="s">
        <v>1</v>
      </c>
      <c r="N379" s="9" t="s">
        <v>33</v>
      </c>
      <c r="O379" s="10">
        <v>0</v>
      </c>
      <c r="P379" s="10">
        <f>O379*H379</f>
        <v>0</v>
      </c>
      <c r="Q379" s="10">
        <v>0</v>
      </c>
      <c r="R379" s="10">
        <f>Q379*H379</f>
        <v>0</v>
      </c>
      <c r="S379" s="10">
        <v>0</v>
      </c>
      <c r="T379" s="11">
        <f>S379*H379</f>
        <v>0</v>
      </c>
      <c r="U379" s="105"/>
      <c r="V379" s="17"/>
      <c r="W379" s="17"/>
      <c r="X379" s="17"/>
      <c r="Y379" s="17"/>
      <c r="Z379" s="17"/>
      <c r="AA379" s="17"/>
      <c r="AB379" s="17"/>
      <c r="AC379" s="105"/>
      <c r="AD379" s="105"/>
      <c r="AE379" s="105"/>
      <c r="AR379" s="12" t="s">
        <v>135</v>
      </c>
      <c r="AT379" s="12" t="s">
        <v>131</v>
      </c>
      <c r="AU379" s="12" t="s">
        <v>74</v>
      </c>
      <c r="AY379" s="13" t="s">
        <v>130</v>
      </c>
      <c r="BE379" s="14">
        <f>IF(N379="základní",J379,0)</f>
        <v>0</v>
      </c>
      <c r="BF379" s="14">
        <f>IF(N379="snížená",J379,0)</f>
        <v>0</v>
      </c>
      <c r="BG379" s="14">
        <f>IF(N379="zákl. přenesená",J379,0)</f>
        <v>0</v>
      </c>
      <c r="BH379" s="14">
        <f>IF(N379="sníž. přenesená",J379,0)</f>
        <v>0</v>
      </c>
      <c r="BI379" s="14">
        <f>IF(N379="nulová",J379,0)</f>
        <v>0</v>
      </c>
      <c r="BJ379" s="13" t="s">
        <v>74</v>
      </c>
      <c r="BK379" s="14">
        <f>ROUND(I379*H379,2)</f>
        <v>0</v>
      </c>
      <c r="BL379" s="13" t="s">
        <v>135</v>
      </c>
      <c r="BM379" s="12" t="s">
        <v>579</v>
      </c>
    </row>
    <row r="380" spans="1:65" s="5" customFormat="1" ht="16.5" customHeight="1" x14ac:dyDescent="0.2">
      <c r="A380" s="105"/>
      <c r="B380" s="140"/>
      <c r="C380" s="33" t="s">
        <v>448</v>
      </c>
      <c r="D380" s="33" t="s">
        <v>131</v>
      </c>
      <c r="E380" s="34" t="s">
        <v>246</v>
      </c>
      <c r="F380" s="7" t="s">
        <v>724</v>
      </c>
      <c r="G380" s="35" t="s">
        <v>723</v>
      </c>
      <c r="H380" s="36">
        <v>1.9E-2</v>
      </c>
      <c r="I380" s="1"/>
      <c r="J380" s="6">
        <f>ROUND(I380*H380,2)</f>
        <v>0</v>
      </c>
      <c r="K380" s="151" t="s">
        <v>1</v>
      </c>
      <c r="L380" s="17"/>
      <c r="M380" s="8" t="s">
        <v>1</v>
      </c>
      <c r="N380" s="9" t="s">
        <v>33</v>
      </c>
      <c r="O380" s="10">
        <v>0</v>
      </c>
      <c r="P380" s="10">
        <f>O380*H380</f>
        <v>0</v>
      </c>
      <c r="Q380" s="10">
        <v>0</v>
      </c>
      <c r="R380" s="10">
        <f>Q380*H380</f>
        <v>0</v>
      </c>
      <c r="S380" s="10">
        <v>0</v>
      </c>
      <c r="T380" s="11">
        <f>S380*H380</f>
        <v>0</v>
      </c>
      <c r="U380" s="105"/>
      <c r="V380" s="17"/>
      <c r="W380" s="17"/>
      <c r="X380" s="17"/>
      <c r="Y380" s="17"/>
      <c r="Z380" s="17"/>
      <c r="AA380" s="17"/>
      <c r="AB380" s="17"/>
      <c r="AC380" s="105"/>
      <c r="AD380" s="105"/>
      <c r="AE380" s="105"/>
      <c r="AR380" s="12" t="s">
        <v>135</v>
      </c>
      <c r="AT380" s="12" t="s">
        <v>131</v>
      </c>
      <c r="AU380" s="12" t="s">
        <v>74</v>
      </c>
      <c r="AY380" s="13" t="s">
        <v>130</v>
      </c>
      <c r="BE380" s="14">
        <f>IF(N380="základní",J380,0)</f>
        <v>0</v>
      </c>
      <c r="BF380" s="14">
        <f>IF(N380="snížená",J380,0)</f>
        <v>0</v>
      </c>
      <c r="BG380" s="14">
        <f>IF(N380="zákl. přenesená",J380,0)</f>
        <v>0</v>
      </c>
      <c r="BH380" s="14">
        <f>IF(N380="sníž. přenesená",J380,0)</f>
        <v>0</v>
      </c>
      <c r="BI380" s="14">
        <f>IF(N380="nulová",J380,0)</f>
        <v>0</v>
      </c>
      <c r="BJ380" s="13" t="s">
        <v>74</v>
      </c>
      <c r="BK380" s="14">
        <f>ROUND(I380*H380,2)</f>
        <v>0</v>
      </c>
      <c r="BL380" s="13" t="s">
        <v>135</v>
      </c>
      <c r="BM380" s="12" t="s">
        <v>581</v>
      </c>
    </row>
    <row r="381" spans="1:65" s="5" customFormat="1" ht="16.5" customHeight="1" x14ac:dyDescent="0.2">
      <c r="A381" s="105"/>
      <c r="B381" s="140"/>
      <c r="C381" s="33" t="s">
        <v>583</v>
      </c>
      <c r="D381" s="33" t="s">
        <v>131</v>
      </c>
      <c r="E381" s="34" t="s">
        <v>790</v>
      </c>
      <c r="F381" s="7" t="s">
        <v>742</v>
      </c>
      <c r="G381" s="35" t="s">
        <v>134</v>
      </c>
      <c r="H381" s="36">
        <v>2</v>
      </c>
      <c r="I381" s="1"/>
      <c r="J381" s="6">
        <f>ROUND(I381*H381,2)</f>
        <v>0</v>
      </c>
      <c r="K381" s="151" t="s">
        <v>1</v>
      </c>
      <c r="L381" s="17"/>
      <c r="M381" s="8" t="s">
        <v>1</v>
      </c>
      <c r="N381" s="9" t="s">
        <v>33</v>
      </c>
      <c r="O381" s="10">
        <v>0</v>
      </c>
      <c r="P381" s="10">
        <f>O381*H381</f>
        <v>0</v>
      </c>
      <c r="Q381" s="10">
        <v>0</v>
      </c>
      <c r="R381" s="10">
        <f>Q381*H381</f>
        <v>0</v>
      </c>
      <c r="S381" s="10">
        <v>0</v>
      </c>
      <c r="T381" s="11">
        <f>S381*H381</f>
        <v>0</v>
      </c>
      <c r="U381" s="105"/>
      <c r="V381" s="17"/>
      <c r="W381" s="17"/>
      <c r="X381" s="17"/>
      <c r="Y381" s="17"/>
      <c r="Z381" s="17"/>
      <c r="AA381" s="17"/>
      <c r="AB381" s="17"/>
      <c r="AC381" s="105"/>
      <c r="AD381" s="105"/>
      <c r="AE381" s="105"/>
      <c r="AR381" s="12" t="s">
        <v>135</v>
      </c>
      <c r="AT381" s="12" t="s">
        <v>131</v>
      </c>
      <c r="AU381" s="12" t="s">
        <v>74</v>
      </c>
      <c r="AY381" s="13" t="s">
        <v>130</v>
      </c>
      <c r="BE381" s="14">
        <f>IF(N381="základní",J381,0)</f>
        <v>0</v>
      </c>
      <c r="BF381" s="14">
        <f>IF(N381="snížená",J381,0)</f>
        <v>0</v>
      </c>
      <c r="BG381" s="14">
        <f>IF(N381="zákl. přenesená",J381,0)</f>
        <v>0</v>
      </c>
      <c r="BH381" s="14">
        <f>IF(N381="sníž. přenesená",J381,0)</f>
        <v>0</v>
      </c>
      <c r="BI381" s="14">
        <f>IF(N381="nulová",J381,0)</f>
        <v>0</v>
      </c>
      <c r="BJ381" s="13" t="s">
        <v>74</v>
      </c>
      <c r="BK381" s="14">
        <f>ROUND(I381*H381,2)</f>
        <v>0</v>
      </c>
      <c r="BL381" s="13" t="s">
        <v>135</v>
      </c>
      <c r="BM381" s="12" t="s">
        <v>582</v>
      </c>
    </row>
    <row r="382" spans="1:65" s="5" customFormat="1" ht="39" x14ac:dyDescent="0.2">
      <c r="A382" s="105"/>
      <c r="B382" s="140"/>
      <c r="C382" s="17"/>
      <c r="D382" s="141" t="s">
        <v>148</v>
      </c>
      <c r="E382" s="17"/>
      <c r="F382" s="142" t="s">
        <v>743</v>
      </c>
      <c r="G382" s="17"/>
      <c r="H382" s="17"/>
      <c r="I382" s="17"/>
      <c r="J382" s="17"/>
      <c r="K382" s="143"/>
      <c r="L382" s="17"/>
      <c r="M382" s="15"/>
      <c r="N382" s="16"/>
      <c r="O382" s="17"/>
      <c r="P382" s="17"/>
      <c r="Q382" s="17"/>
      <c r="R382" s="17"/>
      <c r="S382" s="17"/>
      <c r="T382" s="18"/>
      <c r="U382" s="105"/>
      <c r="V382" s="17"/>
      <c r="W382" s="17"/>
      <c r="X382" s="17"/>
      <c r="Y382" s="17"/>
      <c r="Z382" s="17"/>
      <c r="AA382" s="17"/>
      <c r="AB382" s="17"/>
      <c r="AC382" s="105"/>
      <c r="AD382" s="105"/>
      <c r="AE382" s="105"/>
      <c r="AT382" s="13" t="s">
        <v>148</v>
      </c>
      <c r="AU382" s="13" t="s">
        <v>74</v>
      </c>
    </row>
    <row r="383" spans="1:65" s="5" customFormat="1" ht="16.5" customHeight="1" x14ac:dyDescent="0.2">
      <c r="A383" s="105"/>
      <c r="B383" s="140"/>
      <c r="C383" s="33" t="s">
        <v>452</v>
      </c>
      <c r="D383" s="33" t="s">
        <v>131</v>
      </c>
      <c r="E383" s="34" t="s">
        <v>772</v>
      </c>
      <c r="F383" s="7" t="s">
        <v>773</v>
      </c>
      <c r="G383" s="35" t="s">
        <v>134</v>
      </c>
      <c r="H383" s="36">
        <v>2</v>
      </c>
      <c r="I383" s="1"/>
      <c r="J383" s="6">
        <f>ROUND(I383*H383,2)</f>
        <v>0</v>
      </c>
      <c r="K383" s="151" t="s">
        <v>1</v>
      </c>
      <c r="L383" s="17"/>
      <c r="M383" s="8" t="s">
        <v>1</v>
      </c>
      <c r="N383" s="9" t="s">
        <v>33</v>
      </c>
      <c r="O383" s="10">
        <v>0</v>
      </c>
      <c r="P383" s="10">
        <f>O383*H383</f>
        <v>0</v>
      </c>
      <c r="Q383" s="10">
        <v>0</v>
      </c>
      <c r="R383" s="10">
        <f>Q383*H383</f>
        <v>0</v>
      </c>
      <c r="S383" s="10">
        <v>0</v>
      </c>
      <c r="T383" s="11">
        <f>S383*H383</f>
        <v>0</v>
      </c>
      <c r="U383" s="105"/>
      <c r="V383" s="17"/>
      <c r="W383" s="17"/>
      <c r="X383" s="17"/>
      <c r="Y383" s="17"/>
      <c r="Z383" s="17"/>
      <c r="AA383" s="17"/>
      <c r="AB383" s="17"/>
      <c r="AC383" s="105"/>
      <c r="AD383" s="105"/>
      <c r="AE383" s="105"/>
      <c r="AR383" s="12" t="s">
        <v>135</v>
      </c>
      <c r="AT383" s="12" t="s">
        <v>131</v>
      </c>
      <c r="AU383" s="12" t="s">
        <v>74</v>
      </c>
      <c r="AY383" s="13" t="s">
        <v>130</v>
      </c>
      <c r="BE383" s="14">
        <f>IF(N383="základní",J383,0)</f>
        <v>0</v>
      </c>
      <c r="BF383" s="14">
        <f>IF(N383="snížená",J383,0)</f>
        <v>0</v>
      </c>
      <c r="BG383" s="14">
        <f>IF(N383="zákl. přenesená",J383,0)</f>
        <v>0</v>
      </c>
      <c r="BH383" s="14">
        <f>IF(N383="sníž. přenesená",J383,0)</f>
        <v>0</v>
      </c>
      <c r="BI383" s="14">
        <f>IF(N383="nulová",J383,0)</f>
        <v>0</v>
      </c>
      <c r="BJ383" s="13" t="s">
        <v>74</v>
      </c>
      <c r="BK383" s="14">
        <f>ROUND(I383*H383,2)</f>
        <v>0</v>
      </c>
      <c r="BL383" s="13" t="s">
        <v>135</v>
      </c>
      <c r="BM383" s="12" t="s">
        <v>584</v>
      </c>
    </row>
    <row r="384" spans="1:65" s="5" customFormat="1" ht="16.5" customHeight="1" x14ac:dyDescent="0.2">
      <c r="A384" s="105"/>
      <c r="B384" s="140"/>
      <c r="C384" s="33" t="s">
        <v>589</v>
      </c>
      <c r="D384" s="33" t="s">
        <v>131</v>
      </c>
      <c r="E384" s="34" t="s">
        <v>791</v>
      </c>
      <c r="F384" s="7" t="s">
        <v>792</v>
      </c>
      <c r="G384" s="35" t="s">
        <v>134</v>
      </c>
      <c r="H384" s="36">
        <v>12.028</v>
      </c>
      <c r="I384" s="1"/>
      <c r="J384" s="6">
        <f>ROUND(I384*H384,2)</f>
        <v>0</v>
      </c>
      <c r="K384" s="151" t="s">
        <v>1</v>
      </c>
      <c r="L384" s="17"/>
      <c r="M384" s="8" t="s">
        <v>1</v>
      </c>
      <c r="N384" s="9" t="s">
        <v>33</v>
      </c>
      <c r="O384" s="10">
        <v>0</v>
      </c>
      <c r="P384" s="10">
        <f>O384*H384</f>
        <v>0</v>
      </c>
      <c r="Q384" s="10">
        <v>0</v>
      </c>
      <c r="R384" s="10">
        <f>Q384*H384</f>
        <v>0</v>
      </c>
      <c r="S384" s="10">
        <v>0</v>
      </c>
      <c r="T384" s="11">
        <f>S384*H384</f>
        <v>0</v>
      </c>
      <c r="U384" s="105"/>
      <c r="V384" s="17"/>
      <c r="W384" s="17"/>
      <c r="X384" s="17"/>
      <c r="Y384" s="17"/>
      <c r="Z384" s="17"/>
      <c r="AA384" s="17"/>
      <c r="AB384" s="17"/>
      <c r="AC384" s="105"/>
      <c r="AD384" s="105"/>
      <c r="AE384" s="105"/>
      <c r="AR384" s="12" t="s">
        <v>135</v>
      </c>
      <c r="AT384" s="12" t="s">
        <v>131</v>
      </c>
      <c r="AU384" s="12" t="s">
        <v>74</v>
      </c>
      <c r="AY384" s="13" t="s">
        <v>130</v>
      </c>
      <c r="BE384" s="14">
        <f>IF(N384="základní",J384,0)</f>
        <v>0</v>
      </c>
      <c r="BF384" s="14">
        <f>IF(N384="snížená",J384,0)</f>
        <v>0</v>
      </c>
      <c r="BG384" s="14">
        <f>IF(N384="zákl. přenesená",J384,0)</f>
        <v>0</v>
      </c>
      <c r="BH384" s="14">
        <f>IF(N384="sníž. přenesená",J384,0)</f>
        <v>0</v>
      </c>
      <c r="BI384" s="14">
        <f>IF(N384="nulová",J384,0)</f>
        <v>0</v>
      </c>
      <c r="BJ384" s="13" t="s">
        <v>74</v>
      </c>
      <c r="BK384" s="14">
        <f>ROUND(I384*H384,2)</f>
        <v>0</v>
      </c>
      <c r="BL384" s="13" t="s">
        <v>135</v>
      </c>
      <c r="BM384" s="12" t="s">
        <v>588</v>
      </c>
    </row>
    <row r="385" spans="1:65" s="5" customFormat="1" ht="24" x14ac:dyDescent="0.2">
      <c r="A385" s="105"/>
      <c r="B385" s="140"/>
      <c r="C385" s="33" t="s">
        <v>455</v>
      </c>
      <c r="D385" s="33" t="s">
        <v>131</v>
      </c>
      <c r="E385" s="34" t="s">
        <v>793</v>
      </c>
      <c r="F385" s="7" t="s">
        <v>794</v>
      </c>
      <c r="G385" s="35" t="s">
        <v>134</v>
      </c>
      <c r="H385" s="36">
        <v>12.028</v>
      </c>
      <c r="I385" s="1"/>
      <c r="J385" s="6">
        <f>ROUND(I385*H385,2)</f>
        <v>0</v>
      </c>
      <c r="K385" s="151" t="s">
        <v>1</v>
      </c>
      <c r="L385" s="17"/>
      <c r="M385" s="8" t="s">
        <v>1</v>
      </c>
      <c r="N385" s="9" t="s">
        <v>33</v>
      </c>
      <c r="O385" s="10">
        <v>0</v>
      </c>
      <c r="P385" s="10">
        <f>O385*H385</f>
        <v>0</v>
      </c>
      <c r="Q385" s="10">
        <v>0</v>
      </c>
      <c r="R385" s="10">
        <f>Q385*H385</f>
        <v>0</v>
      </c>
      <c r="S385" s="10">
        <v>0</v>
      </c>
      <c r="T385" s="11">
        <f>S385*H385</f>
        <v>0</v>
      </c>
      <c r="U385" s="105"/>
      <c r="V385" s="17"/>
      <c r="W385" s="17"/>
      <c r="X385" s="17"/>
      <c r="Y385" s="17"/>
      <c r="Z385" s="17"/>
      <c r="AA385" s="17"/>
      <c r="AB385" s="17"/>
      <c r="AC385" s="105"/>
      <c r="AD385" s="105"/>
      <c r="AE385" s="105"/>
      <c r="AR385" s="12" t="s">
        <v>135</v>
      </c>
      <c r="AT385" s="12" t="s">
        <v>131</v>
      </c>
      <c r="AU385" s="12" t="s">
        <v>74</v>
      </c>
      <c r="AY385" s="13" t="s">
        <v>130</v>
      </c>
      <c r="BE385" s="14">
        <f>IF(N385="základní",J385,0)</f>
        <v>0</v>
      </c>
      <c r="BF385" s="14">
        <f>IF(N385="snížená",J385,0)</f>
        <v>0</v>
      </c>
      <c r="BG385" s="14">
        <f>IF(N385="zákl. přenesená",J385,0)</f>
        <v>0</v>
      </c>
      <c r="BH385" s="14">
        <f>IF(N385="sníž. přenesená",J385,0)</f>
        <v>0</v>
      </c>
      <c r="BI385" s="14">
        <f>IF(N385="nulová",J385,0)</f>
        <v>0</v>
      </c>
      <c r="BJ385" s="13" t="s">
        <v>74</v>
      </c>
      <c r="BK385" s="14">
        <f>ROUND(I385*H385,2)</f>
        <v>0</v>
      </c>
      <c r="BL385" s="13" t="s">
        <v>135</v>
      </c>
      <c r="BM385" s="12" t="s">
        <v>592</v>
      </c>
    </row>
    <row r="386" spans="1:65" s="5" customFormat="1" ht="29.25" x14ac:dyDescent="0.2">
      <c r="A386" s="105"/>
      <c r="B386" s="140"/>
      <c r="C386" s="17"/>
      <c r="D386" s="141" t="s">
        <v>148</v>
      </c>
      <c r="E386" s="17"/>
      <c r="F386" s="142" t="s">
        <v>795</v>
      </c>
      <c r="G386" s="17"/>
      <c r="H386" s="17"/>
      <c r="I386" s="17"/>
      <c r="J386" s="17"/>
      <c r="K386" s="143"/>
      <c r="L386" s="17"/>
      <c r="M386" s="15"/>
      <c r="N386" s="16"/>
      <c r="O386" s="17"/>
      <c r="P386" s="17"/>
      <c r="Q386" s="17"/>
      <c r="R386" s="17"/>
      <c r="S386" s="17"/>
      <c r="T386" s="18"/>
      <c r="U386" s="105"/>
      <c r="V386" s="17"/>
      <c r="W386" s="17"/>
      <c r="X386" s="17"/>
      <c r="Y386" s="17"/>
      <c r="Z386" s="17"/>
      <c r="AA386" s="17"/>
      <c r="AB386" s="17"/>
      <c r="AC386" s="105"/>
      <c r="AD386" s="105"/>
      <c r="AE386" s="105"/>
      <c r="AT386" s="13" t="s">
        <v>148</v>
      </c>
      <c r="AU386" s="13" t="s">
        <v>74</v>
      </c>
    </row>
    <row r="387" spans="1:65" s="20" customFormat="1" ht="25.9" customHeight="1" x14ac:dyDescent="0.2">
      <c r="B387" s="172"/>
      <c r="C387" s="23"/>
      <c r="D387" s="173" t="s">
        <v>67</v>
      </c>
      <c r="E387" s="174" t="s">
        <v>236</v>
      </c>
      <c r="F387" s="174" t="s">
        <v>796</v>
      </c>
      <c r="G387" s="23"/>
      <c r="H387" s="23"/>
      <c r="I387" s="23"/>
      <c r="J387" s="175">
        <f>BK387</f>
        <v>0</v>
      </c>
      <c r="K387" s="176"/>
      <c r="L387" s="23"/>
      <c r="M387" s="22"/>
      <c r="N387" s="23"/>
      <c r="O387" s="23"/>
      <c r="P387" s="24">
        <f>SUM(P390:P402)</f>
        <v>0</v>
      </c>
      <c r="Q387" s="23"/>
      <c r="R387" s="24">
        <f>SUM(R390:R402)</f>
        <v>0</v>
      </c>
      <c r="S387" s="23"/>
      <c r="T387" s="25">
        <f>SUM(T390:T402)</f>
        <v>0</v>
      </c>
      <c r="V387" s="23"/>
      <c r="W387" s="23"/>
      <c r="X387" s="23"/>
      <c r="Y387" s="23"/>
      <c r="Z387" s="23"/>
      <c r="AA387" s="23"/>
      <c r="AB387" s="23"/>
      <c r="AR387" s="26" t="s">
        <v>74</v>
      </c>
      <c r="AT387" s="27" t="s">
        <v>67</v>
      </c>
      <c r="AU387" s="27" t="s">
        <v>68</v>
      </c>
      <c r="AY387" s="26" t="s">
        <v>130</v>
      </c>
      <c r="BK387" s="28">
        <f>SUM(BK390:BK402)</f>
        <v>0</v>
      </c>
    </row>
    <row r="388" spans="1:65" s="5" customFormat="1" ht="19.5" x14ac:dyDescent="0.2">
      <c r="B388" s="177"/>
      <c r="C388" s="202"/>
      <c r="D388" s="203" t="s">
        <v>148</v>
      </c>
      <c r="E388" s="202"/>
      <c r="F388" s="200" t="s">
        <v>1249</v>
      </c>
      <c r="G388" s="180"/>
      <c r="H388" s="16"/>
      <c r="I388" s="202"/>
      <c r="J388" s="202"/>
      <c r="K388" s="204"/>
      <c r="L388" s="52"/>
      <c r="M388" s="52"/>
      <c r="N388" s="52"/>
      <c r="O388" s="52"/>
      <c r="P388" s="52"/>
      <c r="Q388" s="52"/>
      <c r="R388" s="52"/>
      <c r="S388" s="128"/>
      <c r="V388" s="16"/>
      <c r="W388" s="16"/>
      <c r="X388" s="16"/>
      <c r="Y388" s="16"/>
      <c r="Z388" s="16"/>
      <c r="AA388" s="16"/>
      <c r="AB388" s="16"/>
      <c r="AZ388" s="126" t="s">
        <v>148</v>
      </c>
      <c r="BA388" s="126" t="s">
        <v>74</v>
      </c>
    </row>
    <row r="389" spans="1:65" s="5" customFormat="1" ht="10.15" customHeight="1" x14ac:dyDescent="0.2">
      <c r="B389" s="177"/>
      <c r="C389" s="202"/>
      <c r="D389" s="203" t="s">
        <v>340</v>
      </c>
      <c r="E389" s="202"/>
      <c r="F389" s="205" t="s">
        <v>1257</v>
      </c>
      <c r="G389" s="16"/>
      <c r="H389" s="180">
        <f>7.95*3.87</f>
        <v>30.766500000000001</v>
      </c>
      <c r="I389" s="202"/>
      <c r="J389" s="202"/>
      <c r="K389" s="204"/>
      <c r="L389" s="52"/>
      <c r="M389" s="52"/>
      <c r="N389" s="52"/>
      <c r="O389" s="52"/>
      <c r="P389" s="52"/>
      <c r="Q389" s="52"/>
      <c r="R389" s="52"/>
      <c r="S389" s="128"/>
      <c r="V389" s="16"/>
      <c r="W389" s="16"/>
      <c r="X389" s="16"/>
      <c r="Y389" s="16"/>
      <c r="Z389" s="16"/>
      <c r="AA389" s="16"/>
      <c r="AB389" s="16"/>
      <c r="AZ389" s="126" t="s">
        <v>148</v>
      </c>
      <c r="BA389" s="126" t="s">
        <v>74</v>
      </c>
    </row>
    <row r="390" spans="1:65" s="5" customFormat="1" ht="16.5" customHeight="1" x14ac:dyDescent="0.2">
      <c r="A390" s="105"/>
      <c r="B390" s="140"/>
      <c r="C390" s="33" t="s">
        <v>595</v>
      </c>
      <c r="D390" s="33" t="s">
        <v>131</v>
      </c>
      <c r="E390" s="34" t="s">
        <v>713</v>
      </c>
      <c r="F390" s="7" t="s">
        <v>714</v>
      </c>
      <c r="G390" s="35" t="s">
        <v>134</v>
      </c>
      <c r="H390" s="36">
        <v>30.766999999999999</v>
      </c>
      <c r="I390" s="1"/>
      <c r="J390" s="6">
        <f>ROUND(I390*H390,2)</f>
        <v>0</v>
      </c>
      <c r="K390" s="151" t="s">
        <v>1</v>
      </c>
      <c r="L390" s="17"/>
      <c r="M390" s="8" t="s">
        <v>1</v>
      </c>
      <c r="N390" s="9" t="s">
        <v>33</v>
      </c>
      <c r="O390" s="10">
        <v>0</v>
      </c>
      <c r="P390" s="10">
        <f>O390*H390</f>
        <v>0</v>
      </c>
      <c r="Q390" s="10">
        <v>0</v>
      </c>
      <c r="R390" s="10">
        <f>Q390*H390</f>
        <v>0</v>
      </c>
      <c r="S390" s="10">
        <v>0</v>
      </c>
      <c r="T390" s="11">
        <f>S390*H390</f>
        <v>0</v>
      </c>
      <c r="U390" s="105"/>
      <c r="V390" s="17"/>
      <c r="W390" s="17"/>
      <c r="X390" s="17"/>
      <c r="Y390" s="17"/>
      <c r="Z390" s="17"/>
      <c r="AA390" s="17"/>
      <c r="AB390" s="17"/>
      <c r="AC390" s="105"/>
      <c r="AD390" s="105"/>
      <c r="AE390" s="105"/>
      <c r="AR390" s="12" t="s">
        <v>135</v>
      </c>
      <c r="AT390" s="12" t="s">
        <v>131</v>
      </c>
      <c r="AU390" s="12" t="s">
        <v>74</v>
      </c>
      <c r="AY390" s="13" t="s">
        <v>130</v>
      </c>
      <c r="BE390" s="14">
        <f>IF(N390="základní",J390,0)</f>
        <v>0</v>
      </c>
      <c r="BF390" s="14">
        <f>IF(N390="snížená",J390,0)</f>
        <v>0</v>
      </c>
      <c r="BG390" s="14">
        <f>IF(N390="zákl. přenesená",J390,0)</f>
        <v>0</v>
      </c>
      <c r="BH390" s="14">
        <f>IF(N390="sníž. přenesená",J390,0)</f>
        <v>0</v>
      </c>
      <c r="BI390" s="14">
        <f>IF(N390="nulová",J390,0)</f>
        <v>0</v>
      </c>
      <c r="BJ390" s="13" t="s">
        <v>74</v>
      </c>
      <c r="BK390" s="14">
        <f>ROUND(I390*H390,2)</f>
        <v>0</v>
      </c>
      <c r="BL390" s="13" t="s">
        <v>135</v>
      </c>
      <c r="BM390" s="12" t="s">
        <v>594</v>
      </c>
    </row>
    <row r="391" spans="1:65" s="5" customFormat="1" ht="16.5" customHeight="1" x14ac:dyDescent="0.2">
      <c r="A391" s="105"/>
      <c r="B391" s="140"/>
      <c r="C391" s="33" t="s">
        <v>458</v>
      </c>
      <c r="D391" s="33" t="s">
        <v>131</v>
      </c>
      <c r="E391" s="34" t="s">
        <v>716</v>
      </c>
      <c r="F391" s="7" t="s">
        <v>717</v>
      </c>
      <c r="G391" s="35" t="s">
        <v>134</v>
      </c>
      <c r="H391" s="36">
        <v>6.1529999999999996</v>
      </c>
      <c r="I391" s="1"/>
      <c r="J391" s="6">
        <f>ROUND(I391*H391,2)</f>
        <v>0</v>
      </c>
      <c r="K391" s="151" t="s">
        <v>1</v>
      </c>
      <c r="L391" s="17"/>
      <c r="M391" s="8" t="s">
        <v>1</v>
      </c>
      <c r="N391" s="9" t="s">
        <v>33</v>
      </c>
      <c r="O391" s="10">
        <v>0</v>
      </c>
      <c r="P391" s="10">
        <f>O391*H391</f>
        <v>0</v>
      </c>
      <c r="Q391" s="10">
        <v>0</v>
      </c>
      <c r="R391" s="10">
        <f>Q391*H391</f>
        <v>0</v>
      </c>
      <c r="S391" s="10">
        <v>0</v>
      </c>
      <c r="T391" s="11">
        <f>S391*H391</f>
        <v>0</v>
      </c>
      <c r="U391" s="105"/>
      <c r="V391" s="17"/>
      <c r="W391" s="17"/>
      <c r="X391" s="17"/>
      <c r="Y391" s="17"/>
      <c r="Z391" s="17"/>
      <c r="AA391" s="17"/>
      <c r="AB391" s="17"/>
      <c r="AC391" s="105"/>
      <c r="AD391" s="105"/>
      <c r="AE391" s="105"/>
      <c r="AR391" s="12" t="s">
        <v>135</v>
      </c>
      <c r="AT391" s="12" t="s">
        <v>131</v>
      </c>
      <c r="AU391" s="12" t="s">
        <v>74</v>
      </c>
      <c r="AY391" s="13" t="s">
        <v>130</v>
      </c>
      <c r="BE391" s="14">
        <f>IF(N391="základní",J391,0)</f>
        <v>0</v>
      </c>
      <c r="BF391" s="14">
        <f>IF(N391="snížená",J391,0)</f>
        <v>0</v>
      </c>
      <c r="BG391" s="14">
        <f>IF(N391="zákl. přenesená",J391,0)</f>
        <v>0</v>
      </c>
      <c r="BH391" s="14">
        <f>IF(N391="sníž. přenesená",J391,0)</f>
        <v>0</v>
      </c>
      <c r="BI391" s="14">
        <f>IF(N391="nulová",J391,0)</f>
        <v>0</v>
      </c>
      <c r="BJ391" s="13" t="s">
        <v>74</v>
      </c>
      <c r="BK391" s="14">
        <f>ROUND(I391*H391,2)</f>
        <v>0</v>
      </c>
      <c r="BL391" s="13" t="s">
        <v>135</v>
      </c>
      <c r="BM391" s="12" t="s">
        <v>598</v>
      </c>
    </row>
    <row r="392" spans="1:65" s="5" customFormat="1" ht="19.5" x14ac:dyDescent="0.2">
      <c r="A392" s="105"/>
      <c r="B392" s="140"/>
      <c r="C392" s="17"/>
      <c r="D392" s="141" t="s">
        <v>148</v>
      </c>
      <c r="E392" s="17"/>
      <c r="F392" s="142" t="s">
        <v>718</v>
      </c>
      <c r="G392" s="17"/>
      <c r="H392" s="17"/>
      <c r="I392" s="17"/>
      <c r="J392" s="17"/>
      <c r="K392" s="143"/>
      <c r="L392" s="17"/>
      <c r="M392" s="15"/>
      <c r="N392" s="16"/>
      <c r="O392" s="17"/>
      <c r="P392" s="17"/>
      <c r="Q392" s="17"/>
      <c r="R392" s="17"/>
      <c r="S392" s="17"/>
      <c r="T392" s="18"/>
      <c r="U392" s="105"/>
      <c r="V392" s="17"/>
      <c r="W392" s="17"/>
      <c r="X392" s="17"/>
      <c r="Y392" s="17"/>
      <c r="Z392" s="17"/>
      <c r="AA392" s="17"/>
      <c r="AB392" s="17"/>
      <c r="AC392" s="105"/>
      <c r="AD392" s="105"/>
      <c r="AE392" s="105"/>
      <c r="AT392" s="13" t="s">
        <v>148</v>
      </c>
      <c r="AU392" s="13" t="s">
        <v>74</v>
      </c>
    </row>
    <row r="393" spans="1:65" s="5" customFormat="1" ht="16.5" customHeight="1" x14ac:dyDescent="0.2">
      <c r="A393" s="105"/>
      <c r="B393" s="140"/>
      <c r="C393" s="33" t="s">
        <v>601</v>
      </c>
      <c r="D393" s="33" t="s">
        <v>131</v>
      </c>
      <c r="E393" s="34" t="s">
        <v>735</v>
      </c>
      <c r="F393" s="7" t="s">
        <v>736</v>
      </c>
      <c r="G393" s="35" t="s">
        <v>134</v>
      </c>
      <c r="H393" s="36">
        <v>5</v>
      </c>
      <c r="I393" s="1"/>
      <c r="J393" s="6">
        <f>ROUND(I393*H393,2)</f>
        <v>0</v>
      </c>
      <c r="K393" s="151" t="s">
        <v>1</v>
      </c>
      <c r="L393" s="17"/>
      <c r="M393" s="8" t="s">
        <v>1</v>
      </c>
      <c r="N393" s="9" t="s">
        <v>33</v>
      </c>
      <c r="O393" s="10">
        <v>0</v>
      </c>
      <c r="P393" s="10">
        <f>O393*H393</f>
        <v>0</v>
      </c>
      <c r="Q393" s="10">
        <v>0</v>
      </c>
      <c r="R393" s="10">
        <f>Q393*H393</f>
        <v>0</v>
      </c>
      <c r="S393" s="10">
        <v>0</v>
      </c>
      <c r="T393" s="11">
        <f>S393*H393</f>
        <v>0</v>
      </c>
      <c r="U393" s="105"/>
      <c r="V393" s="17"/>
      <c r="W393" s="17"/>
      <c r="X393" s="17"/>
      <c r="Y393" s="17"/>
      <c r="Z393" s="17"/>
      <c r="AA393" s="17"/>
      <c r="AB393" s="17"/>
      <c r="AC393" s="105"/>
      <c r="AD393" s="105"/>
      <c r="AE393" s="105"/>
      <c r="AR393" s="12" t="s">
        <v>135</v>
      </c>
      <c r="AT393" s="12" t="s">
        <v>131</v>
      </c>
      <c r="AU393" s="12" t="s">
        <v>74</v>
      </c>
      <c r="AY393" s="13" t="s">
        <v>130</v>
      </c>
      <c r="BE393" s="14">
        <f>IF(N393="základní",J393,0)</f>
        <v>0</v>
      </c>
      <c r="BF393" s="14">
        <f>IF(N393="snížená",J393,0)</f>
        <v>0</v>
      </c>
      <c r="BG393" s="14">
        <f>IF(N393="zákl. přenesená",J393,0)</f>
        <v>0</v>
      </c>
      <c r="BH393" s="14">
        <f>IF(N393="sníž. přenesená",J393,0)</f>
        <v>0</v>
      </c>
      <c r="BI393" s="14">
        <f>IF(N393="nulová",J393,0)</f>
        <v>0</v>
      </c>
      <c r="BJ393" s="13" t="s">
        <v>74</v>
      </c>
      <c r="BK393" s="14">
        <f>ROUND(I393*H393,2)</f>
        <v>0</v>
      </c>
      <c r="BL393" s="13" t="s">
        <v>135</v>
      </c>
      <c r="BM393" s="12" t="s">
        <v>600</v>
      </c>
    </row>
    <row r="394" spans="1:65" s="5" customFormat="1" ht="19.5" x14ac:dyDescent="0.2">
      <c r="A394" s="105"/>
      <c r="B394" s="140"/>
      <c r="C394" s="17"/>
      <c r="D394" s="141" t="s">
        <v>148</v>
      </c>
      <c r="E394" s="17"/>
      <c r="F394" s="142" t="s">
        <v>737</v>
      </c>
      <c r="G394" s="17"/>
      <c r="H394" s="17"/>
      <c r="I394" s="17"/>
      <c r="J394" s="17"/>
      <c r="K394" s="143"/>
      <c r="L394" s="17"/>
      <c r="M394" s="15"/>
      <c r="N394" s="16"/>
      <c r="O394" s="17"/>
      <c r="P394" s="17"/>
      <c r="Q394" s="17"/>
      <c r="R394" s="17"/>
      <c r="S394" s="17"/>
      <c r="T394" s="18"/>
      <c r="U394" s="105"/>
      <c r="V394" s="17"/>
      <c r="W394" s="17"/>
      <c r="X394" s="17"/>
      <c r="Y394" s="17"/>
      <c r="Z394" s="17"/>
      <c r="AA394" s="17"/>
      <c r="AB394" s="17"/>
      <c r="AC394" s="105"/>
      <c r="AD394" s="105"/>
      <c r="AE394" s="105"/>
      <c r="AT394" s="13" t="s">
        <v>148</v>
      </c>
      <c r="AU394" s="13" t="s">
        <v>74</v>
      </c>
    </row>
    <row r="395" spans="1:65" s="5" customFormat="1" ht="16.5" customHeight="1" x14ac:dyDescent="0.2">
      <c r="A395" s="105"/>
      <c r="B395" s="140"/>
      <c r="C395" s="33" t="s">
        <v>459</v>
      </c>
      <c r="D395" s="33" t="s">
        <v>131</v>
      </c>
      <c r="E395" s="34" t="s">
        <v>232</v>
      </c>
      <c r="F395" s="7" t="s">
        <v>722</v>
      </c>
      <c r="G395" s="35" t="s">
        <v>723</v>
      </c>
      <c r="H395" s="36">
        <v>4.9000000000000002E-2</v>
      </c>
      <c r="I395" s="1"/>
      <c r="J395" s="6">
        <f>ROUND(I395*H395,2)</f>
        <v>0</v>
      </c>
      <c r="K395" s="151" t="s">
        <v>1</v>
      </c>
      <c r="L395" s="17"/>
      <c r="M395" s="8" t="s">
        <v>1</v>
      </c>
      <c r="N395" s="9" t="s">
        <v>33</v>
      </c>
      <c r="O395" s="10">
        <v>0</v>
      </c>
      <c r="P395" s="10">
        <f>O395*H395</f>
        <v>0</v>
      </c>
      <c r="Q395" s="10">
        <v>0</v>
      </c>
      <c r="R395" s="10">
        <f>Q395*H395</f>
        <v>0</v>
      </c>
      <c r="S395" s="10">
        <v>0</v>
      </c>
      <c r="T395" s="11">
        <f>S395*H395</f>
        <v>0</v>
      </c>
      <c r="U395" s="105"/>
      <c r="V395" s="17"/>
      <c r="W395" s="17"/>
      <c r="X395" s="17"/>
      <c r="Y395" s="17"/>
      <c r="Z395" s="17"/>
      <c r="AA395" s="17"/>
      <c r="AB395" s="17"/>
      <c r="AC395" s="105"/>
      <c r="AD395" s="105"/>
      <c r="AE395" s="105"/>
      <c r="AR395" s="12" t="s">
        <v>135</v>
      </c>
      <c r="AT395" s="12" t="s">
        <v>131</v>
      </c>
      <c r="AU395" s="12" t="s">
        <v>74</v>
      </c>
      <c r="AY395" s="13" t="s">
        <v>130</v>
      </c>
      <c r="BE395" s="14">
        <f>IF(N395="základní",J395,0)</f>
        <v>0</v>
      </c>
      <c r="BF395" s="14">
        <f>IF(N395="snížená",J395,0)</f>
        <v>0</v>
      </c>
      <c r="BG395" s="14">
        <f>IF(N395="zákl. přenesená",J395,0)</f>
        <v>0</v>
      </c>
      <c r="BH395" s="14">
        <f>IF(N395="sníž. přenesená",J395,0)</f>
        <v>0</v>
      </c>
      <c r="BI395" s="14">
        <f>IF(N395="nulová",J395,0)</f>
        <v>0</v>
      </c>
      <c r="BJ395" s="13" t="s">
        <v>74</v>
      </c>
      <c r="BK395" s="14">
        <f>ROUND(I395*H395,2)</f>
        <v>0</v>
      </c>
      <c r="BL395" s="13" t="s">
        <v>135</v>
      </c>
      <c r="BM395" s="12" t="s">
        <v>604</v>
      </c>
    </row>
    <row r="396" spans="1:65" s="5" customFormat="1" ht="16.5" customHeight="1" x14ac:dyDescent="0.2">
      <c r="A396" s="105"/>
      <c r="B396" s="140"/>
      <c r="C396" s="33" t="s">
        <v>610</v>
      </c>
      <c r="D396" s="33" t="s">
        <v>131</v>
      </c>
      <c r="E396" s="34" t="s">
        <v>246</v>
      </c>
      <c r="F396" s="7" t="s">
        <v>724</v>
      </c>
      <c r="G396" s="35" t="s">
        <v>723</v>
      </c>
      <c r="H396" s="36">
        <v>4.9000000000000002E-2</v>
      </c>
      <c r="I396" s="1"/>
      <c r="J396" s="6">
        <f>ROUND(I396*H396,2)</f>
        <v>0</v>
      </c>
      <c r="K396" s="151" t="s">
        <v>1</v>
      </c>
      <c r="L396" s="17"/>
      <c r="M396" s="8" t="s">
        <v>1</v>
      </c>
      <c r="N396" s="9" t="s">
        <v>33</v>
      </c>
      <c r="O396" s="10">
        <v>0</v>
      </c>
      <c r="P396" s="10">
        <f>O396*H396</f>
        <v>0</v>
      </c>
      <c r="Q396" s="10">
        <v>0</v>
      </c>
      <c r="R396" s="10">
        <f>Q396*H396</f>
        <v>0</v>
      </c>
      <c r="S396" s="10">
        <v>0</v>
      </c>
      <c r="T396" s="11">
        <f>S396*H396</f>
        <v>0</v>
      </c>
      <c r="U396" s="105"/>
      <c r="V396" s="17"/>
      <c r="W396" s="17"/>
      <c r="X396" s="17"/>
      <c r="Y396" s="17"/>
      <c r="Z396" s="17"/>
      <c r="AA396" s="17"/>
      <c r="AB396" s="17"/>
      <c r="AC396" s="105"/>
      <c r="AD396" s="105"/>
      <c r="AE396" s="105"/>
      <c r="AR396" s="12" t="s">
        <v>135</v>
      </c>
      <c r="AT396" s="12" t="s">
        <v>131</v>
      </c>
      <c r="AU396" s="12" t="s">
        <v>74</v>
      </c>
      <c r="AY396" s="13" t="s">
        <v>130</v>
      </c>
      <c r="BE396" s="14">
        <f>IF(N396="základní",J396,0)</f>
        <v>0</v>
      </c>
      <c r="BF396" s="14">
        <f>IF(N396="snížená",J396,0)</f>
        <v>0</v>
      </c>
      <c r="BG396" s="14">
        <f>IF(N396="zákl. přenesená",J396,0)</f>
        <v>0</v>
      </c>
      <c r="BH396" s="14">
        <f>IF(N396="sníž. přenesená",J396,0)</f>
        <v>0</v>
      </c>
      <c r="BI396" s="14">
        <f>IF(N396="nulová",J396,0)</f>
        <v>0</v>
      </c>
      <c r="BJ396" s="13" t="s">
        <v>74</v>
      </c>
      <c r="BK396" s="14">
        <f>ROUND(I396*H396,2)</f>
        <v>0</v>
      </c>
      <c r="BL396" s="13" t="s">
        <v>135</v>
      </c>
      <c r="BM396" s="12" t="s">
        <v>607</v>
      </c>
    </row>
    <row r="397" spans="1:65" s="5" customFormat="1" ht="16.5" customHeight="1" x14ac:dyDescent="0.2">
      <c r="A397" s="105"/>
      <c r="B397" s="140"/>
      <c r="C397" s="33" t="s">
        <v>462</v>
      </c>
      <c r="D397" s="33" t="s">
        <v>131</v>
      </c>
      <c r="E397" s="34" t="s">
        <v>790</v>
      </c>
      <c r="F397" s="7" t="s">
        <v>742</v>
      </c>
      <c r="G397" s="35" t="s">
        <v>134</v>
      </c>
      <c r="H397" s="36">
        <v>5</v>
      </c>
      <c r="I397" s="1"/>
      <c r="J397" s="6">
        <f>ROUND(I397*H397,2)</f>
        <v>0</v>
      </c>
      <c r="K397" s="151" t="s">
        <v>1</v>
      </c>
      <c r="L397" s="17"/>
      <c r="M397" s="8" t="s">
        <v>1</v>
      </c>
      <c r="N397" s="9" t="s">
        <v>33</v>
      </c>
      <c r="O397" s="10">
        <v>0</v>
      </c>
      <c r="P397" s="10">
        <f>O397*H397</f>
        <v>0</v>
      </c>
      <c r="Q397" s="10">
        <v>0</v>
      </c>
      <c r="R397" s="10">
        <f>Q397*H397</f>
        <v>0</v>
      </c>
      <c r="S397" s="10">
        <v>0</v>
      </c>
      <c r="T397" s="11">
        <f>S397*H397</f>
        <v>0</v>
      </c>
      <c r="U397" s="105"/>
      <c r="V397" s="17"/>
      <c r="W397" s="17"/>
      <c r="X397" s="17"/>
      <c r="Y397" s="17"/>
      <c r="Z397" s="17"/>
      <c r="AA397" s="17"/>
      <c r="AB397" s="17"/>
      <c r="AC397" s="105"/>
      <c r="AD397" s="105"/>
      <c r="AE397" s="105"/>
      <c r="AR397" s="12" t="s">
        <v>135</v>
      </c>
      <c r="AT397" s="12" t="s">
        <v>131</v>
      </c>
      <c r="AU397" s="12" t="s">
        <v>74</v>
      </c>
      <c r="AY397" s="13" t="s">
        <v>130</v>
      </c>
      <c r="BE397" s="14">
        <f>IF(N397="základní",J397,0)</f>
        <v>0</v>
      </c>
      <c r="BF397" s="14">
        <f>IF(N397="snížená",J397,0)</f>
        <v>0</v>
      </c>
      <c r="BG397" s="14">
        <f>IF(N397="zákl. přenesená",J397,0)</f>
        <v>0</v>
      </c>
      <c r="BH397" s="14">
        <f>IF(N397="sníž. přenesená",J397,0)</f>
        <v>0</v>
      </c>
      <c r="BI397" s="14">
        <f>IF(N397="nulová",J397,0)</f>
        <v>0</v>
      </c>
      <c r="BJ397" s="13" t="s">
        <v>74</v>
      </c>
      <c r="BK397" s="14">
        <f>ROUND(I397*H397,2)</f>
        <v>0</v>
      </c>
      <c r="BL397" s="13" t="s">
        <v>135</v>
      </c>
      <c r="BM397" s="12" t="s">
        <v>611</v>
      </c>
    </row>
    <row r="398" spans="1:65" s="5" customFormat="1" ht="39" x14ac:dyDescent="0.2">
      <c r="A398" s="105"/>
      <c r="B398" s="140"/>
      <c r="C398" s="17"/>
      <c r="D398" s="141" t="s">
        <v>148</v>
      </c>
      <c r="E398" s="17"/>
      <c r="F398" s="142" t="s">
        <v>743</v>
      </c>
      <c r="G398" s="17"/>
      <c r="H398" s="17"/>
      <c r="I398" s="17"/>
      <c r="J398" s="17"/>
      <c r="K398" s="143"/>
      <c r="L398" s="17"/>
      <c r="M398" s="15"/>
      <c r="N398" s="16"/>
      <c r="O398" s="17"/>
      <c r="P398" s="17"/>
      <c r="Q398" s="17"/>
      <c r="R398" s="17"/>
      <c r="S398" s="17"/>
      <c r="T398" s="18"/>
      <c r="U398" s="105"/>
      <c r="V398" s="17"/>
      <c r="W398" s="17"/>
      <c r="X398" s="17"/>
      <c r="Y398" s="17"/>
      <c r="Z398" s="17"/>
      <c r="AA398" s="17"/>
      <c r="AB398" s="17"/>
      <c r="AC398" s="105"/>
      <c r="AD398" s="105"/>
      <c r="AE398" s="105"/>
      <c r="AT398" s="13" t="s">
        <v>148</v>
      </c>
      <c r="AU398" s="13" t="s">
        <v>74</v>
      </c>
    </row>
    <row r="399" spans="1:65" s="5" customFormat="1" ht="16.5" customHeight="1" x14ac:dyDescent="0.2">
      <c r="A399" s="105"/>
      <c r="B399" s="140"/>
      <c r="C399" s="33" t="s">
        <v>613</v>
      </c>
      <c r="D399" s="33" t="s">
        <v>131</v>
      </c>
      <c r="E399" s="34" t="s">
        <v>772</v>
      </c>
      <c r="F399" s="7" t="s">
        <v>773</v>
      </c>
      <c r="G399" s="35" t="s">
        <v>134</v>
      </c>
      <c r="H399" s="36">
        <v>5</v>
      </c>
      <c r="I399" s="1"/>
      <c r="J399" s="6">
        <f>ROUND(I399*H399,2)</f>
        <v>0</v>
      </c>
      <c r="K399" s="151" t="s">
        <v>1</v>
      </c>
      <c r="L399" s="17"/>
      <c r="M399" s="8" t="s">
        <v>1</v>
      </c>
      <c r="N399" s="9" t="s">
        <v>33</v>
      </c>
      <c r="O399" s="10">
        <v>0</v>
      </c>
      <c r="P399" s="10">
        <f>O399*H399</f>
        <v>0</v>
      </c>
      <c r="Q399" s="10">
        <v>0</v>
      </c>
      <c r="R399" s="10">
        <f>Q399*H399</f>
        <v>0</v>
      </c>
      <c r="S399" s="10">
        <v>0</v>
      </c>
      <c r="T399" s="11">
        <f>S399*H399</f>
        <v>0</v>
      </c>
      <c r="U399" s="105"/>
      <c r="V399" s="17"/>
      <c r="W399" s="17"/>
      <c r="X399" s="17"/>
      <c r="Y399" s="17"/>
      <c r="Z399" s="17"/>
      <c r="AA399" s="17"/>
      <c r="AB399" s="17"/>
      <c r="AC399" s="105"/>
      <c r="AD399" s="105"/>
      <c r="AE399" s="105"/>
      <c r="AR399" s="12" t="s">
        <v>135</v>
      </c>
      <c r="AT399" s="12" t="s">
        <v>131</v>
      </c>
      <c r="AU399" s="12" t="s">
        <v>74</v>
      </c>
      <c r="AY399" s="13" t="s">
        <v>130</v>
      </c>
      <c r="BE399" s="14">
        <f>IF(N399="základní",J399,0)</f>
        <v>0</v>
      </c>
      <c r="BF399" s="14">
        <f>IF(N399="snížená",J399,0)</f>
        <v>0</v>
      </c>
      <c r="BG399" s="14">
        <f>IF(N399="zákl. přenesená",J399,0)</f>
        <v>0</v>
      </c>
      <c r="BH399" s="14">
        <f>IF(N399="sníž. přenesená",J399,0)</f>
        <v>0</v>
      </c>
      <c r="BI399" s="14">
        <f>IF(N399="nulová",J399,0)</f>
        <v>0</v>
      </c>
      <c r="BJ399" s="13" t="s">
        <v>74</v>
      </c>
      <c r="BK399" s="14">
        <f>ROUND(I399*H399,2)</f>
        <v>0</v>
      </c>
      <c r="BL399" s="13" t="s">
        <v>135</v>
      </c>
      <c r="BM399" s="12" t="s">
        <v>612</v>
      </c>
    </row>
    <row r="400" spans="1:65" s="5" customFormat="1" ht="16.5" customHeight="1" x14ac:dyDescent="0.2">
      <c r="A400" s="105"/>
      <c r="B400" s="140"/>
      <c r="C400" s="33" t="s">
        <v>464</v>
      </c>
      <c r="D400" s="33" t="s">
        <v>131</v>
      </c>
      <c r="E400" s="34" t="s">
        <v>791</v>
      </c>
      <c r="F400" s="7" t="s">
        <v>792</v>
      </c>
      <c r="G400" s="35" t="s">
        <v>134</v>
      </c>
      <c r="H400" s="36">
        <v>30.766999999999999</v>
      </c>
      <c r="I400" s="1"/>
      <c r="J400" s="6">
        <f>ROUND(I400*H400,2)</f>
        <v>0</v>
      </c>
      <c r="K400" s="151" t="s">
        <v>1</v>
      </c>
      <c r="L400" s="17"/>
      <c r="M400" s="8" t="s">
        <v>1</v>
      </c>
      <c r="N400" s="9" t="s">
        <v>33</v>
      </c>
      <c r="O400" s="10">
        <v>0</v>
      </c>
      <c r="P400" s="10">
        <f>O400*H400</f>
        <v>0</v>
      </c>
      <c r="Q400" s="10">
        <v>0</v>
      </c>
      <c r="R400" s="10">
        <f>Q400*H400</f>
        <v>0</v>
      </c>
      <c r="S400" s="10">
        <v>0</v>
      </c>
      <c r="T400" s="11">
        <f>S400*H400</f>
        <v>0</v>
      </c>
      <c r="U400" s="105"/>
      <c r="V400" s="17"/>
      <c r="W400" s="17"/>
      <c r="X400" s="17"/>
      <c r="Y400" s="17"/>
      <c r="Z400" s="17"/>
      <c r="AA400" s="17"/>
      <c r="AB400" s="17"/>
      <c r="AC400" s="105"/>
      <c r="AD400" s="105"/>
      <c r="AE400" s="105"/>
      <c r="AR400" s="12" t="s">
        <v>135</v>
      </c>
      <c r="AT400" s="12" t="s">
        <v>131</v>
      </c>
      <c r="AU400" s="12" t="s">
        <v>74</v>
      </c>
      <c r="AY400" s="13" t="s">
        <v>130</v>
      </c>
      <c r="BE400" s="14">
        <f>IF(N400="základní",J400,0)</f>
        <v>0</v>
      </c>
      <c r="BF400" s="14">
        <f>IF(N400="snížená",J400,0)</f>
        <v>0</v>
      </c>
      <c r="BG400" s="14">
        <f>IF(N400="zákl. přenesená",J400,0)</f>
        <v>0</v>
      </c>
      <c r="BH400" s="14">
        <f>IF(N400="sníž. přenesená",J400,0)</f>
        <v>0</v>
      </c>
      <c r="BI400" s="14">
        <f>IF(N400="nulová",J400,0)</f>
        <v>0</v>
      </c>
      <c r="BJ400" s="13" t="s">
        <v>74</v>
      </c>
      <c r="BK400" s="14">
        <f>ROUND(I400*H400,2)</f>
        <v>0</v>
      </c>
      <c r="BL400" s="13" t="s">
        <v>135</v>
      </c>
      <c r="BM400" s="12" t="s">
        <v>614</v>
      </c>
    </row>
    <row r="401" spans="1:65" s="5" customFormat="1" ht="24" x14ac:dyDescent="0.2">
      <c r="A401" s="105"/>
      <c r="B401" s="140"/>
      <c r="C401" s="33" t="s">
        <v>616</v>
      </c>
      <c r="D401" s="33" t="s">
        <v>131</v>
      </c>
      <c r="E401" s="34" t="s">
        <v>793</v>
      </c>
      <c r="F401" s="7" t="s">
        <v>794</v>
      </c>
      <c r="G401" s="35" t="s">
        <v>134</v>
      </c>
      <c r="H401" s="36">
        <v>30.766999999999999</v>
      </c>
      <c r="I401" s="1"/>
      <c r="J401" s="6">
        <f>ROUND(I401*H401,2)</f>
        <v>0</v>
      </c>
      <c r="K401" s="151" t="s">
        <v>1</v>
      </c>
      <c r="L401" s="17"/>
      <c r="M401" s="8" t="s">
        <v>1</v>
      </c>
      <c r="N401" s="9" t="s">
        <v>33</v>
      </c>
      <c r="O401" s="10">
        <v>0</v>
      </c>
      <c r="P401" s="10">
        <f>O401*H401</f>
        <v>0</v>
      </c>
      <c r="Q401" s="10">
        <v>0</v>
      </c>
      <c r="R401" s="10">
        <f>Q401*H401</f>
        <v>0</v>
      </c>
      <c r="S401" s="10">
        <v>0</v>
      </c>
      <c r="T401" s="11">
        <f>S401*H401</f>
        <v>0</v>
      </c>
      <c r="U401" s="105"/>
      <c r="V401" s="17"/>
      <c r="W401" s="17"/>
      <c r="X401" s="17"/>
      <c r="Y401" s="17"/>
      <c r="Z401" s="17"/>
      <c r="AA401" s="17"/>
      <c r="AB401" s="17"/>
      <c r="AC401" s="105"/>
      <c r="AD401" s="105"/>
      <c r="AE401" s="105"/>
      <c r="AR401" s="12" t="s">
        <v>135</v>
      </c>
      <c r="AT401" s="12" t="s">
        <v>131</v>
      </c>
      <c r="AU401" s="12" t="s">
        <v>74</v>
      </c>
      <c r="AY401" s="13" t="s">
        <v>130</v>
      </c>
      <c r="BE401" s="14">
        <f>IF(N401="základní",J401,0)</f>
        <v>0</v>
      </c>
      <c r="BF401" s="14">
        <f>IF(N401="snížená",J401,0)</f>
        <v>0</v>
      </c>
      <c r="BG401" s="14">
        <f>IF(N401="zákl. přenesená",J401,0)</f>
        <v>0</v>
      </c>
      <c r="BH401" s="14">
        <f>IF(N401="sníž. přenesená",J401,0)</f>
        <v>0</v>
      </c>
      <c r="BI401" s="14">
        <f>IF(N401="nulová",J401,0)</f>
        <v>0</v>
      </c>
      <c r="BJ401" s="13" t="s">
        <v>74</v>
      </c>
      <c r="BK401" s="14">
        <f>ROUND(I401*H401,2)</f>
        <v>0</v>
      </c>
      <c r="BL401" s="13" t="s">
        <v>135</v>
      </c>
      <c r="BM401" s="12" t="s">
        <v>615</v>
      </c>
    </row>
    <row r="402" spans="1:65" s="5" customFormat="1" ht="29.25" x14ac:dyDescent="0.2">
      <c r="A402" s="105"/>
      <c r="B402" s="140"/>
      <c r="C402" s="17"/>
      <c r="D402" s="141" t="s">
        <v>148</v>
      </c>
      <c r="E402" s="17"/>
      <c r="F402" s="142" t="s">
        <v>795</v>
      </c>
      <c r="G402" s="17"/>
      <c r="H402" s="17"/>
      <c r="I402" s="17"/>
      <c r="J402" s="17"/>
      <c r="K402" s="143"/>
      <c r="L402" s="17"/>
      <c r="M402" s="15"/>
      <c r="N402" s="16"/>
      <c r="O402" s="17"/>
      <c r="P402" s="17"/>
      <c r="Q402" s="17"/>
      <c r="R402" s="17"/>
      <c r="S402" s="17"/>
      <c r="T402" s="18"/>
      <c r="U402" s="105"/>
      <c r="V402" s="17"/>
      <c r="W402" s="17"/>
      <c r="X402" s="17"/>
      <c r="Y402" s="17"/>
      <c r="Z402" s="17"/>
      <c r="AA402" s="17"/>
      <c r="AB402" s="17"/>
      <c r="AC402" s="105"/>
      <c r="AD402" s="105"/>
      <c r="AE402" s="105"/>
      <c r="AT402" s="13" t="s">
        <v>148</v>
      </c>
      <c r="AU402" s="13" t="s">
        <v>74</v>
      </c>
    </row>
    <row r="403" spans="1:65" s="20" customFormat="1" ht="25.9" customHeight="1" x14ac:dyDescent="0.2">
      <c r="B403" s="172"/>
      <c r="C403" s="23"/>
      <c r="D403" s="173" t="s">
        <v>67</v>
      </c>
      <c r="E403" s="174" t="s">
        <v>243</v>
      </c>
      <c r="F403" s="174" t="s">
        <v>797</v>
      </c>
      <c r="G403" s="23"/>
      <c r="H403" s="23"/>
      <c r="I403" s="23"/>
      <c r="J403" s="175">
        <f>BK403</f>
        <v>0</v>
      </c>
      <c r="K403" s="176"/>
      <c r="L403" s="23"/>
      <c r="M403" s="22"/>
      <c r="N403" s="23"/>
      <c r="O403" s="23"/>
      <c r="P403" s="24">
        <f>SUM(P406:P418)</f>
        <v>0</v>
      </c>
      <c r="Q403" s="23"/>
      <c r="R403" s="24">
        <f>SUM(R406:R418)</f>
        <v>0</v>
      </c>
      <c r="S403" s="23"/>
      <c r="T403" s="25">
        <f>SUM(T406:T418)</f>
        <v>0</v>
      </c>
      <c r="V403" s="23"/>
      <c r="W403" s="23"/>
      <c r="X403" s="23"/>
      <c r="Y403" s="23"/>
      <c r="Z403" s="23"/>
      <c r="AA403" s="23"/>
      <c r="AB403" s="23"/>
      <c r="AR403" s="26" t="s">
        <v>74</v>
      </c>
      <c r="AT403" s="27" t="s">
        <v>67</v>
      </c>
      <c r="AU403" s="27" t="s">
        <v>68</v>
      </c>
      <c r="AY403" s="26" t="s">
        <v>130</v>
      </c>
      <c r="BK403" s="28">
        <f>SUM(BK406:BK418)</f>
        <v>0</v>
      </c>
    </row>
    <row r="404" spans="1:65" s="5" customFormat="1" ht="19.5" x14ac:dyDescent="0.2">
      <c r="B404" s="177"/>
      <c r="C404" s="16"/>
      <c r="D404" s="178" t="s">
        <v>148</v>
      </c>
      <c r="E404" s="16"/>
      <c r="F404" s="200" t="s">
        <v>1249</v>
      </c>
      <c r="G404" s="180"/>
      <c r="H404" s="16"/>
      <c r="I404" s="16"/>
      <c r="J404" s="16"/>
      <c r="K404" s="181"/>
      <c r="L404" s="52"/>
      <c r="M404" s="52"/>
      <c r="N404" s="52"/>
      <c r="O404" s="52"/>
      <c r="P404" s="52"/>
      <c r="Q404" s="52"/>
      <c r="R404" s="52"/>
      <c r="S404" s="128"/>
      <c r="V404" s="16"/>
      <c r="W404" s="16"/>
      <c r="X404" s="16"/>
      <c r="Y404" s="16"/>
      <c r="Z404" s="16"/>
      <c r="AA404" s="16"/>
      <c r="AB404" s="16"/>
      <c r="AZ404" s="126" t="s">
        <v>148</v>
      </c>
      <c r="BA404" s="126" t="s">
        <v>74</v>
      </c>
    </row>
    <row r="405" spans="1:65" s="5" customFormat="1" ht="10.15" customHeight="1" x14ac:dyDescent="0.2">
      <c r="B405" s="177"/>
      <c r="C405" s="16"/>
      <c r="D405" s="178" t="s">
        <v>340</v>
      </c>
      <c r="E405" s="16"/>
      <c r="F405" s="200" t="s">
        <v>1258</v>
      </c>
      <c r="G405" s="16"/>
      <c r="H405" s="180">
        <f>3.09*5.44</f>
        <v>16.8096</v>
      </c>
      <c r="I405" s="16"/>
      <c r="J405" s="16"/>
      <c r="K405" s="181"/>
      <c r="L405" s="52"/>
      <c r="M405" s="52"/>
      <c r="N405" s="52"/>
      <c r="O405" s="52"/>
      <c r="P405" s="52"/>
      <c r="Q405" s="52"/>
      <c r="R405" s="52"/>
      <c r="S405" s="128"/>
      <c r="V405" s="16"/>
      <c r="W405" s="16"/>
      <c r="X405" s="16"/>
      <c r="Y405" s="16"/>
      <c r="Z405" s="16"/>
      <c r="AA405" s="16"/>
      <c r="AB405" s="16"/>
      <c r="AZ405" s="126" t="s">
        <v>148</v>
      </c>
      <c r="BA405" s="126" t="s">
        <v>74</v>
      </c>
    </row>
    <row r="406" spans="1:65" s="5" customFormat="1" ht="16.5" customHeight="1" x14ac:dyDescent="0.2">
      <c r="A406" s="105"/>
      <c r="B406" s="140"/>
      <c r="C406" s="33" t="s">
        <v>466</v>
      </c>
      <c r="D406" s="33" t="s">
        <v>131</v>
      </c>
      <c r="E406" s="34" t="s">
        <v>713</v>
      </c>
      <c r="F406" s="7" t="s">
        <v>714</v>
      </c>
      <c r="G406" s="35" t="s">
        <v>134</v>
      </c>
      <c r="H406" s="36">
        <v>16.809999999999999</v>
      </c>
      <c r="I406" s="1"/>
      <c r="J406" s="6">
        <f>ROUND(I406*H406,2)</f>
        <v>0</v>
      </c>
      <c r="K406" s="151" t="s">
        <v>1</v>
      </c>
      <c r="L406" s="17"/>
      <c r="M406" s="8" t="s">
        <v>1</v>
      </c>
      <c r="N406" s="9" t="s">
        <v>33</v>
      </c>
      <c r="O406" s="10">
        <v>0</v>
      </c>
      <c r="P406" s="10">
        <f>O406*H406</f>
        <v>0</v>
      </c>
      <c r="Q406" s="10">
        <v>0</v>
      </c>
      <c r="R406" s="10">
        <f>Q406*H406</f>
        <v>0</v>
      </c>
      <c r="S406" s="10">
        <v>0</v>
      </c>
      <c r="T406" s="11">
        <f>S406*H406</f>
        <v>0</v>
      </c>
      <c r="U406" s="105"/>
      <c r="V406" s="17"/>
      <c r="W406" s="17"/>
      <c r="X406" s="17"/>
      <c r="Y406" s="17"/>
      <c r="Z406" s="17"/>
      <c r="AA406" s="17"/>
      <c r="AB406" s="17"/>
      <c r="AC406" s="105"/>
      <c r="AD406" s="105"/>
      <c r="AE406" s="105"/>
      <c r="AR406" s="12" t="s">
        <v>135</v>
      </c>
      <c r="AT406" s="12" t="s">
        <v>131</v>
      </c>
      <c r="AU406" s="12" t="s">
        <v>74</v>
      </c>
      <c r="AY406" s="13" t="s">
        <v>130</v>
      </c>
      <c r="BE406" s="14">
        <f>IF(N406="základní",J406,0)</f>
        <v>0</v>
      </c>
      <c r="BF406" s="14">
        <f>IF(N406="snížená",J406,0)</f>
        <v>0</v>
      </c>
      <c r="BG406" s="14">
        <f>IF(N406="zákl. přenesená",J406,0)</f>
        <v>0</v>
      </c>
      <c r="BH406" s="14">
        <f>IF(N406="sníž. přenesená",J406,0)</f>
        <v>0</v>
      </c>
      <c r="BI406" s="14">
        <f>IF(N406="nulová",J406,0)</f>
        <v>0</v>
      </c>
      <c r="BJ406" s="13" t="s">
        <v>74</v>
      </c>
      <c r="BK406" s="14">
        <f>ROUND(I406*H406,2)</f>
        <v>0</v>
      </c>
      <c r="BL406" s="13" t="s">
        <v>135</v>
      </c>
      <c r="BM406" s="12" t="s">
        <v>617</v>
      </c>
    </row>
    <row r="407" spans="1:65" s="5" customFormat="1" ht="16.5" customHeight="1" x14ac:dyDescent="0.2">
      <c r="A407" s="105"/>
      <c r="B407" s="140"/>
      <c r="C407" s="33" t="s">
        <v>621</v>
      </c>
      <c r="D407" s="33" t="s">
        <v>131</v>
      </c>
      <c r="E407" s="34" t="s">
        <v>716</v>
      </c>
      <c r="F407" s="7" t="s">
        <v>717</v>
      </c>
      <c r="G407" s="35" t="s">
        <v>134</v>
      </c>
      <c r="H407" s="36">
        <v>3.3620000000000001</v>
      </c>
      <c r="I407" s="1"/>
      <c r="J407" s="6">
        <f>ROUND(I407*H407,2)</f>
        <v>0</v>
      </c>
      <c r="K407" s="151" t="s">
        <v>1</v>
      </c>
      <c r="L407" s="17"/>
      <c r="M407" s="8" t="s">
        <v>1</v>
      </c>
      <c r="N407" s="9" t="s">
        <v>33</v>
      </c>
      <c r="O407" s="10">
        <v>0</v>
      </c>
      <c r="P407" s="10">
        <f>O407*H407</f>
        <v>0</v>
      </c>
      <c r="Q407" s="10">
        <v>0</v>
      </c>
      <c r="R407" s="10">
        <f>Q407*H407</f>
        <v>0</v>
      </c>
      <c r="S407" s="10">
        <v>0</v>
      </c>
      <c r="T407" s="11">
        <f>S407*H407</f>
        <v>0</v>
      </c>
      <c r="U407" s="105"/>
      <c r="V407" s="17"/>
      <c r="W407" s="17"/>
      <c r="X407" s="17"/>
      <c r="Y407" s="17"/>
      <c r="Z407" s="17"/>
      <c r="AA407" s="17"/>
      <c r="AB407" s="17"/>
      <c r="AC407" s="105"/>
      <c r="AD407" s="105"/>
      <c r="AE407" s="105"/>
      <c r="AR407" s="12" t="s">
        <v>135</v>
      </c>
      <c r="AT407" s="12" t="s">
        <v>131</v>
      </c>
      <c r="AU407" s="12" t="s">
        <v>74</v>
      </c>
      <c r="AY407" s="13" t="s">
        <v>130</v>
      </c>
      <c r="BE407" s="14">
        <f>IF(N407="základní",J407,0)</f>
        <v>0</v>
      </c>
      <c r="BF407" s="14">
        <f>IF(N407="snížená",J407,0)</f>
        <v>0</v>
      </c>
      <c r="BG407" s="14">
        <f>IF(N407="zákl. přenesená",J407,0)</f>
        <v>0</v>
      </c>
      <c r="BH407" s="14">
        <f>IF(N407="sníž. přenesená",J407,0)</f>
        <v>0</v>
      </c>
      <c r="BI407" s="14">
        <f>IF(N407="nulová",J407,0)</f>
        <v>0</v>
      </c>
      <c r="BJ407" s="13" t="s">
        <v>74</v>
      </c>
      <c r="BK407" s="14">
        <f>ROUND(I407*H407,2)</f>
        <v>0</v>
      </c>
      <c r="BL407" s="13" t="s">
        <v>135</v>
      </c>
      <c r="BM407" s="12" t="s">
        <v>620</v>
      </c>
    </row>
    <row r="408" spans="1:65" s="5" customFormat="1" ht="19.5" x14ac:dyDescent="0.2">
      <c r="A408" s="105"/>
      <c r="B408" s="140"/>
      <c r="C408" s="17"/>
      <c r="D408" s="141" t="s">
        <v>148</v>
      </c>
      <c r="E408" s="17"/>
      <c r="F408" s="142" t="s">
        <v>718</v>
      </c>
      <c r="G408" s="17"/>
      <c r="H408" s="17"/>
      <c r="I408" s="17"/>
      <c r="J408" s="17"/>
      <c r="K408" s="143"/>
      <c r="L408" s="17"/>
      <c r="M408" s="15"/>
      <c r="N408" s="16"/>
      <c r="O408" s="17"/>
      <c r="P408" s="17"/>
      <c r="Q408" s="17"/>
      <c r="R408" s="17"/>
      <c r="S408" s="17"/>
      <c r="T408" s="18"/>
      <c r="U408" s="105"/>
      <c r="V408" s="17"/>
      <c r="W408" s="17"/>
      <c r="X408" s="17"/>
      <c r="Y408" s="17"/>
      <c r="Z408" s="17"/>
      <c r="AA408" s="17"/>
      <c r="AB408" s="17"/>
      <c r="AC408" s="105"/>
      <c r="AD408" s="105"/>
      <c r="AE408" s="105"/>
      <c r="AT408" s="13" t="s">
        <v>148</v>
      </c>
      <c r="AU408" s="13" t="s">
        <v>74</v>
      </c>
    </row>
    <row r="409" spans="1:65" s="5" customFormat="1" ht="16.5" customHeight="1" x14ac:dyDescent="0.2">
      <c r="A409" s="105"/>
      <c r="B409" s="140"/>
      <c r="C409" s="33" t="s">
        <v>467</v>
      </c>
      <c r="D409" s="33" t="s">
        <v>131</v>
      </c>
      <c r="E409" s="34" t="s">
        <v>735</v>
      </c>
      <c r="F409" s="7" t="s">
        <v>736</v>
      </c>
      <c r="G409" s="35" t="s">
        <v>134</v>
      </c>
      <c r="H409" s="36">
        <v>2</v>
      </c>
      <c r="I409" s="1"/>
      <c r="J409" s="6">
        <f>ROUND(I409*H409,2)</f>
        <v>0</v>
      </c>
      <c r="K409" s="151" t="s">
        <v>1</v>
      </c>
      <c r="L409" s="17"/>
      <c r="M409" s="8" t="s">
        <v>1</v>
      </c>
      <c r="N409" s="9" t="s">
        <v>33</v>
      </c>
      <c r="O409" s="10">
        <v>0</v>
      </c>
      <c r="P409" s="10">
        <f>O409*H409</f>
        <v>0</v>
      </c>
      <c r="Q409" s="10">
        <v>0</v>
      </c>
      <c r="R409" s="10">
        <f>Q409*H409</f>
        <v>0</v>
      </c>
      <c r="S409" s="10">
        <v>0</v>
      </c>
      <c r="T409" s="11">
        <f>S409*H409</f>
        <v>0</v>
      </c>
      <c r="U409" s="105"/>
      <c r="V409" s="17"/>
      <c r="W409" s="17"/>
      <c r="X409" s="17"/>
      <c r="Y409" s="17"/>
      <c r="Z409" s="17"/>
      <c r="AA409" s="17"/>
      <c r="AB409" s="17"/>
      <c r="AC409" s="105"/>
      <c r="AD409" s="105"/>
      <c r="AE409" s="105"/>
      <c r="AR409" s="12" t="s">
        <v>135</v>
      </c>
      <c r="AT409" s="12" t="s">
        <v>131</v>
      </c>
      <c r="AU409" s="12" t="s">
        <v>74</v>
      </c>
      <c r="AY409" s="13" t="s">
        <v>130</v>
      </c>
      <c r="BE409" s="14">
        <f>IF(N409="základní",J409,0)</f>
        <v>0</v>
      </c>
      <c r="BF409" s="14">
        <f>IF(N409="snížená",J409,0)</f>
        <v>0</v>
      </c>
      <c r="BG409" s="14">
        <f>IF(N409="zákl. přenesená",J409,0)</f>
        <v>0</v>
      </c>
      <c r="BH409" s="14">
        <f>IF(N409="sníž. přenesená",J409,0)</f>
        <v>0</v>
      </c>
      <c r="BI409" s="14">
        <f>IF(N409="nulová",J409,0)</f>
        <v>0</v>
      </c>
      <c r="BJ409" s="13" t="s">
        <v>74</v>
      </c>
      <c r="BK409" s="14">
        <f>ROUND(I409*H409,2)</f>
        <v>0</v>
      </c>
      <c r="BL409" s="13" t="s">
        <v>135</v>
      </c>
      <c r="BM409" s="12" t="s">
        <v>624</v>
      </c>
    </row>
    <row r="410" spans="1:65" s="5" customFormat="1" ht="19.5" x14ac:dyDescent="0.2">
      <c r="A410" s="105"/>
      <c r="B410" s="140"/>
      <c r="C410" s="17"/>
      <c r="D410" s="141" t="s">
        <v>148</v>
      </c>
      <c r="E410" s="17"/>
      <c r="F410" s="142" t="s">
        <v>737</v>
      </c>
      <c r="G410" s="17"/>
      <c r="H410" s="17"/>
      <c r="I410" s="17"/>
      <c r="J410" s="17"/>
      <c r="K410" s="143"/>
      <c r="L410" s="17"/>
      <c r="M410" s="15"/>
      <c r="N410" s="16"/>
      <c r="O410" s="17"/>
      <c r="P410" s="17"/>
      <c r="Q410" s="17"/>
      <c r="R410" s="17"/>
      <c r="S410" s="17"/>
      <c r="T410" s="18"/>
      <c r="U410" s="105"/>
      <c r="V410" s="17"/>
      <c r="W410" s="17"/>
      <c r="X410" s="17"/>
      <c r="Y410" s="17"/>
      <c r="Z410" s="17"/>
      <c r="AA410" s="17"/>
      <c r="AB410" s="17"/>
      <c r="AC410" s="105"/>
      <c r="AD410" s="105"/>
      <c r="AE410" s="105"/>
      <c r="AT410" s="13" t="s">
        <v>148</v>
      </c>
      <c r="AU410" s="13" t="s">
        <v>74</v>
      </c>
    </row>
    <row r="411" spans="1:65" s="5" customFormat="1" ht="16.5" customHeight="1" x14ac:dyDescent="0.2">
      <c r="A411" s="105"/>
      <c r="B411" s="140"/>
      <c r="C411" s="33" t="s">
        <v>628</v>
      </c>
      <c r="D411" s="33" t="s">
        <v>131</v>
      </c>
      <c r="E411" s="34" t="s">
        <v>232</v>
      </c>
      <c r="F411" s="7" t="s">
        <v>722</v>
      </c>
      <c r="G411" s="35" t="s">
        <v>723</v>
      </c>
      <c r="H411" s="36">
        <v>2.7E-2</v>
      </c>
      <c r="I411" s="1"/>
      <c r="J411" s="6">
        <f>ROUND(I411*H411,2)</f>
        <v>0</v>
      </c>
      <c r="K411" s="151" t="s">
        <v>1</v>
      </c>
      <c r="L411" s="17"/>
      <c r="M411" s="8" t="s">
        <v>1</v>
      </c>
      <c r="N411" s="9" t="s">
        <v>33</v>
      </c>
      <c r="O411" s="10">
        <v>0</v>
      </c>
      <c r="P411" s="10">
        <f>O411*H411</f>
        <v>0</v>
      </c>
      <c r="Q411" s="10">
        <v>0</v>
      </c>
      <c r="R411" s="10">
        <f>Q411*H411</f>
        <v>0</v>
      </c>
      <c r="S411" s="10">
        <v>0</v>
      </c>
      <c r="T411" s="11">
        <f>S411*H411</f>
        <v>0</v>
      </c>
      <c r="U411" s="105"/>
      <c r="V411" s="17"/>
      <c r="W411" s="17"/>
      <c r="X411" s="17"/>
      <c r="Y411" s="17"/>
      <c r="Z411" s="17"/>
      <c r="AA411" s="17"/>
      <c r="AB411" s="17"/>
      <c r="AC411" s="105"/>
      <c r="AD411" s="105"/>
      <c r="AE411" s="105"/>
      <c r="AR411" s="12" t="s">
        <v>135</v>
      </c>
      <c r="AT411" s="12" t="s">
        <v>131</v>
      </c>
      <c r="AU411" s="12" t="s">
        <v>74</v>
      </c>
      <c r="AY411" s="13" t="s">
        <v>130</v>
      </c>
      <c r="BE411" s="14">
        <f>IF(N411="základní",J411,0)</f>
        <v>0</v>
      </c>
      <c r="BF411" s="14">
        <f>IF(N411="snížená",J411,0)</f>
        <v>0</v>
      </c>
      <c r="BG411" s="14">
        <f>IF(N411="zákl. přenesená",J411,0)</f>
        <v>0</v>
      </c>
      <c r="BH411" s="14">
        <f>IF(N411="sníž. přenesená",J411,0)</f>
        <v>0</v>
      </c>
      <c r="BI411" s="14">
        <f>IF(N411="nulová",J411,0)</f>
        <v>0</v>
      </c>
      <c r="BJ411" s="13" t="s">
        <v>74</v>
      </c>
      <c r="BK411" s="14">
        <f>ROUND(I411*H411,2)</f>
        <v>0</v>
      </c>
      <c r="BL411" s="13" t="s">
        <v>135</v>
      </c>
      <c r="BM411" s="12" t="s">
        <v>627</v>
      </c>
    </row>
    <row r="412" spans="1:65" s="5" customFormat="1" ht="16.5" customHeight="1" x14ac:dyDescent="0.2">
      <c r="A412" s="105"/>
      <c r="B412" s="140"/>
      <c r="C412" s="33" t="s">
        <v>469</v>
      </c>
      <c r="D412" s="33" t="s">
        <v>131</v>
      </c>
      <c r="E412" s="34" t="s">
        <v>246</v>
      </c>
      <c r="F412" s="7" t="s">
        <v>724</v>
      </c>
      <c r="G412" s="35" t="s">
        <v>723</v>
      </c>
      <c r="H412" s="36">
        <v>2.7E-2</v>
      </c>
      <c r="I412" s="1"/>
      <c r="J412" s="6">
        <f>ROUND(I412*H412,2)</f>
        <v>0</v>
      </c>
      <c r="K412" s="151" t="s">
        <v>1</v>
      </c>
      <c r="L412" s="17"/>
      <c r="M412" s="8" t="s">
        <v>1</v>
      </c>
      <c r="N412" s="9" t="s">
        <v>33</v>
      </c>
      <c r="O412" s="10">
        <v>0</v>
      </c>
      <c r="P412" s="10">
        <f>O412*H412</f>
        <v>0</v>
      </c>
      <c r="Q412" s="10">
        <v>0</v>
      </c>
      <c r="R412" s="10">
        <f>Q412*H412</f>
        <v>0</v>
      </c>
      <c r="S412" s="10">
        <v>0</v>
      </c>
      <c r="T412" s="11">
        <f>S412*H412</f>
        <v>0</v>
      </c>
      <c r="U412" s="105"/>
      <c r="V412" s="17"/>
      <c r="W412" s="17"/>
      <c r="X412" s="17"/>
      <c r="Y412" s="17"/>
      <c r="Z412" s="17"/>
      <c r="AA412" s="17"/>
      <c r="AB412" s="17"/>
      <c r="AC412" s="105"/>
      <c r="AD412" s="105"/>
      <c r="AE412" s="105"/>
      <c r="AR412" s="12" t="s">
        <v>135</v>
      </c>
      <c r="AT412" s="12" t="s">
        <v>131</v>
      </c>
      <c r="AU412" s="12" t="s">
        <v>74</v>
      </c>
      <c r="AY412" s="13" t="s">
        <v>130</v>
      </c>
      <c r="BE412" s="14">
        <f>IF(N412="základní",J412,0)</f>
        <v>0</v>
      </c>
      <c r="BF412" s="14">
        <f>IF(N412="snížená",J412,0)</f>
        <v>0</v>
      </c>
      <c r="BG412" s="14">
        <f>IF(N412="zákl. přenesená",J412,0)</f>
        <v>0</v>
      </c>
      <c r="BH412" s="14">
        <f>IF(N412="sníž. přenesená",J412,0)</f>
        <v>0</v>
      </c>
      <c r="BI412" s="14">
        <f>IF(N412="nulová",J412,0)</f>
        <v>0</v>
      </c>
      <c r="BJ412" s="13" t="s">
        <v>74</v>
      </c>
      <c r="BK412" s="14">
        <f>ROUND(I412*H412,2)</f>
        <v>0</v>
      </c>
      <c r="BL412" s="13" t="s">
        <v>135</v>
      </c>
      <c r="BM412" s="12" t="s">
        <v>629</v>
      </c>
    </row>
    <row r="413" spans="1:65" s="5" customFormat="1" ht="16.5" customHeight="1" x14ac:dyDescent="0.2">
      <c r="A413" s="105"/>
      <c r="B413" s="140"/>
      <c r="C413" s="33" t="s">
        <v>631</v>
      </c>
      <c r="D413" s="33" t="s">
        <v>131</v>
      </c>
      <c r="E413" s="34" t="s">
        <v>770</v>
      </c>
      <c r="F413" s="7" t="s">
        <v>771</v>
      </c>
      <c r="G413" s="35" t="s">
        <v>134</v>
      </c>
      <c r="H413" s="36">
        <v>2</v>
      </c>
      <c r="I413" s="1"/>
      <c r="J413" s="6">
        <f>ROUND(I413*H413,2)</f>
        <v>0</v>
      </c>
      <c r="K413" s="151" t="s">
        <v>1</v>
      </c>
      <c r="L413" s="17"/>
      <c r="M413" s="8" t="s">
        <v>1</v>
      </c>
      <c r="N413" s="9" t="s">
        <v>33</v>
      </c>
      <c r="O413" s="10">
        <v>0</v>
      </c>
      <c r="P413" s="10">
        <f>O413*H413</f>
        <v>0</v>
      </c>
      <c r="Q413" s="10">
        <v>0</v>
      </c>
      <c r="R413" s="10">
        <f>Q413*H413</f>
        <v>0</v>
      </c>
      <c r="S413" s="10">
        <v>0</v>
      </c>
      <c r="T413" s="11">
        <f>S413*H413</f>
        <v>0</v>
      </c>
      <c r="U413" s="105"/>
      <c r="V413" s="17"/>
      <c r="W413" s="17"/>
      <c r="X413" s="17"/>
      <c r="Y413" s="17"/>
      <c r="Z413" s="17"/>
      <c r="AA413" s="17"/>
      <c r="AB413" s="17"/>
      <c r="AC413" s="105"/>
      <c r="AD413" s="105"/>
      <c r="AE413" s="105"/>
      <c r="AR413" s="12" t="s">
        <v>135</v>
      </c>
      <c r="AT413" s="12" t="s">
        <v>131</v>
      </c>
      <c r="AU413" s="12" t="s">
        <v>74</v>
      </c>
      <c r="AY413" s="13" t="s">
        <v>130</v>
      </c>
      <c r="BE413" s="14">
        <f>IF(N413="základní",J413,0)</f>
        <v>0</v>
      </c>
      <c r="BF413" s="14">
        <f>IF(N413="snížená",J413,0)</f>
        <v>0</v>
      </c>
      <c r="BG413" s="14">
        <f>IF(N413="zákl. přenesená",J413,0)</f>
        <v>0</v>
      </c>
      <c r="BH413" s="14">
        <f>IF(N413="sníž. přenesená",J413,0)</f>
        <v>0</v>
      </c>
      <c r="BI413" s="14">
        <f>IF(N413="nulová",J413,0)</f>
        <v>0</v>
      </c>
      <c r="BJ413" s="13" t="s">
        <v>74</v>
      </c>
      <c r="BK413" s="14">
        <f>ROUND(I413*H413,2)</f>
        <v>0</v>
      </c>
      <c r="BL413" s="13" t="s">
        <v>135</v>
      </c>
      <c r="BM413" s="12" t="s">
        <v>630</v>
      </c>
    </row>
    <row r="414" spans="1:65" s="5" customFormat="1" ht="39" x14ac:dyDescent="0.2">
      <c r="A414" s="105"/>
      <c r="B414" s="140"/>
      <c r="C414" s="17"/>
      <c r="D414" s="141" t="s">
        <v>148</v>
      </c>
      <c r="E414" s="17"/>
      <c r="F414" s="142" t="s">
        <v>755</v>
      </c>
      <c r="G414" s="17"/>
      <c r="H414" s="17"/>
      <c r="I414" s="17"/>
      <c r="J414" s="17"/>
      <c r="K414" s="143"/>
      <c r="L414" s="17"/>
      <c r="M414" s="15"/>
      <c r="N414" s="16"/>
      <c r="O414" s="17"/>
      <c r="P414" s="17"/>
      <c r="Q414" s="17"/>
      <c r="R414" s="17"/>
      <c r="S414" s="17"/>
      <c r="T414" s="18"/>
      <c r="U414" s="105"/>
      <c r="V414" s="17"/>
      <c r="W414" s="17"/>
      <c r="X414" s="17"/>
      <c r="Y414" s="17"/>
      <c r="Z414" s="17"/>
      <c r="AA414" s="17"/>
      <c r="AB414" s="17"/>
      <c r="AC414" s="105"/>
      <c r="AD414" s="105"/>
      <c r="AE414" s="105"/>
      <c r="AT414" s="13" t="s">
        <v>148</v>
      </c>
      <c r="AU414" s="13" t="s">
        <v>74</v>
      </c>
    </row>
    <row r="415" spans="1:65" s="5" customFormat="1" ht="16.5" customHeight="1" x14ac:dyDescent="0.2">
      <c r="A415" s="105"/>
      <c r="B415" s="140"/>
      <c r="C415" s="33" t="s">
        <v>471</v>
      </c>
      <c r="D415" s="33" t="s">
        <v>131</v>
      </c>
      <c r="E415" s="34" t="s">
        <v>772</v>
      </c>
      <c r="F415" s="7" t="s">
        <v>773</v>
      </c>
      <c r="G415" s="35" t="s">
        <v>134</v>
      </c>
      <c r="H415" s="36">
        <v>2</v>
      </c>
      <c r="I415" s="1"/>
      <c r="J415" s="6">
        <f>ROUND(I415*H415,2)</f>
        <v>0</v>
      </c>
      <c r="K415" s="151" t="s">
        <v>1</v>
      </c>
      <c r="L415" s="17"/>
      <c r="M415" s="8" t="s">
        <v>1</v>
      </c>
      <c r="N415" s="9" t="s">
        <v>33</v>
      </c>
      <c r="O415" s="10">
        <v>0</v>
      </c>
      <c r="P415" s="10">
        <f>O415*H415</f>
        <v>0</v>
      </c>
      <c r="Q415" s="10">
        <v>0</v>
      </c>
      <c r="R415" s="10">
        <f>Q415*H415</f>
        <v>0</v>
      </c>
      <c r="S415" s="10">
        <v>0</v>
      </c>
      <c r="T415" s="11">
        <f>S415*H415</f>
        <v>0</v>
      </c>
      <c r="U415" s="105"/>
      <c r="V415" s="17"/>
      <c r="W415" s="17"/>
      <c r="X415" s="17"/>
      <c r="Y415" s="17"/>
      <c r="Z415" s="17"/>
      <c r="AA415" s="17"/>
      <c r="AB415" s="17"/>
      <c r="AC415" s="105"/>
      <c r="AD415" s="105"/>
      <c r="AE415" s="105"/>
      <c r="AR415" s="12" t="s">
        <v>135</v>
      </c>
      <c r="AT415" s="12" t="s">
        <v>131</v>
      </c>
      <c r="AU415" s="12" t="s">
        <v>74</v>
      </c>
      <c r="AY415" s="13" t="s">
        <v>130</v>
      </c>
      <c r="BE415" s="14">
        <f>IF(N415="základní",J415,0)</f>
        <v>0</v>
      </c>
      <c r="BF415" s="14">
        <f>IF(N415="snížená",J415,0)</f>
        <v>0</v>
      </c>
      <c r="BG415" s="14">
        <f>IF(N415="zákl. přenesená",J415,0)</f>
        <v>0</v>
      </c>
      <c r="BH415" s="14">
        <f>IF(N415="sníž. přenesená",J415,0)</f>
        <v>0</v>
      </c>
      <c r="BI415" s="14">
        <f>IF(N415="nulová",J415,0)</f>
        <v>0</v>
      </c>
      <c r="BJ415" s="13" t="s">
        <v>74</v>
      </c>
      <c r="BK415" s="14">
        <f>ROUND(I415*H415,2)</f>
        <v>0</v>
      </c>
      <c r="BL415" s="13" t="s">
        <v>135</v>
      </c>
      <c r="BM415" s="12" t="s">
        <v>632</v>
      </c>
    </row>
    <row r="416" spans="1:65" s="5" customFormat="1" ht="16.5" customHeight="1" x14ac:dyDescent="0.2">
      <c r="A416" s="105"/>
      <c r="B416" s="140"/>
      <c r="C416" s="33" t="s">
        <v>636</v>
      </c>
      <c r="D416" s="33" t="s">
        <v>131</v>
      </c>
      <c r="E416" s="34" t="s">
        <v>774</v>
      </c>
      <c r="F416" s="7" t="s">
        <v>775</v>
      </c>
      <c r="G416" s="35" t="s">
        <v>134</v>
      </c>
      <c r="H416" s="36">
        <v>16.809999999999999</v>
      </c>
      <c r="I416" s="1"/>
      <c r="J416" s="6">
        <f>ROUND(I416*H416,2)</f>
        <v>0</v>
      </c>
      <c r="K416" s="151" t="s">
        <v>1</v>
      </c>
      <c r="L416" s="17"/>
      <c r="M416" s="8" t="s">
        <v>1</v>
      </c>
      <c r="N416" s="9" t="s">
        <v>33</v>
      </c>
      <c r="O416" s="10">
        <v>0</v>
      </c>
      <c r="P416" s="10">
        <f>O416*H416</f>
        <v>0</v>
      </c>
      <c r="Q416" s="10">
        <v>0</v>
      </c>
      <c r="R416" s="10">
        <f>Q416*H416</f>
        <v>0</v>
      </c>
      <c r="S416" s="10">
        <v>0</v>
      </c>
      <c r="T416" s="11">
        <f>S416*H416</f>
        <v>0</v>
      </c>
      <c r="U416" s="105"/>
      <c r="V416" s="17"/>
      <c r="W416" s="17"/>
      <c r="X416" s="17"/>
      <c r="Y416" s="17"/>
      <c r="Z416" s="17"/>
      <c r="AA416" s="17"/>
      <c r="AB416" s="17"/>
      <c r="AC416" s="105"/>
      <c r="AD416" s="105"/>
      <c r="AE416" s="105"/>
      <c r="AR416" s="12" t="s">
        <v>135</v>
      </c>
      <c r="AT416" s="12" t="s">
        <v>131</v>
      </c>
      <c r="AU416" s="12" t="s">
        <v>74</v>
      </c>
      <c r="AY416" s="13" t="s">
        <v>130</v>
      </c>
      <c r="BE416" s="14">
        <f>IF(N416="základní",J416,0)</f>
        <v>0</v>
      </c>
      <c r="BF416" s="14">
        <f>IF(N416="snížená",J416,0)</f>
        <v>0</v>
      </c>
      <c r="BG416" s="14">
        <f>IF(N416="zákl. přenesená",J416,0)</f>
        <v>0</v>
      </c>
      <c r="BH416" s="14">
        <f>IF(N416="sníž. přenesená",J416,0)</f>
        <v>0</v>
      </c>
      <c r="BI416" s="14">
        <f>IF(N416="nulová",J416,0)</f>
        <v>0</v>
      </c>
      <c r="BJ416" s="13" t="s">
        <v>74</v>
      </c>
      <c r="BK416" s="14">
        <f>ROUND(I416*H416,2)</f>
        <v>0</v>
      </c>
      <c r="BL416" s="13" t="s">
        <v>135</v>
      </c>
      <c r="BM416" s="12" t="s">
        <v>633</v>
      </c>
    </row>
    <row r="417" spans="1:65" s="5" customFormat="1" ht="16.5" customHeight="1" x14ac:dyDescent="0.2">
      <c r="A417" s="105"/>
      <c r="B417" s="140"/>
      <c r="C417" s="33" t="s">
        <v>473</v>
      </c>
      <c r="D417" s="33" t="s">
        <v>131</v>
      </c>
      <c r="E417" s="34" t="s">
        <v>776</v>
      </c>
      <c r="F417" s="7" t="s">
        <v>777</v>
      </c>
      <c r="G417" s="35" t="s">
        <v>134</v>
      </c>
      <c r="H417" s="36">
        <v>16.809999999999999</v>
      </c>
      <c r="I417" s="1"/>
      <c r="J417" s="6">
        <f>ROUND(I417*H417,2)</f>
        <v>0</v>
      </c>
      <c r="K417" s="151" t="s">
        <v>1</v>
      </c>
      <c r="L417" s="17"/>
      <c r="M417" s="8" t="s">
        <v>1</v>
      </c>
      <c r="N417" s="9" t="s">
        <v>33</v>
      </c>
      <c r="O417" s="10">
        <v>0</v>
      </c>
      <c r="P417" s="10">
        <f>O417*H417</f>
        <v>0</v>
      </c>
      <c r="Q417" s="10">
        <v>0</v>
      </c>
      <c r="R417" s="10">
        <f>Q417*H417</f>
        <v>0</v>
      </c>
      <c r="S417" s="10">
        <v>0</v>
      </c>
      <c r="T417" s="11">
        <f>S417*H417</f>
        <v>0</v>
      </c>
      <c r="U417" s="105"/>
      <c r="V417" s="17"/>
      <c r="W417" s="17"/>
      <c r="X417" s="17"/>
      <c r="Y417" s="17"/>
      <c r="Z417" s="17"/>
      <c r="AA417" s="17"/>
      <c r="AB417" s="17"/>
      <c r="AC417" s="105"/>
      <c r="AD417" s="105"/>
      <c r="AE417" s="105"/>
      <c r="AR417" s="12" t="s">
        <v>135</v>
      </c>
      <c r="AT417" s="12" t="s">
        <v>131</v>
      </c>
      <c r="AU417" s="12" t="s">
        <v>74</v>
      </c>
      <c r="AY417" s="13" t="s">
        <v>130</v>
      </c>
      <c r="BE417" s="14">
        <f>IF(N417="základní",J417,0)</f>
        <v>0</v>
      </c>
      <c r="BF417" s="14">
        <f>IF(N417="snížená",J417,0)</f>
        <v>0</v>
      </c>
      <c r="BG417" s="14">
        <f>IF(N417="zákl. přenesená",J417,0)</f>
        <v>0</v>
      </c>
      <c r="BH417" s="14">
        <f>IF(N417="sníž. přenesená",J417,0)</f>
        <v>0</v>
      </c>
      <c r="BI417" s="14">
        <f>IF(N417="nulová",J417,0)</f>
        <v>0</v>
      </c>
      <c r="BJ417" s="13" t="s">
        <v>74</v>
      </c>
      <c r="BK417" s="14">
        <f>ROUND(I417*H417,2)</f>
        <v>0</v>
      </c>
      <c r="BL417" s="13" t="s">
        <v>135</v>
      </c>
      <c r="BM417" s="12" t="s">
        <v>639</v>
      </c>
    </row>
    <row r="418" spans="1:65" s="5" customFormat="1" ht="29.25" x14ac:dyDescent="0.2">
      <c r="A418" s="105"/>
      <c r="B418" s="140"/>
      <c r="C418" s="17"/>
      <c r="D418" s="141" t="s">
        <v>148</v>
      </c>
      <c r="E418" s="17"/>
      <c r="F418" s="142" t="s">
        <v>778</v>
      </c>
      <c r="G418" s="17"/>
      <c r="H418" s="17"/>
      <c r="I418" s="17"/>
      <c r="J418" s="17"/>
      <c r="K418" s="143"/>
      <c r="L418" s="17"/>
      <c r="M418" s="15"/>
      <c r="N418" s="16"/>
      <c r="O418" s="17"/>
      <c r="P418" s="17"/>
      <c r="Q418" s="17"/>
      <c r="R418" s="17"/>
      <c r="S418" s="17"/>
      <c r="T418" s="18"/>
      <c r="U418" s="105"/>
      <c r="V418" s="17"/>
      <c r="W418" s="17"/>
      <c r="X418" s="17"/>
      <c r="Y418" s="17"/>
      <c r="Z418" s="17"/>
      <c r="AA418" s="17"/>
      <c r="AB418" s="17"/>
      <c r="AC418" s="105"/>
      <c r="AD418" s="105"/>
      <c r="AE418" s="105"/>
      <c r="AT418" s="13" t="s">
        <v>148</v>
      </c>
      <c r="AU418" s="13" t="s">
        <v>74</v>
      </c>
    </row>
    <row r="419" spans="1:65" s="20" customFormat="1" ht="25.9" customHeight="1" x14ac:dyDescent="0.2">
      <c r="B419" s="172"/>
      <c r="C419" s="23"/>
      <c r="D419" s="173" t="s">
        <v>67</v>
      </c>
      <c r="E419" s="174" t="s">
        <v>250</v>
      </c>
      <c r="F419" s="174" t="s">
        <v>798</v>
      </c>
      <c r="G419" s="23"/>
      <c r="H419" s="23"/>
      <c r="I419" s="23"/>
      <c r="J419" s="175">
        <f>BK419</f>
        <v>0</v>
      </c>
      <c r="K419" s="176"/>
      <c r="L419" s="23"/>
      <c r="M419" s="22"/>
      <c r="N419" s="23"/>
      <c r="O419" s="23"/>
      <c r="P419" s="24">
        <f>SUM(P422:P434)</f>
        <v>0</v>
      </c>
      <c r="Q419" s="23"/>
      <c r="R419" s="24">
        <f>SUM(R422:R434)</f>
        <v>0</v>
      </c>
      <c r="S419" s="23"/>
      <c r="T419" s="25">
        <f>SUM(T422:T434)</f>
        <v>0</v>
      </c>
      <c r="V419" s="23"/>
      <c r="W419" s="23"/>
      <c r="X419" s="23"/>
      <c r="Y419" s="23"/>
      <c r="Z419" s="23"/>
      <c r="AA419" s="23"/>
      <c r="AB419" s="23"/>
      <c r="AR419" s="26" t="s">
        <v>74</v>
      </c>
      <c r="AT419" s="27" t="s">
        <v>67</v>
      </c>
      <c r="AU419" s="27" t="s">
        <v>68</v>
      </c>
      <c r="AY419" s="26" t="s">
        <v>130</v>
      </c>
      <c r="BK419" s="28">
        <f>SUM(BK422:BK434)</f>
        <v>0</v>
      </c>
    </row>
    <row r="420" spans="1:65" s="5" customFormat="1" ht="19.5" x14ac:dyDescent="0.2">
      <c r="B420" s="177"/>
      <c r="C420" s="16"/>
      <c r="D420" s="178" t="s">
        <v>148</v>
      </c>
      <c r="E420" s="16"/>
      <c r="F420" s="200" t="s">
        <v>1249</v>
      </c>
      <c r="G420" s="180"/>
      <c r="H420" s="16"/>
      <c r="I420" s="16"/>
      <c r="J420" s="16"/>
      <c r="K420" s="181"/>
      <c r="L420" s="52"/>
      <c r="M420" s="52"/>
      <c r="N420" s="52"/>
      <c r="O420" s="52"/>
      <c r="P420" s="52"/>
      <c r="Q420" s="52"/>
      <c r="R420" s="52"/>
      <c r="S420" s="128"/>
      <c r="V420" s="16"/>
      <c r="W420" s="16"/>
      <c r="X420" s="16"/>
      <c r="Y420" s="16"/>
      <c r="Z420" s="16"/>
      <c r="AA420" s="16"/>
      <c r="AB420" s="16"/>
      <c r="AZ420" s="126" t="s">
        <v>148</v>
      </c>
      <c r="BA420" s="126" t="s">
        <v>74</v>
      </c>
    </row>
    <row r="421" spans="1:65" s="5" customFormat="1" ht="10.15" customHeight="1" x14ac:dyDescent="0.2">
      <c r="B421" s="177"/>
      <c r="C421" s="16"/>
      <c r="D421" s="178" t="s">
        <v>340</v>
      </c>
      <c r="E421" s="16"/>
      <c r="F421" s="200" t="s">
        <v>1259</v>
      </c>
      <c r="G421" s="16"/>
      <c r="H421" s="180">
        <f>(1.7*5.44)-(0.5*2.43)+(0.96*4.64)+((2.83-0.96)*4.64/2)</f>
        <v>16.825800000000001</v>
      </c>
      <c r="I421" s="16"/>
      <c r="J421" s="16"/>
      <c r="K421" s="181"/>
      <c r="L421" s="52"/>
      <c r="M421" s="52"/>
      <c r="N421" s="52"/>
      <c r="O421" s="52"/>
      <c r="P421" s="52"/>
      <c r="Q421" s="52"/>
      <c r="R421" s="52"/>
      <c r="S421" s="128"/>
      <c r="V421" s="16"/>
      <c r="W421" s="16"/>
      <c r="X421" s="16"/>
      <c r="Y421" s="16"/>
      <c r="Z421" s="16"/>
      <c r="AA421" s="16"/>
      <c r="AB421" s="16"/>
      <c r="AZ421" s="126" t="s">
        <v>148</v>
      </c>
      <c r="BA421" s="126" t="s">
        <v>74</v>
      </c>
    </row>
    <row r="422" spans="1:65" s="5" customFormat="1" ht="16.5" customHeight="1" x14ac:dyDescent="0.2">
      <c r="A422" s="105"/>
      <c r="B422" s="140"/>
      <c r="C422" s="33" t="s">
        <v>643</v>
      </c>
      <c r="D422" s="33" t="s">
        <v>131</v>
      </c>
      <c r="E422" s="34" t="s">
        <v>713</v>
      </c>
      <c r="F422" s="7" t="s">
        <v>714</v>
      </c>
      <c r="G422" s="35" t="s">
        <v>134</v>
      </c>
      <c r="H422" s="36">
        <v>16.826000000000001</v>
      </c>
      <c r="I422" s="1"/>
      <c r="J422" s="6">
        <f>ROUND(I422*H422,2)</f>
        <v>0</v>
      </c>
      <c r="K422" s="151" t="s">
        <v>1</v>
      </c>
      <c r="L422" s="17"/>
      <c r="M422" s="8" t="s">
        <v>1</v>
      </c>
      <c r="N422" s="9" t="s">
        <v>33</v>
      </c>
      <c r="O422" s="10">
        <v>0</v>
      </c>
      <c r="P422" s="10">
        <f>O422*H422</f>
        <v>0</v>
      </c>
      <c r="Q422" s="10">
        <v>0</v>
      </c>
      <c r="R422" s="10">
        <f>Q422*H422</f>
        <v>0</v>
      </c>
      <c r="S422" s="10">
        <v>0</v>
      </c>
      <c r="T422" s="11">
        <f>S422*H422</f>
        <v>0</v>
      </c>
      <c r="U422" s="105"/>
      <c r="V422" s="17"/>
      <c r="W422" s="17"/>
      <c r="X422" s="17"/>
      <c r="Y422" s="17"/>
      <c r="Z422" s="17"/>
      <c r="AA422" s="17"/>
      <c r="AB422" s="17"/>
      <c r="AC422" s="105"/>
      <c r="AD422" s="105"/>
      <c r="AE422" s="105"/>
      <c r="AR422" s="12" t="s">
        <v>135</v>
      </c>
      <c r="AT422" s="12" t="s">
        <v>131</v>
      </c>
      <c r="AU422" s="12" t="s">
        <v>74</v>
      </c>
      <c r="AY422" s="13" t="s">
        <v>130</v>
      </c>
      <c r="BE422" s="14">
        <f>IF(N422="základní",J422,0)</f>
        <v>0</v>
      </c>
      <c r="BF422" s="14">
        <f>IF(N422="snížená",J422,0)</f>
        <v>0</v>
      </c>
      <c r="BG422" s="14">
        <f>IF(N422="zákl. přenesená",J422,0)</f>
        <v>0</v>
      </c>
      <c r="BH422" s="14">
        <f>IF(N422="sníž. přenesená",J422,0)</f>
        <v>0</v>
      </c>
      <c r="BI422" s="14">
        <f>IF(N422="nulová",J422,0)</f>
        <v>0</v>
      </c>
      <c r="BJ422" s="13" t="s">
        <v>74</v>
      </c>
      <c r="BK422" s="14">
        <f>ROUND(I422*H422,2)</f>
        <v>0</v>
      </c>
      <c r="BL422" s="13" t="s">
        <v>135</v>
      </c>
      <c r="BM422" s="12" t="s">
        <v>642</v>
      </c>
    </row>
    <row r="423" spans="1:65" s="5" customFormat="1" ht="16.5" customHeight="1" x14ac:dyDescent="0.2">
      <c r="A423" s="105"/>
      <c r="B423" s="140"/>
      <c r="C423" s="33" t="s">
        <v>474</v>
      </c>
      <c r="D423" s="33" t="s">
        <v>131</v>
      </c>
      <c r="E423" s="34" t="s">
        <v>716</v>
      </c>
      <c r="F423" s="7" t="s">
        <v>717</v>
      </c>
      <c r="G423" s="35" t="s">
        <v>134</v>
      </c>
      <c r="H423" s="36">
        <v>3.3650000000000002</v>
      </c>
      <c r="I423" s="1"/>
      <c r="J423" s="6">
        <f>ROUND(I423*H423,2)</f>
        <v>0</v>
      </c>
      <c r="K423" s="151" t="s">
        <v>1</v>
      </c>
      <c r="L423" s="17"/>
      <c r="M423" s="8" t="s">
        <v>1</v>
      </c>
      <c r="N423" s="9" t="s">
        <v>33</v>
      </c>
      <c r="O423" s="10">
        <v>0</v>
      </c>
      <c r="P423" s="10">
        <f>O423*H423</f>
        <v>0</v>
      </c>
      <c r="Q423" s="10">
        <v>0</v>
      </c>
      <c r="R423" s="10">
        <f>Q423*H423</f>
        <v>0</v>
      </c>
      <c r="S423" s="10">
        <v>0</v>
      </c>
      <c r="T423" s="11">
        <f>S423*H423</f>
        <v>0</v>
      </c>
      <c r="U423" s="105"/>
      <c r="V423" s="17"/>
      <c r="W423" s="17"/>
      <c r="X423" s="17"/>
      <c r="Y423" s="17"/>
      <c r="Z423" s="17"/>
      <c r="AA423" s="17"/>
      <c r="AB423" s="17"/>
      <c r="AC423" s="105"/>
      <c r="AD423" s="105"/>
      <c r="AE423" s="105"/>
      <c r="AR423" s="12" t="s">
        <v>135</v>
      </c>
      <c r="AT423" s="12" t="s">
        <v>131</v>
      </c>
      <c r="AU423" s="12" t="s">
        <v>74</v>
      </c>
      <c r="AY423" s="13" t="s">
        <v>130</v>
      </c>
      <c r="BE423" s="14">
        <f>IF(N423="základní",J423,0)</f>
        <v>0</v>
      </c>
      <c r="BF423" s="14">
        <f>IF(N423="snížená",J423,0)</f>
        <v>0</v>
      </c>
      <c r="BG423" s="14">
        <f>IF(N423="zákl. přenesená",J423,0)</f>
        <v>0</v>
      </c>
      <c r="BH423" s="14">
        <f>IF(N423="sníž. přenesená",J423,0)</f>
        <v>0</v>
      </c>
      <c r="BI423" s="14">
        <f>IF(N423="nulová",J423,0)</f>
        <v>0</v>
      </c>
      <c r="BJ423" s="13" t="s">
        <v>74</v>
      </c>
      <c r="BK423" s="14">
        <f>ROUND(I423*H423,2)</f>
        <v>0</v>
      </c>
      <c r="BL423" s="13" t="s">
        <v>135</v>
      </c>
      <c r="BM423" s="12" t="s">
        <v>646</v>
      </c>
    </row>
    <row r="424" spans="1:65" s="5" customFormat="1" ht="19.5" x14ac:dyDescent="0.2">
      <c r="A424" s="105"/>
      <c r="B424" s="140"/>
      <c r="C424" s="17"/>
      <c r="D424" s="141" t="s">
        <v>148</v>
      </c>
      <c r="E424" s="17"/>
      <c r="F424" s="142" t="s">
        <v>718</v>
      </c>
      <c r="G424" s="17"/>
      <c r="H424" s="17"/>
      <c r="I424" s="17"/>
      <c r="J424" s="17"/>
      <c r="K424" s="143"/>
      <c r="L424" s="17"/>
      <c r="M424" s="15"/>
      <c r="N424" s="16"/>
      <c r="O424" s="17"/>
      <c r="P424" s="17"/>
      <c r="Q424" s="17"/>
      <c r="R424" s="17"/>
      <c r="S424" s="17"/>
      <c r="T424" s="18"/>
      <c r="U424" s="105"/>
      <c r="V424" s="17"/>
      <c r="W424" s="17"/>
      <c r="X424" s="17"/>
      <c r="Y424" s="17"/>
      <c r="Z424" s="17"/>
      <c r="AA424" s="17"/>
      <c r="AB424" s="17"/>
      <c r="AC424" s="105"/>
      <c r="AD424" s="105"/>
      <c r="AE424" s="105"/>
      <c r="AT424" s="13" t="s">
        <v>148</v>
      </c>
      <c r="AU424" s="13" t="s">
        <v>74</v>
      </c>
    </row>
    <row r="425" spans="1:65" s="5" customFormat="1" ht="16.5" customHeight="1" x14ac:dyDescent="0.2">
      <c r="A425" s="105"/>
      <c r="B425" s="140"/>
      <c r="C425" s="33" t="s">
        <v>650</v>
      </c>
      <c r="D425" s="33" t="s">
        <v>131</v>
      </c>
      <c r="E425" s="34" t="s">
        <v>735</v>
      </c>
      <c r="F425" s="7" t="s">
        <v>736</v>
      </c>
      <c r="G425" s="35" t="s">
        <v>134</v>
      </c>
      <c r="H425" s="36">
        <v>2</v>
      </c>
      <c r="I425" s="1"/>
      <c r="J425" s="6">
        <f>ROUND(I425*H425,2)</f>
        <v>0</v>
      </c>
      <c r="K425" s="151" t="s">
        <v>1</v>
      </c>
      <c r="L425" s="17"/>
      <c r="M425" s="8" t="s">
        <v>1</v>
      </c>
      <c r="N425" s="9" t="s">
        <v>33</v>
      </c>
      <c r="O425" s="10">
        <v>0</v>
      </c>
      <c r="P425" s="10">
        <f>O425*H425</f>
        <v>0</v>
      </c>
      <c r="Q425" s="10">
        <v>0</v>
      </c>
      <c r="R425" s="10">
        <f>Q425*H425</f>
        <v>0</v>
      </c>
      <c r="S425" s="10">
        <v>0</v>
      </c>
      <c r="T425" s="11">
        <f>S425*H425</f>
        <v>0</v>
      </c>
      <c r="U425" s="105"/>
      <c r="V425" s="17"/>
      <c r="W425" s="17"/>
      <c r="X425" s="17"/>
      <c r="Y425" s="17"/>
      <c r="Z425" s="17"/>
      <c r="AA425" s="17"/>
      <c r="AB425" s="17"/>
      <c r="AC425" s="105"/>
      <c r="AD425" s="105"/>
      <c r="AE425" s="105"/>
      <c r="AR425" s="12" t="s">
        <v>135</v>
      </c>
      <c r="AT425" s="12" t="s">
        <v>131</v>
      </c>
      <c r="AU425" s="12" t="s">
        <v>74</v>
      </c>
      <c r="AY425" s="13" t="s">
        <v>130</v>
      </c>
      <c r="BE425" s="14">
        <f>IF(N425="základní",J425,0)</f>
        <v>0</v>
      </c>
      <c r="BF425" s="14">
        <f>IF(N425="snížená",J425,0)</f>
        <v>0</v>
      </c>
      <c r="BG425" s="14">
        <f>IF(N425="zákl. přenesená",J425,0)</f>
        <v>0</v>
      </c>
      <c r="BH425" s="14">
        <f>IF(N425="sníž. přenesená",J425,0)</f>
        <v>0</v>
      </c>
      <c r="BI425" s="14">
        <f>IF(N425="nulová",J425,0)</f>
        <v>0</v>
      </c>
      <c r="BJ425" s="13" t="s">
        <v>74</v>
      </c>
      <c r="BK425" s="14">
        <f>ROUND(I425*H425,2)</f>
        <v>0</v>
      </c>
      <c r="BL425" s="13" t="s">
        <v>135</v>
      </c>
      <c r="BM425" s="12" t="s">
        <v>649</v>
      </c>
    </row>
    <row r="426" spans="1:65" s="5" customFormat="1" ht="19.5" x14ac:dyDescent="0.2">
      <c r="A426" s="105"/>
      <c r="B426" s="140"/>
      <c r="C426" s="17"/>
      <c r="D426" s="141" t="s">
        <v>148</v>
      </c>
      <c r="E426" s="17"/>
      <c r="F426" s="142" t="s">
        <v>737</v>
      </c>
      <c r="G426" s="17"/>
      <c r="H426" s="17"/>
      <c r="I426" s="17"/>
      <c r="J426" s="17"/>
      <c r="K426" s="143"/>
      <c r="L426" s="17"/>
      <c r="M426" s="15"/>
      <c r="N426" s="16"/>
      <c r="O426" s="17"/>
      <c r="P426" s="17"/>
      <c r="Q426" s="17"/>
      <c r="R426" s="17"/>
      <c r="S426" s="17"/>
      <c r="T426" s="18"/>
      <c r="U426" s="105"/>
      <c r="V426" s="17"/>
      <c r="W426" s="17"/>
      <c r="X426" s="17"/>
      <c r="Y426" s="17"/>
      <c r="Z426" s="17"/>
      <c r="AA426" s="17"/>
      <c r="AB426" s="17"/>
      <c r="AC426" s="105"/>
      <c r="AD426" s="105"/>
      <c r="AE426" s="105"/>
      <c r="AT426" s="13" t="s">
        <v>148</v>
      </c>
      <c r="AU426" s="13" t="s">
        <v>74</v>
      </c>
    </row>
    <row r="427" spans="1:65" s="5" customFormat="1" ht="16.5" customHeight="1" x14ac:dyDescent="0.2">
      <c r="A427" s="105"/>
      <c r="B427" s="140"/>
      <c r="C427" s="33" t="s">
        <v>477</v>
      </c>
      <c r="D427" s="33" t="s">
        <v>131</v>
      </c>
      <c r="E427" s="34" t="s">
        <v>232</v>
      </c>
      <c r="F427" s="7" t="s">
        <v>722</v>
      </c>
      <c r="G427" s="35" t="s">
        <v>723</v>
      </c>
      <c r="H427" s="36">
        <v>2.7E-2</v>
      </c>
      <c r="I427" s="1"/>
      <c r="J427" s="6">
        <f>ROUND(I427*H427,2)</f>
        <v>0</v>
      </c>
      <c r="K427" s="151" t="s">
        <v>1</v>
      </c>
      <c r="L427" s="17"/>
      <c r="M427" s="8" t="s">
        <v>1</v>
      </c>
      <c r="N427" s="9" t="s">
        <v>33</v>
      </c>
      <c r="O427" s="10">
        <v>0</v>
      </c>
      <c r="P427" s="10">
        <f>O427*H427</f>
        <v>0</v>
      </c>
      <c r="Q427" s="10">
        <v>0</v>
      </c>
      <c r="R427" s="10">
        <f>Q427*H427</f>
        <v>0</v>
      </c>
      <c r="S427" s="10">
        <v>0</v>
      </c>
      <c r="T427" s="11">
        <f>S427*H427</f>
        <v>0</v>
      </c>
      <c r="U427" s="105"/>
      <c r="V427" s="17"/>
      <c r="W427" s="17"/>
      <c r="X427" s="17"/>
      <c r="Y427" s="17"/>
      <c r="Z427" s="17"/>
      <c r="AA427" s="17"/>
      <c r="AB427" s="17"/>
      <c r="AC427" s="105"/>
      <c r="AD427" s="105"/>
      <c r="AE427" s="105"/>
      <c r="AR427" s="12" t="s">
        <v>135</v>
      </c>
      <c r="AT427" s="12" t="s">
        <v>131</v>
      </c>
      <c r="AU427" s="12" t="s">
        <v>74</v>
      </c>
      <c r="AY427" s="13" t="s">
        <v>130</v>
      </c>
      <c r="BE427" s="14">
        <f>IF(N427="základní",J427,0)</f>
        <v>0</v>
      </c>
      <c r="BF427" s="14">
        <f>IF(N427="snížená",J427,0)</f>
        <v>0</v>
      </c>
      <c r="BG427" s="14">
        <f>IF(N427="zákl. přenesená",J427,0)</f>
        <v>0</v>
      </c>
      <c r="BH427" s="14">
        <f>IF(N427="sníž. přenesená",J427,0)</f>
        <v>0</v>
      </c>
      <c r="BI427" s="14">
        <f>IF(N427="nulová",J427,0)</f>
        <v>0</v>
      </c>
      <c r="BJ427" s="13" t="s">
        <v>74</v>
      </c>
      <c r="BK427" s="14">
        <f>ROUND(I427*H427,2)</f>
        <v>0</v>
      </c>
      <c r="BL427" s="13" t="s">
        <v>135</v>
      </c>
      <c r="BM427" s="12" t="s">
        <v>653</v>
      </c>
    </row>
    <row r="428" spans="1:65" s="5" customFormat="1" ht="16.5" customHeight="1" x14ac:dyDescent="0.2">
      <c r="A428" s="105"/>
      <c r="B428" s="140"/>
      <c r="C428" s="33" t="s">
        <v>657</v>
      </c>
      <c r="D428" s="33" t="s">
        <v>131</v>
      </c>
      <c r="E428" s="34" t="s">
        <v>246</v>
      </c>
      <c r="F428" s="7" t="s">
        <v>724</v>
      </c>
      <c r="G428" s="35" t="s">
        <v>723</v>
      </c>
      <c r="H428" s="36">
        <v>2.7E-2</v>
      </c>
      <c r="I428" s="1"/>
      <c r="J428" s="6">
        <f>ROUND(I428*H428,2)</f>
        <v>0</v>
      </c>
      <c r="K428" s="151" t="s">
        <v>1</v>
      </c>
      <c r="L428" s="17"/>
      <c r="M428" s="8" t="s">
        <v>1</v>
      </c>
      <c r="N428" s="9" t="s">
        <v>33</v>
      </c>
      <c r="O428" s="10">
        <v>0</v>
      </c>
      <c r="P428" s="10">
        <f>O428*H428</f>
        <v>0</v>
      </c>
      <c r="Q428" s="10">
        <v>0</v>
      </c>
      <c r="R428" s="10">
        <f>Q428*H428</f>
        <v>0</v>
      </c>
      <c r="S428" s="10">
        <v>0</v>
      </c>
      <c r="T428" s="11">
        <f>S428*H428</f>
        <v>0</v>
      </c>
      <c r="U428" s="105"/>
      <c r="V428" s="17"/>
      <c r="W428" s="17"/>
      <c r="X428" s="17"/>
      <c r="Y428" s="17"/>
      <c r="Z428" s="17"/>
      <c r="AA428" s="17"/>
      <c r="AB428" s="17"/>
      <c r="AC428" s="105"/>
      <c r="AD428" s="105"/>
      <c r="AE428" s="105"/>
      <c r="AR428" s="12" t="s">
        <v>135</v>
      </c>
      <c r="AT428" s="12" t="s">
        <v>131</v>
      </c>
      <c r="AU428" s="12" t="s">
        <v>74</v>
      </c>
      <c r="AY428" s="13" t="s">
        <v>130</v>
      </c>
      <c r="BE428" s="14">
        <f>IF(N428="základní",J428,0)</f>
        <v>0</v>
      </c>
      <c r="BF428" s="14">
        <f>IF(N428="snížená",J428,0)</f>
        <v>0</v>
      </c>
      <c r="BG428" s="14">
        <f>IF(N428="zákl. přenesená",J428,0)</f>
        <v>0</v>
      </c>
      <c r="BH428" s="14">
        <f>IF(N428="sníž. přenesená",J428,0)</f>
        <v>0</v>
      </c>
      <c r="BI428" s="14">
        <f>IF(N428="nulová",J428,0)</f>
        <v>0</v>
      </c>
      <c r="BJ428" s="13" t="s">
        <v>74</v>
      </c>
      <c r="BK428" s="14">
        <f>ROUND(I428*H428,2)</f>
        <v>0</v>
      </c>
      <c r="BL428" s="13" t="s">
        <v>135</v>
      </c>
      <c r="BM428" s="12" t="s">
        <v>656</v>
      </c>
    </row>
    <row r="429" spans="1:65" s="5" customFormat="1" ht="16.5" customHeight="1" x14ac:dyDescent="0.2">
      <c r="A429" s="105"/>
      <c r="B429" s="140"/>
      <c r="C429" s="33" t="s">
        <v>479</v>
      </c>
      <c r="D429" s="33" t="s">
        <v>131</v>
      </c>
      <c r="E429" s="34" t="s">
        <v>770</v>
      </c>
      <c r="F429" s="7" t="s">
        <v>771</v>
      </c>
      <c r="G429" s="35" t="s">
        <v>134</v>
      </c>
      <c r="H429" s="36">
        <v>2</v>
      </c>
      <c r="I429" s="1"/>
      <c r="J429" s="6">
        <f>ROUND(I429*H429,2)</f>
        <v>0</v>
      </c>
      <c r="K429" s="151" t="s">
        <v>1</v>
      </c>
      <c r="L429" s="17"/>
      <c r="M429" s="8" t="s">
        <v>1</v>
      </c>
      <c r="N429" s="9" t="s">
        <v>33</v>
      </c>
      <c r="O429" s="10">
        <v>0</v>
      </c>
      <c r="P429" s="10">
        <f>O429*H429</f>
        <v>0</v>
      </c>
      <c r="Q429" s="10">
        <v>0</v>
      </c>
      <c r="R429" s="10">
        <f>Q429*H429</f>
        <v>0</v>
      </c>
      <c r="S429" s="10">
        <v>0</v>
      </c>
      <c r="T429" s="11">
        <f>S429*H429</f>
        <v>0</v>
      </c>
      <c r="U429" s="105"/>
      <c r="V429" s="17"/>
      <c r="W429" s="17"/>
      <c r="X429" s="17"/>
      <c r="Y429" s="17"/>
      <c r="Z429" s="17"/>
      <c r="AA429" s="17"/>
      <c r="AB429" s="17"/>
      <c r="AC429" s="105"/>
      <c r="AD429" s="105"/>
      <c r="AE429" s="105"/>
      <c r="AR429" s="12" t="s">
        <v>135</v>
      </c>
      <c r="AT429" s="12" t="s">
        <v>131</v>
      </c>
      <c r="AU429" s="12" t="s">
        <v>74</v>
      </c>
      <c r="AY429" s="13" t="s">
        <v>130</v>
      </c>
      <c r="BE429" s="14">
        <f>IF(N429="základní",J429,0)</f>
        <v>0</v>
      </c>
      <c r="BF429" s="14">
        <f>IF(N429="snížená",J429,0)</f>
        <v>0</v>
      </c>
      <c r="BG429" s="14">
        <f>IF(N429="zákl. přenesená",J429,0)</f>
        <v>0</v>
      </c>
      <c r="BH429" s="14">
        <f>IF(N429="sníž. přenesená",J429,0)</f>
        <v>0</v>
      </c>
      <c r="BI429" s="14">
        <f>IF(N429="nulová",J429,0)</f>
        <v>0</v>
      </c>
      <c r="BJ429" s="13" t="s">
        <v>74</v>
      </c>
      <c r="BK429" s="14">
        <f>ROUND(I429*H429,2)</f>
        <v>0</v>
      </c>
      <c r="BL429" s="13" t="s">
        <v>135</v>
      </c>
      <c r="BM429" s="12" t="s">
        <v>658</v>
      </c>
    </row>
    <row r="430" spans="1:65" s="5" customFormat="1" ht="39" x14ac:dyDescent="0.2">
      <c r="A430" s="105"/>
      <c r="B430" s="140"/>
      <c r="C430" s="17"/>
      <c r="D430" s="141" t="s">
        <v>148</v>
      </c>
      <c r="E430" s="17"/>
      <c r="F430" s="142" t="s">
        <v>755</v>
      </c>
      <c r="G430" s="17"/>
      <c r="H430" s="17"/>
      <c r="I430" s="17"/>
      <c r="J430" s="17"/>
      <c r="K430" s="143"/>
      <c r="L430" s="17"/>
      <c r="M430" s="15"/>
      <c r="N430" s="16"/>
      <c r="O430" s="17"/>
      <c r="P430" s="17"/>
      <c r="Q430" s="17"/>
      <c r="R430" s="17"/>
      <c r="S430" s="17"/>
      <c r="T430" s="18"/>
      <c r="U430" s="105"/>
      <c r="V430" s="17"/>
      <c r="W430" s="17"/>
      <c r="X430" s="17"/>
      <c r="Y430" s="17"/>
      <c r="Z430" s="17"/>
      <c r="AA430" s="17"/>
      <c r="AB430" s="17"/>
      <c r="AC430" s="105"/>
      <c r="AD430" s="105"/>
      <c r="AE430" s="105"/>
      <c r="AT430" s="13" t="s">
        <v>148</v>
      </c>
      <c r="AU430" s="13" t="s">
        <v>74</v>
      </c>
    </row>
    <row r="431" spans="1:65" s="5" customFormat="1" ht="16.5" customHeight="1" x14ac:dyDescent="0.2">
      <c r="A431" s="105"/>
      <c r="B431" s="140"/>
      <c r="C431" s="33" t="s">
        <v>663</v>
      </c>
      <c r="D431" s="33" t="s">
        <v>131</v>
      </c>
      <c r="E431" s="34" t="s">
        <v>772</v>
      </c>
      <c r="F431" s="7" t="s">
        <v>773</v>
      </c>
      <c r="G431" s="35" t="s">
        <v>134</v>
      </c>
      <c r="H431" s="36">
        <v>2</v>
      </c>
      <c r="I431" s="1"/>
      <c r="J431" s="6">
        <f>ROUND(I431*H431,2)</f>
        <v>0</v>
      </c>
      <c r="K431" s="151" t="s">
        <v>1</v>
      </c>
      <c r="L431" s="17"/>
      <c r="M431" s="8" t="s">
        <v>1</v>
      </c>
      <c r="N431" s="9" t="s">
        <v>33</v>
      </c>
      <c r="O431" s="10">
        <v>0</v>
      </c>
      <c r="P431" s="10">
        <f>O431*H431</f>
        <v>0</v>
      </c>
      <c r="Q431" s="10">
        <v>0</v>
      </c>
      <c r="R431" s="10">
        <f>Q431*H431</f>
        <v>0</v>
      </c>
      <c r="S431" s="10">
        <v>0</v>
      </c>
      <c r="T431" s="11">
        <f>S431*H431</f>
        <v>0</v>
      </c>
      <c r="U431" s="105"/>
      <c r="V431" s="17"/>
      <c r="W431" s="17"/>
      <c r="X431" s="17"/>
      <c r="Y431" s="17"/>
      <c r="Z431" s="17"/>
      <c r="AA431" s="17"/>
      <c r="AB431" s="17"/>
      <c r="AC431" s="105"/>
      <c r="AD431" s="105"/>
      <c r="AE431" s="105"/>
      <c r="AR431" s="12" t="s">
        <v>135</v>
      </c>
      <c r="AT431" s="12" t="s">
        <v>131</v>
      </c>
      <c r="AU431" s="12" t="s">
        <v>74</v>
      </c>
      <c r="AY431" s="13" t="s">
        <v>130</v>
      </c>
      <c r="BE431" s="14">
        <f>IF(N431="základní",J431,0)</f>
        <v>0</v>
      </c>
      <c r="BF431" s="14">
        <f>IF(N431="snížená",J431,0)</f>
        <v>0</v>
      </c>
      <c r="BG431" s="14">
        <f>IF(N431="zákl. přenesená",J431,0)</f>
        <v>0</v>
      </c>
      <c r="BH431" s="14">
        <f>IF(N431="sníž. přenesená",J431,0)</f>
        <v>0</v>
      </c>
      <c r="BI431" s="14">
        <f>IF(N431="nulová",J431,0)</f>
        <v>0</v>
      </c>
      <c r="BJ431" s="13" t="s">
        <v>74</v>
      </c>
      <c r="BK431" s="14">
        <f>ROUND(I431*H431,2)</f>
        <v>0</v>
      </c>
      <c r="BL431" s="13" t="s">
        <v>135</v>
      </c>
      <c r="BM431" s="12" t="s">
        <v>660</v>
      </c>
    </row>
    <row r="432" spans="1:65" s="5" customFormat="1" ht="16.5" customHeight="1" x14ac:dyDescent="0.2">
      <c r="A432" s="105"/>
      <c r="B432" s="140"/>
      <c r="C432" s="33" t="s">
        <v>481</v>
      </c>
      <c r="D432" s="33" t="s">
        <v>131</v>
      </c>
      <c r="E432" s="34" t="s">
        <v>774</v>
      </c>
      <c r="F432" s="7" t="s">
        <v>775</v>
      </c>
      <c r="G432" s="35" t="s">
        <v>134</v>
      </c>
      <c r="H432" s="36">
        <v>16.826000000000001</v>
      </c>
      <c r="I432" s="1"/>
      <c r="J432" s="6">
        <f>ROUND(I432*H432,2)</f>
        <v>0</v>
      </c>
      <c r="K432" s="151" t="s">
        <v>1</v>
      </c>
      <c r="L432" s="17"/>
      <c r="M432" s="8" t="s">
        <v>1</v>
      </c>
      <c r="N432" s="9" t="s">
        <v>33</v>
      </c>
      <c r="O432" s="10">
        <v>0</v>
      </c>
      <c r="P432" s="10">
        <f>O432*H432</f>
        <v>0</v>
      </c>
      <c r="Q432" s="10">
        <v>0</v>
      </c>
      <c r="R432" s="10">
        <f>Q432*H432</f>
        <v>0</v>
      </c>
      <c r="S432" s="10">
        <v>0</v>
      </c>
      <c r="T432" s="11">
        <f>S432*H432</f>
        <v>0</v>
      </c>
      <c r="U432" s="105"/>
      <c r="V432" s="17"/>
      <c r="W432" s="17"/>
      <c r="X432" s="17"/>
      <c r="Y432" s="17"/>
      <c r="Z432" s="17"/>
      <c r="AA432" s="17"/>
      <c r="AB432" s="17"/>
      <c r="AC432" s="105"/>
      <c r="AD432" s="105"/>
      <c r="AE432" s="105"/>
      <c r="AR432" s="12" t="s">
        <v>135</v>
      </c>
      <c r="AT432" s="12" t="s">
        <v>131</v>
      </c>
      <c r="AU432" s="12" t="s">
        <v>74</v>
      </c>
      <c r="AY432" s="13" t="s">
        <v>130</v>
      </c>
      <c r="BE432" s="14">
        <f>IF(N432="základní",J432,0)</f>
        <v>0</v>
      </c>
      <c r="BF432" s="14">
        <f>IF(N432="snížená",J432,0)</f>
        <v>0</v>
      </c>
      <c r="BG432" s="14">
        <f>IF(N432="zákl. přenesená",J432,0)</f>
        <v>0</v>
      </c>
      <c r="BH432" s="14">
        <f>IF(N432="sníž. přenesená",J432,0)</f>
        <v>0</v>
      </c>
      <c r="BI432" s="14">
        <f>IF(N432="nulová",J432,0)</f>
        <v>0</v>
      </c>
      <c r="BJ432" s="13" t="s">
        <v>74</v>
      </c>
      <c r="BK432" s="14">
        <f>ROUND(I432*H432,2)</f>
        <v>0</v>
      </c>
      <c r="BL432" s="13" t="s">
        <v>135</v>
      </c>
      <c r="BM432" s="12" t="s">
        <v>664</v>
      </c>
    </row>
    <row r="433" spans="1:65" s="5" customFormat="1" ht="16.5" customHeight="1" x14ac:dyDescent="0.2">
      <c r="A433" s="105"/>
      <c r="B433" s="140"/>
      <c r="C433" s="33" t="s">
        <v>666</v>
      </c>
      <c r="D433" s="33" t="s">
        <v>131</v>
      </c>
      <c r="E433" s="34" t="s">
        <v>776</v>
      </c>
      <c r="F433" s="7" t="s">
        <v>777</v>
      </c>
      <c r="G433" s="35" t="s">
        <v>134</v>
      </c>
      <c r="H433" s="36">
        <v>16.826000000000001</v>
      </c>
      <c r="I433" s="1"/>
      <c r="J433" s="6">
        <f>ROUND(I433*H433,2)</f>
        <v>0</v>
      </c>
      <c r="K433" s="151" t="s">
        <v>1</v>
      </c>
      <c r="L433" s="17"/>
      <c r="M433" s="8" t="s">
        <v>1</v>
      </c>
      <c r="N433" s="9" t="s">
        <v>33</v>
      </c>
      <c r="O433" s="10">
        <v>0</v>
      </c>
      <c r="P433" s="10">
        <f>O433*H433</f>
        <v>0</v>
      </c>
      <c r="Q433" s="10">
        <v>0</v>
      </c>
      <c r="R433" s="10">
        <f>Q433*H433</f>
        <v>0</v>
      </c>
      <c r="S433" s="10">
        <v>0</v>
      </c>
      <c r="T433" s="11">
        <f>S433*H433</f>
        <v>0</v>
      </c>
      <c r="U433" s="105"/>
      <c r="V433" s="17"/>
      <c r="W433" s="17"/>
      <c r="X433" s="17"/>
      <c r="Y433" s="17"/>
      <c r="Z433" s="17"/>
      <c r="AA433" s="17"/>
      <c r="AB433" s="17"/>
      <c r="AC433" s="105"/>
      <c r="AD433" s="105"/>
      <c r="AE433" s="105"/>
      <c r="AR433" s="12" t="s">
        <v>135</v>
      </c>
      <c r="AT433" s="12" t="s">
        <v>131</v>
      </c>
      <c r="AU433" s="12" t="s">
        <v>74</v>
      </c>
      <c r="AY433" s="13" t="s">
        <v>130</v>
      </c>
      <c r="BE433" s="14">
        <f>IF(N433="základní",J433,0)</f>
        <v>0</v>
      </c>
      <c r="BF433" s="14">
        <f>IF(N433="snížená",J433,0)</f>
        <v>0</v>
      </c>
      <c r="BG433" s="14">
        <f>IF(N433="zákl. přenesená",J433,0)</f>
        <v>0</v>
      </c>
      <c r="BH433" s="14">
        <f>IF(N433="sníž. přenesená",J433,0)</f>
        <v>0</v>
      </c>
      <c r="BI433" s="14">
        <f>IF(N433="nulová",J433,0)</f>
        <v>0</v>
      </c>
      <c r="BJ433" s="13" t="s">
        <v>74</v>
      </c>
      <c r="BK433" s="14">
        <f>ROUND(I433*H433,2)</f>
        <v>0</v>
      </c>
      <c r="BL433" s="13" t="s">
        <v>135</v>
      </c>
      <c r="BM433" s="12" t="s">
        <v>665</v>
      </c>
    </row>
    <row r="434" spans="1:65" s="5" customFormat="1" ht="29.25" x14ac:dyDescent="0.2">
      <c r="A434" s="105"/>
      <c r="B434" s="140"/>
      <c r="C434" s="17"/>
      <c r="D434" s="141" t="s">
        <v>148</v>
      </c>
      <c r="E434" s="17"/>
      <c r="F434" s="142" t="s">
        <v>778</v>
      </c>
      <c r="G434" s="17"/>
      <c r="H434" s="17"/>
      <c r="I434" s="17"/>
      <c r="J434" s="17"/>
      <c r="K434" s="143"/>
      <c r="L434" s="17"/>
      <c r="M434" s="15"/>
      <c r="N434" s="16"/>
      <c r="O434" s="17"/>
      <c r="P434" s="17"/>
      <c r="Q434" s="17"/>
      <c r="R434" s="17"/>
      <c r="S434" s="17"/>
      <c r="T434" s="18"/>
      <c r="U434" s="105"/>
      <c r="V434" s="17"/>
      <c r="W434" s="17"/>
      <c r="X434" s="17"/>
      <c r="Y434" s="17"/>
      <c r="Z434" s="17"/>
      <c r="AA434" s="17"/>
      <c r="AB434" s="17"/>
      <c r="AC434" s="105"/>
      <c r="AD434" s="105"/>
      <c r="AE434" s="105"/>
      <c r="AT434" s="13" t="s">
        <v>148</v>
      </c>
      <c r="AU434" s="13" t="s">
        <v>74</v>
      </c>
    </row>
    <row r="435" spans="1:65" s="20" customFormat="1" ht="25.9" customHeight="1" x14ac:dyDescent="0.2">
      <c r="B435" s="172"/>
      <c r="C435" s="23"/>
      <c r="D435" s="173" t="s">
        <v>67</v>
      </c>
      <c r="E435" s="174" t="s">
        <v>256</v>
      </c>
      <c r="F435" s="174" t="s">
        <v>799</v>
      </c>
      <c r="G435" s="23"/>
      <c r="H435" s="23"/>
      <c r="I435" s="23"/>
      <c r="J435" s="175">
        <f>BK435</f>
        <v>0</v>
      </c>
      <c r="K435" s="176"/>
      <c r="L435" s="23"/>
      <c r="M435" s="22"/>
      <c r="N435" s="23"/>
      <c r="O435" s="23"/>
      <c r="P435" s="24">
        <f>SUM(P438:P458)</f>
        <v>0</v>
      </c>
      <c r="Q435" s="23"/>
      <c r="R435" s="24">
        <f>SUM(R438:R458)</f>
        <v>0</v>
      </c>
      <c r="S435" s="23"/>
      <c r="T435" s="25">
        <f>SUM(T438:T458)</f>
        <v>0</v>
      </c>
      <c r="V435" s="23"/>
      <c r="W435" s="23"/>
      <c r="X435" s="23"/>
      <c r="Y435" s="23"/>
      <c r="Z435" s="23"/>
      <c r="AA435" s="23"/>
      <c r="AB435" s="23"/>
      <c r="AR435" s="26" t="s">
        <v>74</v>
      </c>
      <c r="AT435" s="27" t="s">
        <v>67</v>
      </c>
      <c r="AU435" s="27" t="s">
        <v>68</v>
      </c>
      <c r="AY435" s="26" t="s">
        <v>130</v>
      </c>
      <c r="BK435" s="28">
        <f>SUM(BK438:BK458)</f>
        <v>0</v>
      </c>
    </row>
    <row r="436" spans="1:65" s="5" customFormat="1" x14ac:dyDescent="0.2">
      <c r="B436" s="177"/>
      <c r="C436" s="16"/>
      <c r="D436" s="178" t="s">
        <v>340</v>
      </c>
      <c r="E436" s="16"/>
      <c r="F436" s="200" t="s">
        <v>1260</v>
      </c>
      <c r="G436" s="16"/>
      <c r="H436" s="180">
        <f>(8.25*3.74)-(4*1.02*2.19)</f>
        <v>21.919800000000002</v>
      </c>
      <c r="I436" s="16"/>
      <c r="J436" s="16"/>
      <c r="K436" s="181"/>
      <c r="L436" s="52"/>
      <c r="M436" s="52"/>
      <c r="N436" s="52"/>
      <c r="O436" s="52"/>
      <c r="P436" s="52"/>
      <c r="Q436" s="52"/>
      <c r="R436" s="52"/>
      <c r="S436" s="128"/>
      <c r="V436" s="16"/>
      <c r="W436" s="16"/>
      <c r="X436" s="16"/>
      <c r="Y436" s="16"/>
      <c r="Z436" s="16"/>
      <c r="AA436" s="16"/>
      <c r="AB436" s="16"/>
      <c r="AZ436" s="126" t="s">
        <v>148</v>
      </c>
      <c r="BA436" s="126" t="s">
        <v>74</v>
      </c>
    </row>
    <row r="437" spans="1:65" s="5" customFormat="1" ht="10.15" customHeight="1" x14ac:dyDescent="0.2">
      <c r="B437" s="177"/>
      <c r="C437" s="16"/>
      <c r="D437" s="178" t="s">
        <v>340</v>
      </c>
      <c r="E437" s="16"/>
      <c r="F437" s="200" t="s">
        <v>1261</v>
      </c>
      <c r="G437" s="16"/>
      <c r="H437" s="180">
        <f>(7.99*1.99)+(1.47*0.26)</f>
        <v>16.282299999999999</v>
      </c>
      <c r="I437" s="16"/>
      <c r="J437" s="16"/>
      <c r="K437" s="181"/>
      <c r="L437" s="52"/>
      <c r="M437" s="52"/>
      <c r="N437" s="52"/>
      <c r="O437" s="52"/>
      <c r="P437" s="52"/>
      <c r="Q437" s="52"/>
      <c r="R437" s="52"/>
      <c r="S437" s="128"/>
      <c r="V437" s="16"/>
      <c r="W437" s="16"/>
      <c r="X437" s="16"/>
      <c r="Y437" s="16"/>
      <c r="Z437" s="16"/>
      <c r="AA437" s="16"/>
      <c r="AB437" s="16"/>
      <c r="AZ437" s="126" t="s">
        <v>148</v>
      </c>
      <c r="BA437" s="126" t="s">
        <v>74</v>
      </c>
    </row>
    <row r="438" spans="1:65" s="5" customFormat="1" ht="16.5" customHeight="1" x14ac:dyDescent="0.2">
      <c r="A438" s="105"/>
      <c r="B438" s="140"/>
      <c r="C438" s="33" t="s">
        <v>483</v>
      </c>
      <c r="D438" s="33" t="s">
        <v>131</v>
      </c>
      <c r="E438" s="34" t="s">
        <v>713</v>
      </c>
      <c r="F438" s="7" t="s">
        <v>714</v>
      </c>
      <c r="G438" s="35" t="s">
        <v>134</v>
      </c>
      <c r="H438" s="36">
        <v>38.201999999999998</v>
      </c>
      <c r="I438" s="1"/>
      <c r="J438" s="6">
        <f>ROUND(I438*H438,2)</f>
        <v>0</v>
      </c>
      <c r="K438" s="151" t="s">
        <v>1</v>
      </c>
      <c r="L438" s="17"/>
      <c r="M438" s="8" t="s">
        <v>1</v>
      </c>
      <c r="N438" s="9" t="s">
        <v>33</v>
      </c>
      <c r="O438" s="10">
        <v>0</v>
      </c>
      <c r="P438" s="10">
        <f>O438*H438</f>
        <v>0</v>
      </c>
      <c r="Q438" s="10">
        <v>0</v>
      </c>
      <c r="R438" s="10">
        <f>Q438*H438</f>
        <v>0</v>
      </c>
      <c r="S438" s="10">
        <v>0</v>
      </c>
      <c r="T438" s="11">
        <f>S438*H438</f>
        <v>0</v>
      </c>
      <c r="U438" s="105"/>
      <c r="V438" s="17"/>
      <c r="W438" s="17"/>
      <c r="X438" s="17"/>
      <c r="Y438" s="17"/>
      <c r="Z438" s="17"/>
      <c r="AA438" s="17"/>
      <c r="AB438" s="17"/>
      <c r="AC438" s="105"/>
      <c r="AD438" s="105"/>
      <c r="AE438" s="105"/>
      <c r="AR438" s="12" t="s">
        <v>135</v>
      </c>
      <c r="AT438" s="12" t="s">
        <v>131</v>
      </c>
      <c r="AU438" s="12" t="s">
        <v>74</v>
      </c>
      <c r="AY438" s="13" t="s">
        <v>130</v>
      </c>
      <c r="BE438" s="14">
        <f>IF(N438="základní",J438,0)</f>
        <v>0</v>
      </c>
      <c r="BF438" s="14">
        <f>IF(N438="snížená",J438,0)</f>
        <v>0</v>
      </c>
      <c r="BG438" s="14">
        <f>IF(N438="zákl. přenesená",J438,0)</f>
        <v>0</v>
      </c>
      <c r="BH438" s="14">
        <f>IF(N438="sníž. přenesená",J438,0)</f>
        <v>0</v>
      </c>
      <c r="BI438" s="14">
        <f>IF(N438="nulová",J438,0)</f>
        <v>0</v>
      </c>
      <c r="BJ438" s="13" t="s">
        <v>74</v>
      </c>
      <c r="BK438" s="14">
        <f>ROUND(I438*H438,2)</f>
        <v>0</v>
      </c>
      <c r="BL438" s="13" t="s">
        <v>135</v>
      </c>
      <c r="BM438" s="12" t="s">
        <v>667</v>
      </c>
    </row>
    <row r="439" spans="1:65" s="5" customFormat="1" ht="16.5" customHeight="1" x14ac:dyDescent="0.2">
      <c r="A439" s="105"/>
      <c r="B439" s="140"/>
      <c r="C439" s="33" t="s">
        <v>672</v>
      </c>
      <c r="D439" s="33" t="s">
        <v>131</v>
      </c>
      <c r="E439" s="34" t="s">
        <v>716</v>
      </c>
      <c r="F439" s="7" t="s">
        <v>717</v>
      </c>
      <c r="G439" s="35" t="s">
        <v>134</v>
      </c>
      <c r="H439" s="36">
        <v>7.64</v>
      </c>
      <c r="I439" s="1"/>
      <c r="J439" s="6">
        <f>ROUND(I439*H439,2)</f>
        <v>0</v>
      </c>
      <c r="K439" s="151" t="s">
        <v>1</v>
      </c>
      <c r="L439" s="17"/>
      <c r="M439" s="8" t="s">
        <v>1</v>
      </c>
      <c r="N439" s="9" t="s">
        <v>33</v>
      </c>
      <c r="O439" s="10">
        <v>0</v>
      </c>
      <c r="P439" s="10">
        <f>O439*H439</f>
        <v>0</v>
      </c>
      <c r="Q439" s="10">
        <v>0</v>
      </c>
      <c r="R439" s="10">
        <f>Q439*H439</f>
        <v>0</v>
      </c>
      <c r="S439" s="10">
        <v>0</v>
      </c>
      <c r="T439" s="11">
        <f>S439*H439</f>
        <v>0</v>
      </c>
      <c r="U439" s="105"/>
      <c r="V439" s="17"/>
      <c r="W439" s="17"/>
      <c r="X439" s="17"/>
      <c r="Y439" s="17"/>
      <c r="Z439" s="17"/>
      <c r="AA439" s="17"/>
      <c r="AB439" s="17"/>
      <c r="AC439" s="105"/>
      <c r="AD439" s="105"/>
      <c r="AE439" s="105"/>
      <c r="AR439" s="12" t="s">
        <v>135</v>
      </c>
      <c r="AT439" s="12" t="s">
        <v>131</v>
      </c>
      <c r="AU439" s="12" t="s">
        <v>74</v>
      </c>
      <c r="AY439" s="13" t="s">
        <v>130</v>
      </c>
      <c r="BE439" s="14">
        <f>IF(N439="základní",J439,0)</f>
        <v>0</v>
      </c>
      <c r="BF439" s="14">
        <f>IF(N439="snížená",J439,0)</f>
        <v>0</v>
      </c>
      <c r="BG439" s="14">
        <f>IF(N439="zákl. přenesená",J439,0)</f>
        <v>0</v>
      </c>
      <c r="BH439" s="14">
        <f>IF(N439="sníž. přenesená",J439,0)</f>
        <v>0</v>
      </c>
      <c r="BI439" s="14">
        <f>IF(N439="nulová",J439,0)</f>
        <v>0</v>
      </c>
      <c r="BJ439" s="13" t="s">
        <v>74</v>
      </c>
      <c r="BK439" s="14">
        <f>ROUND(I439*H439,2)</f>
        <v>0</v>
      </c>
      <c r="BL439" s="13" t="s">
        <v>135</v>
      </c>
      <c r="BM439" s="12" t="s">
        <v>670</v>
      </c>
    </row>
    <row r="440" spans="1:65" s="5" customFormat="1" ht="19.5" x14ac:dyDescent="0.2">
      <c r="A440" s="105"/>
      <c r="B440" s="140"/>
      <c r="C440" s="17"/>
      <c r="D440" s="141" t="s">
        <v>148</v>
      </c>
      <c r="E440" s="17"/>
      <c r="F440" s="142" t="s">
        <v>718</v>
      </c>
      <c r="G440" s="17"/>
      <c r="H440" s="17"/>
      <c r="I440" s="17"/>
      <c r="J440" s="17"/>
      <c r="K440" s="143"/>
      <c r="L440" s="17"/>
      <c r="M440" s="15"/>
      <c r="N440" s="16"/>
      <c r="O440" s="17"/>
      <c r="P440" s="17"/>
      <c r="Q440" s="17"/>
      <c r="R440" s="17"/>
      <c r="S440" s="17"/>
      <c r="T440" s="18"/>
      <c r="U440" s="105"/>
      <c r="V440" s="17"/>
      <c r="W440" s="17"/>
      <c r="X440" s="17"/>
      <c r="Y440" s="17"/>
      <c r="Z440" s="17"/>
      <c r="AA440" s="17"/>
      <c r="AB440" s="17"/>
      <c r="AC440" s="105"/>
      <c r="AD440" s="105"/>
      <c r="AE440" s="105"/>
      <c r="AT440" s="13" t="s">
        <v>148</v>
      </c>
      <c r="AU440" s="13" t="s">
        <v>74</v>
      </c>
    </row>
    <row r="441" spans="1:65" s="5" customFormat="1" ht="16.5" customHeight="1" x14ac:dyDescent="0.2">
      <c r="A441" s="105"/>
      <c r="B441" s="140"/>
      <c r="C441" s="33" t="s">
        <v>488</v>
      </c>
      <c r="D441" s="33" t="s">
        <v>131</v>
      </c>
      <c r="E441" s="34" t="s">
        <v>187</v>
      </c>
      <c r="F441" s="7" t="s">
        <v>719</v>
      </c>
      <c r="G441" s="35" t="s">
        <v>134</v>
      </c>
      <c r="H441" s="36">
        <v>6.5759999999999996</v>
      </c>
      <c r="I441" s="1"/>
      <c r="J441" s="6">
        <f>ROUND(I441*H441,2)</f>
        <v>0</v>
      </c>
      <c r="K441" s="151" t="s">
        <v>1</v>
      </c>
      <c r="L441" s="17"/>
      <c r="M441" s="8" t="s">
        <v>1</v>
      </c>
      <c r="N441" s="9" t="s">
        <v>33</v>
      </c>
      <c r="O441" s="10">
        <v>0</v>
      </c>
      <c r="P441" s="10">
        <f>O441*H441</f>
        <v>0</v>
      </c>
      <c r="Q441" s="10">
        <v>0</v>
      </c>
      <c r="R441" s="10">
        <f>Q441*H441</f>
        <v>0</v>
      </c>
      <c r="S441" s="10">
        <v>0</v>
      </c>
      <c r="T441" s="11">
        <f>S441*H441</f>
        <v>0</v>
      </c>
      <c r="U441" s="105"/>
      <c r="V441" s="17"/>
      <c r="W441" s="17"/>
      <c r="X441" s="17"/>
      <c r="Y441" s="17"/>
      <c r="Z441" s="17"/>
      <c r="AA441" s="17"/>
      <c r="AB441" s="17"/>
      <c r="AC441" s="105"/>
      <c r="AD441" s="105"/>
      <c r="AE441" s="105"/>
      <c r="AR441" s="12" t="s">
        <v>135</v>
      </c>
      <c r="AT441" s="12" t="s">
        <v>131</v>
      </c>
      <c r="AU441" s="12" t="s">
        <v>74</v>
      </c>
      <c r="AY441" s="13" t="s">
        <v>130</v>
      </c>
      <c r="BE441" s="14">
        <f>IF(N441="základní",J441,0)</f>
        <v>0</v>
      </c>
      <c r="BF441" s="14">
        <f>IF(N441="snížená",J441,0)</f>
        <v>0</v>
      </c>
      <c r="BG441" s="14">
        <f>IF(N441="zákl. přenesená",J441,0)</f>
        <v>0</v>
      </c>
      <c r="BH441" s="14">
        <f>IF(N441="sníž. přenesená",J441,0)</f>
        <v>0</v>
      </c>
      <c r="BI441" s="14">
        <f>IF(N441="nulová",J441,0)</f>
        <v>0</v>
      </c>
      <c r="BJ441" s="13" t="s">
        <v>74</v>
      </c>
      <c r="BK441" s="14">
        <f>ROUND(I441*H441,2)</f>
        <v>0</v>
      </c>
      <c r="BL441" s="13" t="s">
        <v>135</v>
      </c>
      <c r="BM441" s="12" t="s">
        <v>675</v>
      </c>
    </row>
    <row r="442" spans="1:65" s="5" customFormat="1" ht="19.5" x14ac:dyDescent="0.2">
      <c r="A442" s="105"/>
      <c r="B442" s="140"/>
      <c r="C442" s="17"/>
      <c r="D442" s="141" t="s">
        <v>720</v>
      </c>
      <c r="E442" s="17"/>
      <c r="F442" s="142" t="s">
        <v>1242</v>
      </c>
      <c r="G442" s="17"/>
      <c r="H442" s="17"/>
      <c r="I442" s="17"/>
      <c r="J442" s="17"/>
      <c r="K442" s="143"/>
      <c r="L442" s="17"/>
      <c r="M442" s="15"/>
      <c r="N442" s="16"/>
      <c r="O442" s="17"/>
      <c r="P442" s="17"/>
      <c r="Q442" s="17"/>
      <c r="R442" s="17"/>
      <c r="S442" s="17"/>
      <c r="T442" s="18"/>
      <c r="U442" s="105"/>
      <c r="V442" s="17"/>
      <c r="W442" s="17"/>
      <c r="X442" s="17"/>
      <c r="Y442" s="17"/>
      <c r="Z442" s="17"/>
      <c r="AA442" s="17"/>
      <c r="AB442" s="17"/>
      <c r="AC442" s="105"/>
      <c r="AD442" s="105"/>
      <c r="AE442" s="105"/>
      <c r="AT442" s="13" t="s">
        <v>720</v>
      </c>
      <c r="AU442" s="13" t="s">
        <v>74</v>
      </c>
    </row>
    <row r="443" spans="1:65" s="5" customFormat="1" ht="16.5" customHeight="1" x14ac:dyDescent="0.2">
      <c r="A443" s="105"/>
      <c r="B443" s="140"/>
      <c r="C443" s="33" t="s">
        <v>678</v>
      </c>
      <c r="D443" s="33" t="s">
        <v>131</v>
      </c>
      <c r="E443" s="34" t="s">
        <v>735</v>
      </c>
      <c r="F443" s="7" t="s">
        <v>736</v>
      </c>
      <c r="G443" s="35" t="s">
        <v>134</v>
      </c>
      <c r="H443" s="36">
        <v>2</v>
      </c>
      <c r="I443" s="1"/>
      <c r="J443" s="6">
        <f>ROUND(I443*H443,2)</f>
        <v>0</v>
      </c>
      <c r="K443" s="151" t="s">
        <v>1</v>
      </c>
      <c r="L443" s="17"/>
      <c r="M443" s="8" t="s">
        <v>1</v>
      </c>
      <c r="N443" s="9" t="s">
        <v>33</v>
      </c>
      <c r="O443" s="10">
        <v>0</v>
      </c>
      <c r="P443" s="10">
        <f>O443*H443</f>
        <v>0</v>
      </c>
      <c r="Q443" s="10">
        <v>0</v>
      </c>
      <c r="R443" s="10">
        <f>Q443*H443</f>
        <v>0</v>
      </c>
      <c r="S443" s="10">
        <v>0</v>
      </c>
      <c r="T443" s="11">
        <f>S443*H443</f>
        <v>0</v>
      </c>
      <c r="U443" s="105"/>
      <c r="V443" s="17"/>
      <c r="W443" s="17"/>
      <c r="X443" s="17"/>
      <c r="Y443" s="17"/>
      <c r="Z443" s="17"/>
      <c r="AA443" s="17"/>
      <c r="AB443" s="17"/>
      <c r="AC443" s="105"/>
      <c r="AD443" s="105"/>
      <c r="AE443" s="105"/>
      <c r="AR443" s="12" t="s">
        <v>135</v>
      </c>
      <c r="AT443" s="12" t="s">
        <v>131</v>
      </c>
      <c r="AU443" s="12" t="s">
        <v>74</v>
      </c>
      <c r="AY443" s="13" t="s">
        <v>130</v>
      </c>
      <c r="BE443" s="14">
        <f>IF(N443="základní",J443,0)</f>
        <v>0</v>
      </c>
      <c r="BF443" s="14">
        <f>IF(N443="snížená",J443,0)</f>
        <v>0</v>
      </c>
      <c r="BG443" s="14">
        <f>IF(N443="zákl. přenesená",J443,0)</f>
        <v>0</v>
      </c>
      <c r="BH443" s="14">
        <f>IF(N443="sníž. přenesená",J443,0)</f>
        <v>0</v>
      </c>
      <c r="BI443" s="14">
        <f>IF(N443="nulová",J443,0)</f>
        <v>0</v>
      </c>
      <c r="BJ443" s="13" t="s">
        <v>74</v>
      </c>
      <c r="BK443" s="14">
        <f>ROUND(I443*H443,2)</f>
        <v>0</v>
      </c>
      <c r="BL443" s="13" t="s">
        <v>135</v>
      </c>
      <c r="BM443" s="12" t="s">
        <v>676</v>
      </c>
    </row>
    <row r="444" spans="1:65" s="5" customFormat="1" ht="19.5" x14ac:dyDescent="0.2">
      <c r="A444" s="105"/>
      <c r="B444" s="140"/>
      <c r="C444" s="17"/>
      <c r="D444" s="141" t="s">
        <v>148</v>
      </c>
      <c r="E444" s="17"/>
      <c r="F444" s="142" t="s">
        <v>737</v>
      </c>
      <c r="G444" s="17"/>
      <c r="H444" s="17"/>
      <c r="I444" s="17"/>
      <c r="J444" s="17"/>
      <c r="K444" s="143"/>
      <c r="L444" s="17"/>
      <c r="M444" s="15"/>
      <c r="N444" s="16"/>
      <c r="O444" s="17"/>
      <c r="P444" s="17"/>
      <c r="Q444" s="17"/>
      <c r="R444" s="17"/>
      <c r="S444" s="17"/>
      <c r="T444" s="18"/>
      <c r="U444" s="105"/>
      <c r="V444" s="17"/>
      <c r="W444" s="17"/>
      <c r="X444" s="17"/>
      <c r="Y444" s="17"/>
      <c r="Z444" s="17"/>
      <c r="AA444" s="17"/>
      <c r="AB444" s="17"/>
      <c r="AC444" s="105"/>
      <c r="AD444" s="105"/>
      <c r="AE444" s="105"/>
      <c r="AT444" s="13" t="s">
        <v>148</v>
      </c>
      <c r="AU444" s="13" t="s">
        <v>74</v>
      </c>
    </row>
    <row r="445" spans="1:65" s="5" customFormat="1" ht="16.5" customHeight="1" x14ac:dyDescent="0.2">
      <c r="A445" s="105"/>
      <c r="B445" s="140"/>
      <c r="C445" s="33" t="s">
        <v>491</v>
      </c>
      <c r="D445" s="33" t="s">
        <v>131</v>
      </c>
      <c r="E445" s="34" t="s">
        <v>232</v>
      </c>
      <c r="F445" s="7" t="s">
        <v>722</v>
      </c>
      <c r="G445" s="35" t="s">
        <v>723</v>
      </c>
      <c r="H445" s="36">
        <v>1.9E-2</v>
      </c>
      <c r="I445" s="1"/>
      <c r="J445" s="6">
        <f>ROUND(I445*H445,2)</f>
        <v>0</v>
      </c>
      <c r="K445" s="151" t="s">
        <v>1</v>
      </c>
      <c r="L445" s="17"/>
      <c r="M445" s="8" t="s">
        <v>1</v>
      </c>
      <c r="N445" s="9" t="s">
        <v>33</v>
      </c>
      <c r="O445" s="10">
        <v>0</v>
      </c>
      <c r="P445" s="10">
        <f>O445*H445</f>
        <v>0</v>
      </c>
      <c r="Q445" s="10">
        <v>0</v>
      </c>
      <c r="R445" s="10">
        <f>Q445*H445</f>
        <v>0</v>
      </c>
      <c r="S445" s="10">
        <v>0</v>
      </c>
      <c r="T445" s="11">
        <f>S445*H445</f>
        <v>0</v>
      </c>
      <c r="U445" s="105"/>
      <c r="V445" s="17"/>
      <c r="W445" s="17"/>
      <c r="X445" s="17"/>
      <c r="Y445" s="17"/>
      <c r="Z445" s="17"/>
      <c r="AA445" s="17"/>
      <c r="AB445" s="17"/>
      <c r="AC445" s="105"/>
      <c r="AD445" s="105"/>
      <c r="AE445" s="105"/>
      <c r="AR445" s="12" t="s">
        <v>135</v>
      </c>
      <c r="AT445" s="12" t="s">
        <v>131</v>
      </c>
      <c r="AU445" s="12" t="s">
        <v>74</v>
      </c>
      <c r="AY445" s="13" t="s">
        <v>130</v>
      </c>
      <c r="BE445" s="14">
        <f>IF(N445="základní",J445,0)</f>
        <v>0</v>
      </c>
      <c r="BF445" s="14">
        <f>IF(N445="snížená",J445,0)</f>
        <v>0</v>
      </c>
      <c r="BG445" s="14">
        <f>IF(N445="zákl. přenesená",J445,0)</f>
        <v>0</v>
      </c>
      <c r="BH445" s="14">
        <f>IF(N445="sníž. přenesená",J445,0)</f>
        <v>0</v>
      </c>
      <c r="BI445" s="14">
        <f>IF(N445="nulová",J445,0)</f>
        <v>0</v>
      </c>
      <c r="BJ445" s="13" t="s">
        <v>74</v>
      </c>
      <c r="BK445" s="14">
        <f>ROUND(I445*H445,2)</f>
        <v>0</v>
      </c>
      <c r="BL445" s="13" t="s">
        <v>135</v>
      </c>
      <c r="BM445" s="12" t="s">
        <v>680</v>
      </c>
    </row>
    <row r="446" spans="1:65" s="5" customFormat="1" ht="16.5" customHeight="1" x14ac:dyDescent="0.2">
      <c r="A446" s="105"/>
      <c r="B446" s="140"/>
      <c r="C446" s="33" t="s">
        <v>800</v>
      </c>
      <c r="D446" s="33" t="s">
        <v>131</v>
      </c>
      <c r="E446" s="34" t="s">
        <v>246</v>
      </c>
      <c r="F446" s="7" t="s">
        <v>724</v>
      </c>
      <c r="G446" s="35" t="s">
        <v>723</v>
      </c>
      <c r="H446" s="36">
        <v>1.9E-2</v>
      </c>
      <c r="I446" s="1"/>
      <c r="J446" s="6">
        <f>ROUND(I446*H446,2)</f>
        <v>0</v>
      </c>
      <c r="K446" s="151" t="s">
        <v>1</v>
      </c>
      <c r="L446" s="17"/>
      <c r="M446" s="8" t="s">
        <v>1</v>
      </c>
      <c r="N446" s="9" t="s">
        <v>33</v>
      </c>
      <c r="O446" s="10">
        <v>0</v>
      </c>
      <c r="P446" s="10">
        <f>O446*H446</f>
        <v>0</v>
      </c>
      <c r="Q446" s="10">
        <v>0</v>
      </c>
      <c r="R446" s="10">
        <f>Q446*H446</f>
        <v>0</v>
      </c>
      <c r="S446" s="10">
        <v>0</v>
      </c>
      <c r="T446" s="11">
        <f>S446*H446</f>
        <v>0</v>
      </c>
      <c r="U446" s="105"/>
      <c r="V446" s="17"/>
      <c r="W446" s="17"/>
      <c r="X446" s="17"/>
      <c r="Y446" s="17"/>
      <c r="Z446" s="17"/>
      <c r="AA446" s="17"/>
      <c r="AB446" s="17"/>
      <c r="AC446" s="105"/>
      <c r="AD446" s="105"/>
      <c r="AE446" s="105"/>
      <c r="AR446" s="12" t="s">
        <v>135</v>
      </c>
      <c r="AT446" s="12" t="s">
        <v>131</v>
      </c>
      <c r="AU446" s="12" t="s">
        <v>74</v>
      </c>
      <c r="AY446" s="13" t="s">
        <v>130</v>
      </c>
      <c r="BE446" s="14">
        <f>IF(N446="základní",J446,0)</f>
        <v>0</v>
      </c>
      <c r="BF446" s="14">
        <f>IF(N446="snížená",J446,0)</f>
        <v>0</v>
      </c>
      <c r="BG446" s="14">
        <f>IF(N446="zákl. přenesená",J446,0)</f>
        <v>0</v>
      </c>
      <c r="BH446" s="14">
        <f>IF(N446="sníž. přenesená",J446,0)</f>
        <v>0</v>
      </c>
      <c r="BI446" s="14">
        <f>IF(N446="nulová",J446,0)</f>
        <v>0</v>
      </c>
      <c r="BJ446" s="13" t="s">
        <v>74</v>
      </c>
      <c r="BK446" s="14">
        <f>ROUND(I446*H446,2)</f>
        <v>0</v>
      </c>
      <c r="BL446" s="13" t="s">
        <v>135</v>
      </c>
      <c r="BM446" s="12" t="s">
        <v>681</v>
      </c>
    </row>
    <row r="447" spans="1:65" s="5" customFormat="1" ht="16.5" customHeight="1" x14ac:dyDescent="0.2">
      <c r="A447" s="105"/>
      <c r="B447" s="140"/>
      <c r="C447" s="33" t="s">
        <v>495</v>
      </c>
      <c r="D447" s="33" t="s">
        <v>131</v>
      </c>
      <c r="E447" s="34" t="s">
        <v>741</v>
      </c>
      <c r="F447" s="7" t="s">
        <v>742</v>
      </c>
      <c r="G447" s="35" t="s">
        <v>134</v>
      </c>
      <c r="H447" s="36">
        <v>25</v>
      </c>
      <c r="I447" s="1"/>
      <c r="J447" s="6">
        <f>ROUND(I447*H447,2)</f>
        <v>0</v>
      </c>
      <c r="K447" s="151" t="s">
        <v>1</v>
      </c>
      <c r="L447" s="17"/>
      <c r="M447" s="8" t="s">
        <v>1</v>
      </c>
      <c r="N447" s="9" t="s">
        <v>33</v>
      </c>
      <c r="O447" s="10">
        <v>0</v>
      </c>
      <c r="P447" s="10">
        <f>O447*H447</f>
        <v>0</v>
      </c>
      <c r="Q447" s="10">
        <v>0</v>
      </c>
      <c r="R447" s="10">
        <f>Q447*H447</f>
        <v>0</v>
      </c>
      <c r="S447" s="10">
        <v>0</v>
      </c>
      <c r="T447" s="11">
        <f>S447*H447</f>
        <v>0</v>
      </c>
      <c r="U447" s="105"/>
      <c r="V447" s="17"/>
      <c r="W447" s="17"/>
      <c r="X447" s="17"/>
      <c r="Y447" s="17"/>
      <c r="Z447" s="17"/>
      <c r="AA447" s="17"/>
      <c r="AB447" s="17"/>
      <c r="AC447" s="105"/>
      <c r="AD447" s="105"/>
      <c r="AE447" s="105"/>
      <c r="AR447" s="12" t="s">
        <v>135</v>
      </c>
      <c r="AT447" s="12" t="s">
        <v>131</v>
      </c>
      <c r="AU447" s="12" t="s">
        <v>74</v>
      </c>
      <c r="AY447" s="13" t="s">
        <v>130</v>
      </c>
      <c r="BE447" s="14">
        <f>IF(N447="základní",J447,0)</f>
        <v>0</v>
      </c>
      <c r="BF447" s="14">
        <f>IF(N447="snížená",J447,0)</f>
        <v>0</v>
      </c>
      <c r="BG447" s="14">
        <f>IF(N447="zákl. přenesená",J447,0)</f>
        <v>0</v>
      </c>
      <c r="BH447" s="14">
        <f>IF(N447="sníž. přenesená",J447,0)</f>
        <v>0</v>
      </c>
      <c r="BI447" s="14">
        <f>IF(N447="nulová",J447,0)</f>
        <v>0</v>
      </c>
      <c r="BJ447" s="13" t="s">
        <v>74</v>
      </c>
      <c r="BK447" s="14">
        <f>ROUND(I447*H447,2)</f>
        <v>0</v>
      </c>
      <c r="BL447" s="13" t="s">
        <v>135</v>
      </c>
      <c r="BM447" s="12" t="s">
        <v>682</v>
      </c>
    </row>
    <row r="448" spans="1:65" s="5" customFormat="1" ht="39" x14ac:dyDescent="0.2">
      <c r="A448" s="105"/>
      <c r="B448" s="140"/>
      <c r="C448" s="17"/>
      <c r="D448" s="141" t="s">
        <v>148</v>
      </c>
      <c r="E448" s="17"/>
      <c r="F448" s="142" t="s">
        <v>743</v>
      </c>
      <c r="G448" s="17"/>
      <c r="H448" s="17"/>
      <c r="I448" s="17"/>
      <c r="J448" s="17"/>
      <c r="K448" s="143"/>
      <c r="L448" s="17"/>
      <c r="M448" s="15"/>
      <c r="N448" s="16"/>
      <c r="O448" s="17"/>
      <c r="P448" s="17"/>
      <c r="Q448" s="17"/>
      <c r="R448" s="17"/>
      <c r="S448" s="17"/>
      <c r="T448" s="18"/>
      <c r="U448" s="105"/>
      <c r="V448" s="17"/>
      <c r="W448" s="17"/>
      <c r="X448" s="17"/>
      <c r="Y448" s="17"/>
      <c r="Z448" s="17"/>
      <c r="AA448" s="17"/>
      <c r="AB448" s="17"/>
      <c r="AC448" s="105"/>
      <c r="AD448" s="105"/>
      <c r="AE448" s="105"/>
      <c r="AT448" s="13" t="s">
        <v>148</v>
      </c>
      <c r="AU448" s="13" t="s">
        <v>74</v>
      </c>
    </row>
    <row r="449" spans="1:65" s="5" customFormat="1" ht="16.5" customHeight="1" x14ac:dyDescent="0.2">
      <c r="A449" s="105"/>
      <c r="B449" s="140"/>
      <c r="C449" s="33" t="s">
        <v>801</v>
      </c>
      <c r="D449" s="33" t="s">
        <v>131</v>
      </c>
      <c r="E449" s="34" t="s">
        <v>744</v>
      </c>
      <c r="F449" s="7" t="s">
        <v>745</v>
      </c>
      <c r="G449" s="35" t="s">
        <v>134</v>
      </c>
      <c r="H449" s="36">
        <v>2</v>
      </c>
      <c r="I449" s="1"/>
      <c r="J449" s="6">
        <f>ROUND(I449*H449,2)</f>
        <v>0</v>
      </c>
      <c r="K449" s="151" t="s">
        <v>1</v>
      </c>
      <c r="L449" s="17"/>
      <c r="M449" s="8" t="s">
        <v>1</v>
      </c>
      <c r="N449" s="9" t="s">
        <v>33</v>
      </c>
      <c r="O449" s="10">
        <v>0</v>
      </c>
      <c r="P449" s="10">
        <f>O449*H449</f>
        <v>0</v>
      </c>
      <c r="Q449" s="10">
        <v>0</v>
      </c>
      <c r="R449" s="10">
        <f>Q449*H449</f>
        <v>0</v>
      </c>
      <c r="S449" s="10">
        <v>0</v>
      </c>
      <c r="T449" s="11">
        <f>S449*H449</f>
        <v>0</v>
      </c>
      <c r="U449" s="105"/>
      <c r="V449" s="17"/>
      <c r="W449" s="17"/>
      <c r="X449" s="17"/>
      <c r="Y449" s="17"/>
      <c r="Z449" s="17"/>
      <c r="AA449" s="17"/>
      <c r="AB449" s="17"/>
      <c r="AC449" s="105"/>
      <c r="AD449" s="105"/>
      <c r="AE449" s="105"/>
      <c r="AR449" s="12" t="s">
        <v>135</v>
      </c>
      <c r="AT449" s="12" t="s">
        <v>131</v>
      </c>
      <c r="AU449" s="12" t="s">
        <v>74</v>
      </c>
      <c r="AY449" s="13" t="s">
        <v>130</v>
      </c>
      <c r="BE449" s="14">
        <f>IF(N449="základní",J449,0)</f>
        <v>0</v>
      </c>
      <c r="BF449" s="14">
        <f>IF(N449="snížená",J449,0)</f>
        <v>0</v>
      </c>
      <c r="BG449" s="14">
        <f>IF(N449="zákl. přenesená",J449,0)</f>
        <v>0</v>
      </c>
      <c r="BH449" s="14">
        <f>IF(N449="sníž. přenesená",J449,0)</f>
        <v>0</v>
      </c>
      <c r="BI449" s="14">
        <f>IF(N449="nulová",J449,0)</f>
        <v>0</v>
      </c>
      <c r="BJ449" s="13" t="s">
        <v>74</v>
      </c>
      <c r="BK449" s="14">
        <f>ROUND(I449*H449,2)</f>
        <v>0</v>
      </c>
      <c r="BL449" s="13" t="s">
        <v>135</v>
      </c>
      <c r="BM449" s="12" t="s">
        <v>683</v>
      </c>
    </row>
    <row r="450" spans="1:65" s="5" customFormat="1" ht="16.5" customHeight="1" x14ac:dyDescent="0.2">
      <c r="A450" s="105"/>
      <c r="B450" s="140"/>
      <c r="C450" s="33" t="s">
        <v>498</v>
      </c>
      <c r="D450" s="33" t="s">
        <v>131</v>
      </c>
      <c r="E450" s="34" t="s">
        <v>802</v>
      </c>
      <c r="F450" s="7" t="s">
        <v>803</v>
      </c>
      <c r="G450" s="35" t="s">
        <v>134</v>
      </c>
      <c r="H450" s="36">
        <v>38.201999999999998</v>
      </c>
      <c r="I450" s="1"/>
      <c r="J450" s="6">
        <f>ROUND(I450*H450,2)</f>
        <v>0</v>
      </c>
      <c r="K450" s="151" t="s">
        <v>1</v>
      </c>
      <c r="L450" s="17"/>
      <c r="M450" s="8" t="s">
        <v>1</v>
      </c>
      <c r="N450" s="9" t="s">
        <v>33</v>
      </c>
      <c r="O450" s="10">
        <v>0</v>
      </c>
      <c r="P450" s="10">
        <f>O450*H450</f>
        <v>0</v>
      </c>
      <c r="Q450" s="10">
        <v>0</v>
      </c>
      <c r="R450" s="10">
        <f>Q450*H450</f>
        <v>0</v>
      </c>
      <c r="S450" s="10">
        <v>0</v>
      </c>
      <c r="T450" s="11">
        <f>S450*H450</f>
        <v>0</v>
      </c>
      <c r="U450" s="105"/>
      <c r="V450" s="17"/>
      <c r="W450" s="17"/>
      <c r="X450" s="17"/>
      <c r="Y450" s="17"/>
      <c r="Z450" s="17"/>
      <c r="AA450" s="17"/>
      <c r="AB450" s="17"/>
      <c r="AC450" s="105"/>
      <c r="AD450" s="105"/>
      <c r="AE450" s="105"/>
      <c r="AR450" s="12" t="s">
        <v>135</v>
      </c>
      <c r="AT450" s="12" t="s">
        <v>131</v>
      </c>
      <c r="AU450" s="12" t="s">
        <v>74</v>
      </c>
      <c r="AY450" s="13" t="s">
        <v>130</v>
      </c>
      <c r="BE450" s="14">
        <f>IF(N450="základní",J450,0)</f>
        <v>0</v>
      </c>
      <c r="BF450" s="14">
        <f>IF(N450="snížená",J450,0)</f>
        <v>0</v>
      </c>
      <c r="BG450" s="14">
        <f>IF(N450="zákl. přenesená",J450,0)</f>
        <v>0</v>
      </c>
      <c r="BH450" s="14">
        <f>IF(N450="sníž. přenesená",J450,0)</f>
        <v>0</v>
      </c>
      <c r="BI450" s="14">
        <f>IF(N450="nulová",J450,0)</f>
        <v>0</v>
      </c>
      <c r="BJ450" s="13" t="s">
        <v>74</v>
      </c>
      <c r="BK450" s="14">
        <f>ROUND(I450*H450,2)</f>
        <v>0</v>
      </c>
      <c r="BL450" s="13" t="s">
        <v>135</v>
      </c>
      <c r="BM450" s="12" t="s">
        <v>684</v>
      </c>
    </row>
    <row r="451" spans="1:65" s="152" customFormat="1" x14ac:dyDescent="0.2">
      <c r="B451" s="153"/>
      <c r="C451" s="154"/>
      <c r="D451" s="141" t="s">
        <v>340</v>
      </c>
      <c r="E451" s="155" t="s">
        <v>1</v>
      </c>
      <c r="F451" s="156" t="s">
        <v>804</v>
      </c>
      <c r="G451" s="154"/>
      <c r="H451" s="157"/>
      <c r="I451" s="154"/>
      <c r="J451" s="154"/>
      <c r="K451" s="158"/>
      <c r="L451" s="154"/>
      <c r="M451" s="159"/>
      <c r="N451" s="154"/>
      <c r="O451" s="154"/>
      <c r="P451" s="154"/>
      <c r="Q451" s="154"/>
      <c r="R451" s="154"/>
      <c r="S451" s="154"/>
      <c r="T451" s="160"/>
      <c r="V451" s="154"/>
      <c r="W451" s="154"/>
      <c r="X451" s="154"/>
      <c r="Y451" s="154"/>
      <c r="Z451" s="154"/>
      <c r="AA451" s="154"/>
      <c r="AB451" s="154"/>
      <c r="AT451" s="161" t="s">
        <v>340</v>
      </c>
      <c r="AU451" s="161" t="s">
        <v>74</v>
      </c>
      <c r="AV451" s="152" t="s">
        <v>76</v>
      </c>
      <c r="AW451" s="152" t="s">
        <v>25</v>
      </c>
      <c r="AX451" s="152" t="s">
        <v>68</v>
      </c>
      <c r="AY451" s="161" t="s">
        <v>130</v>
      </c>
    </row>
    <row r="452" spans="1:65" s="162" customFormat="1" x14ac:dyDescent="0.2">
      <c r="B452" s="163"/>
      <c r="C452" s="164"/>
      <c r="D452" s="141" t="s">
        <v>340</v>
      </c>
      <c r="E452" s="165" t="s">
        <v>1</v>
      </c>
      <c r="F452" s="166" t="s">
        <v>342</v>
      </c>
      <c r="G452" s="164"/>
      <c r="H452" s="167">
        <v>38.201999999999998</v>
      </c>
      <c r="I452" s="164"/>
      <c r="J452" s="164"/>
      <c r="K452" s="168"/>
      <c r="L452" s="164"/>
      <c r="M452" s="169"/>
      <c r="N452" s="164"/>
      <c r="O452" s="164"/>
      <c r="P452" s="164"/>
      <c r="Q452" s="164"/>
      <c r="R452" s="164"/>
      <c r="S452" s="164"/>
      <c r="T452" s="170"/>
      <c r="V452" s="164"/>
      <c r="W452" s="164"/>
      <c r="X452" s="164"/>
      <c r="Y452" s="164"/>
      <c r="Z452" s="164"/>
      <c r="AA452" s="164"/>
      <c r="AB452" s="164"/>
      <c r="AT452" s="171" t="s">
        <v>340</v>
      </c>
      <c r="AU452" s="171" t="s">
        <v>74</v>
      </c>
      <c r="AV452" s="162" t="s">
        <v>135</v>
      </c>
      <c r="AW452" s="162" t="s">
        <v>25</v>
      </c>
      <c r="AX452" s="162" t="s">
        <v>74</v>
      </c>
      <c r="AY452" s="171" t="s">
        <v>130</v>
      </c>
    </row>
    <row r="453" spans="1:65" s="5" customFormat="1" ht="16.5" customHeight="1" x14ac:dyDescent="0.2">
      <c r="A453" s="105"/>
      <c r="B453" s="140"/>
      <c r="C453" s="33" t="s">
        <v>805</v>
      </c>
      <c r="D453" s="33" t="s">
        <v>131</v>
      </c>
      <c r="E453" s="34" t="s">
        <v>784</v>
      </c>
      <c r="F453" s="7" t="s">
        <v>785</v>
      </c>
      <c r="G453" s="35" t="s">
        <v>134</v>
      </c>
      <c r="H453" s="36">
        <v>0.5</v>
      </c>
      <c r="I453" s="1"/>
      <c r="J453" s="6">
        <f>ROUND(I453*H453,2)</f>
        <v>0</v>
      </c>
      <c r="K453" s="151" t="s">
        <v>1</v>
      </c>
      <c r="L453" s="17"/>
      <c r="M453" s="8" t="s">
        <v>1</v>
      </c>
      <c r="N453" s="9" t="s">
        <v>33</v>
      </c>
      <c r="O453" s="10">
        <v>0</v>
      </c>
      <c r="P453" s="10">
        <f>O453*H453</f>
        <v>0</v>
      </c>
      <c r="Q453" s="10">
        <v>0</v>
      </c>
      <c r="R453" s="10">
        <f>Q453*H453</f>
        <v>0</v>
      </c>
      <c r="S453" s="10">
        <v>0</v>
      </c>
      <c r="T453" s="11">
        <f>S453*H453</f>
        <v>0</v>
      </c>
      <c r="U453" s="105"/>
      <c r="V453" s="17"/>
      <c r="W453" s="17"/>
      <c r="X453" s="17"/>
      <c r="Y453" s="17"/>
      <c r="Z453" s="17"/>
      <c r="AA453" s="17"/>
      <c r="AB453" s="17"/>
      <c r="AC453" s="105"/>
      <c r="AD453" s="105"/>
      <c r="AE453" s="105"/>
      <c r="AR453" s="12" t="s">
        <v>135</v>
      </c>
      <c r="AT453" s="12" t="s">
        <v>131</v>
      </c>
      <c r="AU453" s="12" t="s">
        <v>74</v>
      </c>
      <c r="AY453" s="13" t="s">
        <v>130</v>
      </c>
      <c r="BE453" s="14">
        <f>IF(N453="základní",J453,0)</f>
        <v>0</v>
      </c>
      <c r="BF453" s="14">
        <f>IF(N453="snížená",J453,0)</f>
        <v>0</v>
      </c>
      <c r="BG453" s="14">
        <f>IF(N453="zákl. přenesená",J453,0)</f>
        <v>0</v>
      </c>
      <c r="BH453" s="14">
        <f>IF(N453="sníž. přenesená",J453,0)</f>
        <v>0</v>
      </c>
      <c r="BI453" s="14">
        <f>IF(N453="nulová",J453,0)</f>
        <v>0</v>
      </c>
      <c r="BJ453" s="13" t="s">
        <v>74</v>
      </c>
      <c r="BK453" s="14">
        <f>ROUND(I453*H453,2)</f>
        <v>0</v>
      </c>
      <c r="BL453" s="13" t="s">
        <v>135</v>
      </c>
      <c r="BM453" s="12" t="s">
        <v>685</v>
      </c>
    </row>
    <row r="454" spans="1:65" s="5" customFormat="1" ht="16.5" customHeight="1" x14ac:dyDescent="0.2">
      <c r="A454" s="105"/>
      <c r="B454" s="140"/>
      <c r="C454" s="33" t="s">
        <v>500</v>
      </c>
      <c r="D454" s="33" t="s">
        <v>131</v>
      </c>
      <c r="E454" s="34" t="s">
        <v>764</v>
      </c>
      <c r="F454" s="7" t="s">
        <v>726</v>
      </c>
      <c r="G454" s="35" t="s">
        <v>134</v>
      </c>
      <c r="H454" s="36">
        <v>38.201999999999998</v>
      </c>
      <c r="I454" s="1"/>
      <c r="J454" s="6">
        <f>ROUND(I454*H454,2)</f>
        <v>0</v>
      </c>
      <c r="K454" s="151" t="s">
        <v>1</v>
      </c>
      <c r="L454" s="17"/>
      <c r="M454" s="8" t="s">
        <v>1</v>
      </c>
      <c r="N454" s="9" t="s">
        <v>33</v>
      </c>
      <c r="O454" s="10">
        <v>0</v>
      </c>
      <c r="P454" s="10">
        <f>O454*H454</f>
        <v>0</v>
      </c>
      <c r="Q454" s="10">
        <v>0</v>
      </c>
      <c r="R454" s="10">
        <f>Q454*H454</f>
        <v>0</v>
      </c>
      <c r="S454" s="10">
        <v>0</v>
      </c>
      <c r="T454" s="11">
        <f>S454*H454</f>
        <v>0</v>
      </c>
      <c r="U454" s="105"/>
      <c r="V454" s="17"/>
      <c r="W454" s="17"/>
      <c r="X454" s="17"/>
      <c r="Y454" s="17"/>
      <c r="Z454" s="17"/>
      <c r="AA454" s="17"/>
      <c r="AB454" s="17"/>
      <c r="AC454" s="105"/>
      <c r="AD454" s="105"/>
      <c r="AE454" s="105"/>
      <c r="AR454" s="12" t="s">
        <v>135</v>
      </c>
      <c r="AT454" s="12" t="s">
        <v>131</v>
      </c>
      <c r="AU454" s="12" t="s">
        <v>74</v>
      </c>
      <c r="AY454" s="13" t="s">
        <v>130</v>
      </c>
      <c r="BE454" s="14">
        <f>IF(N454="základní",J454,0)</f>
        <v>0</v>
      </c>
      <c r="BF454" s="14">
        <f>IF(N454="snížená",J454,0)</f>
        <v>0</v>
      </c>
      <c r="BG454" s="14">
        <f>IF(N454="zákl. přenesená",J454,0)</f>
        <v>0</v>
      </c>
      <c r="BH454" s="14">
        <f>IF(N454="sníž. přenesená",J454,0)</f>
        <v>0</v>
      </c>
      <c r="BI454" s="14">
        <f>IF(N454="nulová",J454,0)</f>
        <v>0</v>
      </c>
      <c r="BJ454" s="13" t="s">
        <v>74</v>
      </c>
      <c r="BK454" s="14">
        <f>ROUND(I454*H454,2)</f>
        <v>0</v>
      </c>
      <c r="BL454" s="13" t="s">
        <v>135</v>
      </c>
      <c r="BM454" s="12" t="s">
        <v>806</v>
      </c>
    </row>
    <row r="455" spans="1:65" s="5" customFormat="1" ht="29.25" x14ac:dyDescent="0.2">
      <c r="A455" s="105"/>
      <c r="B455" s="140"/>
      <c r="C455" s="17"/>
      <c r="D455" s="141" t="s">
        <v>148</v>
      </c>
      <c r="E455" s="17"/>
      <c r="F455" s="142" t="s">
        <v>747</v>
      </c>
      <c r="G455" s="17"/>
      <c r="H455" s="17"/>
      <c r="I455" s="17"/>
      <c r="J455" s="17"/>
      <c r="K455" s="143"/>
      <c r="L455" s="17"/>
      <c r="M455" s="15"/>
      <c r="N455" s="16"/>
      <c r="O455" s="17"/>
      <c r="P455" s="17"/>
      <c r="Q455" s="17"/>
      <c r="R455" s="17"/>
      <c r="S455" s="17"/>
      <c r="T455" s="18"/>
      <c r="U455" s="105"/>
      <c r="V455" s="17"/>
      <c r="W455" s="17"/>
      <c r="X455" s="17"/>
      <c r="Y455" s="17"/>
      <c r="Z455" s="17"/>
      <c r="AA455" s="17"/>
      <c r="AB455" s="17"/>
      <c r="AC455" s="105"/>
      <c r="AD455" s="105"/>
      <c r="AE455" s="105"/>
      <c r="AT455" s="13" t="s">
        <v>148</v>
      </c>
      <c r="AU455" s="13" t="s">
        <v>74</v>
      </c>
    </row>
    <row r="456" spans="1:65" s="5" customFormat="1" ht="16.5" customHeight="1" x14ac:dyDescent="0.2">
      <c r="A456" s="105"/>
      <c r="B456" s="140"/>
      <c r="C456" s="33" t="s">
        <v>807</v>
      </c>
      <c r="D456" s="33" t="s">
        <v>131</v>
      </c>
      <c r="E456" s="34" t="s">
        <v>758</v>
      </c>
      <c r="F456" s="7" t="s">
        <v>759</v>
      </c>
      <c r="G456" s="35" t="s">
        <v>134</v>
      </c>
      <c r="H456" s="36">
        <v>11.55</v>
      </c>
      <c r="I456" s="1"/>
      <c r="J456" s="6">
        <f>ROUND(I456*H456,2)</f>
        <v>0</v>
      </c>
      <c r="K456" s="151" t="s">
        <v>1</v>
      </c>
      <c r="L456" s="17"/>
      <c r="M456" s="8" t="s">
        <v>1</v>
      </c>
      <c r="N456" s="9" t="s">
        <v>33</v>
      </c>
      <c r="O456" s="10">
        <v>0</v>
      </c>
      <c r="P456" s="10">
        <f>O456*H456</f>
        <v>0</v>
      </c>
      <c r="Q456" s="10">
        <v>0</v>
      </c>
      <c r="R456" s="10">
        <f>Q456*H456</f>
        <v>0</v>
      </c>
      <c r="S456" s="10">
        <v>0</v>
      </c>
      <c r="T456" s="11">
        <f>S456*H456</f>
        <v>0</v>
      </c>
      <c r="U456" s="105"/>
      <c r="V456" s="17"/>
      <c r="W456" s="17"/>
      <c r="X456" s="17"/>
      <c r="Y456" s="17"/>
      <c r="Z456" s="17"/>
      <c r="AA456" s="17"/>
      <c r="AB456" s="17"/>
      <c r="AC456" s="105"/>
      <c r="AD456" s="105"/>
      <c r="AE456" s="105"/>
      <c r="AR456" s="12" t="s">
        <v>135</v>
      </c>
      <c r="AT456" s="12" t="s">
        <v>131</v>
      </c>
      <c r="AU456" s="12" t="s">
        <v>74</v>
      </c>
      <c r="AY456" s="13" t="s">
        <v>130</v>
      </c>
      <c r="BE456" s="14">
        <f>IF(N456="základní",J456,0)</f>
        <v>0</v>
      </c>
      <c r="BF456" s="14">
        <f>IF(N456="snížená",J456,0)</f>
        <v>0</v>
      </c>
      <c r="BG456" s="14">
        <f>IF(N456="zákl. přenesená",J456,0)</f>
        <v>0</v>
      </c>
      <c r="BH456" s="14">
        <f>IF(N456="sníž. přenesená",J456,0)</f>
        <v>0</v>
      </c>
      <c r="BI456" s="14">
        <f>IF(N456="nulová",J456,0)</f>
        <v>0</v>
      </c>
      <c r="BJ456" s="13" t="s">
        <v>74</v>
      </c>
      <c r="BK456" s="14">
        <f>ROUND(I456*H456,2)</f>
        <v>0</v>
      </c>
      <c r="BL456" s="13" t="s">
        <v>135</v>
      </c>
      <c r="BM456" s="12" t="s">
        <v>808</v>
      </c>
    </row>
    <row r="457" spans="1:65" s="5" customFormat="1" x14ac:dyDescent="0.2">
      <c r="B457" s="177"/>
      <c r="C457" s="16"/>
      <c r="D457" s="178" t="s">
        <v>340</v>
      </c>
      <c r="E457" s="16"/>
      <c r="F457" s="200" t="s">
        <v>1262</v>
      </c>
      <c r="G457" s="16">
        <f>(8.25*1.4)</f>
        <v>11.549999999999999</v>
      </c>
      <c r="H457" s="16"/>
      <c r="I457" s="16"/>
      <c r="J457" s="16"/>
      <c r="K457" s="181"/>
      <c r="L457" s="52"/>
      <c r="M457" s="52"/>
      <c r="N457" s="52"/>
      <c r="O457" s="52"/>
      <c r="P457" s="52"/>
      <c r="Q457" s="52"/>
      <c r="R457" s="52"/>
      <c r="S457" s="128"/>
      <c r="V457" s="16"/>
      <c r="W457" s="16"/>
      <c r="X457" s="16"/>
      <c r="Y457" s="16"/>
      <c r="Z457" s="16"/>
      <c r="AA457" s="16"/>
      <c r="AB457" s="16"/>
      <c r="AZ457" s="126" t="s">
        <v>148</v>
      </c>
      <c r="BA457" s="126" t="s">
        <v>74</v>
      </c>
    </row>
    <row r="458" spans="1:65" s="5" customFormat="1" ht="21.75" customHeight="1" x14ac:dyDescent="0.2">
      <c r="A458" s="105"/>
      <c r="B458" s="140"/>
      <c r="C458" s="33" t="s">
        <v>501</v>
      </c>
      <c r="D458" s="33" t="s">
        <v>131</v>
      </c>
      <c r="E458" s="34" t="s">
        <v>748</v>
      </c>
      <c r="F458" s="7" t="s">
        <v>749</v>
      </c>
      <c r="G458" s="35" t="s">
        <v>134</v>
      </c>
      <c r="H458" s="36">
        <v>20.625</v>
      </c>
      <c r="I458" s="1"/>
      <c r="J458" s="6">
        <f>ROUND(I458*H458,2)</f>
        <v>0</v>
      </c>
      <c r="K458" s="151" t="s">
        <v>1</v>
      </c>
      <c r="L458" s="17"/>
      <c r="M458" s="8" t="s">
        <v>1</v>
      </c>
      <c r="N458" s="9" t="s">
        <v>33</v>
      </c>
      <c r="O458" s="10">
        <v>0</v>
      </c>
      <c r="P458" s="10">
        <f>O458*H458</f>
        <v>0</v>
      </c>
      <c r="Q458" s="10">
        <v>0</v>
      </c>
      <c r="R458" s="10">
        <f>Q458*H458</f>
        <v>0</v>
      </c>
      <c r="S458" s="10">
        <v>0</v>
      </c>
      <c r="T458" s="11">
        <f>S458*H458</f>
        <v>0</v>
      </c>
      <c r="U458" s="105"/>
      <c r="V458" s="17"/>
      <c r="W458" s="17"/>
      <c r="X458" s="17"/>
      <c r="Y458" s="17"/>
      <c r="Z458" s="17"/>
      <c r="AA458" s="17"/>
      <c r="AB458" s="17"/>
      <c r="AC458" s="105"/>
      <c r="AD458" s="105"/>
      <c r="AE458" s="105"/>
      <c r="AR458" s="12" t="s">
        <v>135</v>
      </c>
      <c r="AT458" s="12" t="s">
        <v>131</v>
      </c>
      <c r="AU458" s="12" t="s">
        <v>74</v>
      </c>
      <c r="AY458" s="13" t="s">
        <v>130</v>
      </c>
      <c r="BE458" s="14">
        <f>IF(N458="základní",J458,0)</f>
        <v>0</v>
      </c>
      <c r="BF458" s="14">
        <f>IF(N458="snížená",J458,0)</f>
        <v>0</v>
      </c>
      <c r="BG458" s="14">
        <f>IF(N458="zákl. přenesená",J458,0)</f>
        <v>0</v>
      </c>
      <c r="BH458" s="14">
        <f>IF(N458="sníž. přenesená",J458,0)</f>
        <v>0</v>
      </c>
      <c r="BI458" s="14">
        <f>IF(N458="nulová",J458,0)</f>
        <v>0</v>
      </c>
      <c r="BJ458" s="13" t="s">
        <v>74</v>
      </c>
      <c r="BK458" s="14">
        <f>ROUND(I458*H458,2)</f>
        <v>0</v>
      </c>
      <c r="BL458" s="13" t="s">
        <v>135</v>
      </c>
      <c r="BM458" s="12" t="s">
        <v>809</v>
      </c>
    </row>
    <row r="459" spans="1:65" s="20" customFormat="1" ht="25.9" customHeight="1" x14ac:dyDescent="0.2">
      <c r="B459" s="172"/>
      <c r="C459" s="23"/>
      <c r="D459" s="173" t="s">
        <v>67</v>
      </c>
      <c r="E459" s="174" t="s">
        <v>263</v>
      </c>
      <c r="F459" s="174" t="s">
        <v>810</v>
      </c>
      <c r="G459" s="23"/>
      <c r="H459" s="23"/>
      <c r="I459" s="23"/>
      <c r="J459" s="175">
        <f>BK459</f>
        <v>0</v>
      </c>
      <c r="K459" s="176"/>
      <c r="L459" s="23"/>
      <c r="M459" s="22"/>
      <c r="N459" s="23"/>
      <c r="O459" s="23"/>
      <c r="P459" s="24">
        <f>SUM(P462:P484)</f>
        <v>0</v>
      </c>
      <c r="Q459" s="23"/>
      <c r="R459" s="24">
        <f>SUM(R462:R484)</f>
        <v>0</v>
      </c>
      <c r="S459" s="23"/>
      <c r="T459" s="25">
        <f>SUM(T462:T484)</f>
        <v>0</v>
      </c>
      <c r="V459" s="23"/>
      <c r="W459" s="23"/>
      <c r="X459" s="23"/>
      <c r="Y459" s="23"/>
      <c r="Z459" s="23"/>
      <c r="AA459" s="23"/>
      <c r="AB459" s="23"/>
      <c r="AR459" s="26" t="s">
        <v>74</v>
      </c>
      <c r="AT459" s="27" t="s">
        <v>67</v>
      </c>
      <c r="AU459" s="27" t="s">
        <v>68</v>
      </c>
      <c r="AY459" s="26" t="s">
        <v>130</v>
      </c>
      <c r="BK459" s="28">
        <f>SUM(BK462:BK484)</f>
        <v>0</v>
      </c>
    </row>
    <row r="460" spans="1:65" s="5" customFormat="1" x14ac:dyDescent="0.2">
      <c r="B460" s="177"/>
      <c r="C460" s="16"/>
      <c r="D460" s="178" t="s">
        <v>340</v>
      </c>
      <c r="E460" s="16"/>
      <c r="F460" s="200" t="s">
        <v>1263</v>
      </c>
      <c r="G460" s="16"/>
      <c r="H460" s="180">
        <f>((5.18+1.61+1.65)*3.74)-(3*1.3*2.53)-(1.29*1.88)+(3*(2.53+1.3+2.53)*0.17)+(2*(1.29+1.88)*0.32)</f>
        <v>24.5458</v>
      </c>
      <c r="I460" s="16"/>
      <c r="J460" s="16"/>
      <c r="K460" s="181"/>
      <c r="L460" s="52"/>
      <c r="M460" s="52"/>
      <c r="N460" s="52"/>
      <c r="O460" s="52"/>
      <c r="P460" s="52"/>
      <c r="Q460" s="52"/>
      <c r="R460" s="52"/>
      <c r="S460" s="128"/>
      <c r="V460" s="16"/>
      <c r="W460" s="16"/>
      <c r="X460" s="16"/>
      <c r="Y460" s="16"/>
      <c r="Z460" s="16"/>
      <c r="AA460" s="16"/>
      <c r="AB460" s="16"/>
      <c r="AZ460" s="126" t="s">
        <v>148</v>
      </c>
      <c r="BA460" s="126" t="s">
        <v>74</v>
      </c>
    </row>
    <row r="461" spans="1:65" s="5" customFormat="1" ht="10.15" customHeight="1" x14ac:dyDescent="0.2">
      <c r="B461" s="177"/>
      <c r="C461" s="16"/>
      <c r="D461" s="178" t="s">
        <v>340</v>
      </c>
      <c r="E461" s="16"/>
      <c r="F461" s="200" t="s">
        <v>1264</v>
      </c>
      <c r="G461" s="16"/>
      <c r="H461" s="180">
        <f>5.18*1.63</f>
        <v>8.4433999999999987</v>
      </c>
      <c r="I461" s="16"/>
      <c r="J461" s="16"/>
      <c r="K461" s="181"/>
      <c r="L461" s="52"/>
      <c r="M461" s="52"/>
      <c r="N461" s="52"/>
      <c r="O461" s="52"/>
      <c r="P461" s="52"/>
      <c r="Q461" s="52"/>
      <c r="R461" s="52"/>
      <c r="S461" s="128"/>
      <c r="V461" s="16"/>
      <c r="W461" s="16"/>
      <c r="X461" s="16"/>
      <c r="Y461" s="16"/>
      <c r="Z461" s="16"/>
      <c r="AA461" s="16"/>
      <c r="AB461" s="16"/>
      <c r="AZ461" s="126" t="s">
        <v>148</v>
      </c>
      <c r="BA461" s="126" t="s">
        <v>74</v>
      </c>
    </row>
    <row r="462" spans="1:65" s="5" customFormat="1" ht="16.5" customHeight="1" x14ac:dyDescent="0.2">
      <c r="A462" s="105"/>
      <c r="B462" s="140"/>
      <c r="C462" s="33" t="s">
        <v>811</v>
      </c>
      <c r="D462" s="33" t="s">
        <v>131</v>
      </c>
      <c r="E462" s="34" t="s">
        <v>713</v>
      </c>
      <c r="F462" s="7" t="s">
        <v>714</v>
      </c>
      <c r="G462" s="35" t="s">
        <v>134</v>
      </c>
      <c r="H462" s="36">
        <v>32.988999999999997</v>
      </c>
      <c r="I462" s="1"/>
      <c r="J462" s="6">
        <f>ROUND(I462*H462,2)</f>
        <v>0</v>
      </c>
      <c r="K462" s="151" t="s">
        <v>1</v>
      </c>
      <c r="L462" s="17"/>
      <c r="M462" s="8" t="s">
        <v>1</v>
      </c>
      <c r="N462" s="9" t="s">
        <v>33</v>
      </c>
      <c r="O462" s="10">
        <v>0</v>
      </c>
      <c r="P462" s="10">
        <f>O462*H462</f>
        <v>0</v>
      </c>
      <c r="Q462" s="10">
        <v>0</v>
      </c>
      <c r="R462" s="10">
        <f>Q462*H462</f>
        <v>0</v>
      </c>
      <c r="S462" s="10">
        <v>0</v>
      </c>
      <c r="T462" s="11">
        <f>S462*H462</f>
        <v>0</v>
      </c>
      <c r="U462" s="105"/>
      <c r="V462" s="17"/>
      <c r="W462" s="17"/>
      <c r="X462" s="17"/>
      <c r="Y462" s="17"/>
      <c r="Z462" s="17"/>
      <c r="AA462" s="17"/>
      <c r="AB462" s="17"/>
      <c r="AC462" s="105"/>
      <c r="AD462" s="105"/>
      <c r="AE462" s="105"/>
      <c r="AR462" s="12" t="s">
        <v>135</v>
      </c>
      <c r="AT462" s="12" t="s">
        <v>131</v>
      </c>
      <c r="AU462" s="12" t="s">
        <v>74</v>
      </c>
      <c r="AY462" s="13" t="s">
        <v>130</v>
      </c>
      <c r="BE462" s="14">
        <f>IF(N462="základní",J462,0)</f>
        <v>0</v>
      </c>
      <c r="BF462" s="14">
        <f>IF(N462="snížená",J462,0)</f>
        <v>0</v>
      </c>
      <c r="BG462" s="14">
        <f>IF(N462="zákl. přenesená",J462,0)</f>
        <v>0</v>
      </c>
      <c r="BH462" s="14">
        <f>IF(N462="sníž. přenesená",J462,0)</f>
        <v>0</v>
      </c>
      <c r="BI462" s="14">
        <f>IF(N462="nulová",J462,0)</f>
        <v>0</v>
      </c>
      <c r="BJ462" s="13" t="s">
        <v>74</v>
      </c>
      <c r="BK462" s="14">
        <f>ROUND(I462*H462,2)</f>
        <v>0</v>
      </c>
      <c r="BL462" s="13" t="s">
        <v>135</v>
      </c>
      <c r="BM462" s="12" t="s">
        <v>812</v>
      </c>
    </row>
    <row r="463" spans="1:65" s="152" customFormat="1" x14ac:dyDescent="0.2">
      <c r="B463" s="153"/>
      <c r="C463" s="154"/>
      <c r="D463" s="141" t="s">
        <v>340</v>
      </c>
      <c r="E463" s="155" t="s">
        <v>1</v>
      </c>
      <c r="F463" s="156" t="s">
        <v>813</v>
      </c>
      <c r="G463" s="154"/>
      <c r="H463" s="157"/>
      <c r="I463" s="154"/>
      <c r="J463" s="154"/>
      <c r="K463" s="158"/>
      <c r="L463" s="154"/>
      <c r="M463" s="159"/>
      <c r="N463" s="154"/>
      <c r="O463" s="154"/>
      <c r="P463" s="154"/>
      <c r="Q463" s="154"/>
      <c r="R463" s="154"/>
      <c r="S463" s="154"/>
      <c r="T463" s="160"/>
      <c r="V463" s="154"/>
      <c r="W463" s="154"/>
      <c r="X463" s="154"/>
      <c r="Y463" s="154"/>
      <c r="Z463" s="154"/>
      <c r="AA463" s="154"/>
      <c r="AB463" s="154"/>
      <c r="AT463" s="161" t="s">
        <v>340</v>
      </c>
      <c r="AU463" s="161" t="s">
        <v>74</v>
      </c>
      <c r="AV463" s="152" t="s">
        <v>76</v>
      </c>
      <c r="AW463" s="152" t="s">
        <v>25</v>
      </c>
      <c r="AX463" s="152" t="s">
        <v>68</v>
      </c>
      <c r="AY463" s="161" t="s">
        <v>130</v>
      </c>
    </row>
    <row r="464" spans="1:65" s="162" customFormat="1" x14ac:dyDescent="0.2">
      <c r="B464" s="163"/>
      <c r="C464" s="164"/>
      <c r="D464" s="141" t="s">
        <v>340</v>
      </c>
      <c r="E464" s="165" t="s">
        <v>1</v>
      </c>
      <c r="F464" s="166" t="s">
        <v>342</v>
      </c>
      <c r="G464" s="164"/>
      <c r="H464" s="167">
        <v>32.988999999999997</v>
      </c>
      <c r="I464" s="164"/>
      <c r="J464" s="164"/>
      <c r="K464" s="168"/>
      <c r="L464" s="164"/>
      <c r="M464" s="169"/>
      <c r="N464" s="164"/>
      <c r="O464" s="164"/>
      <c r="P464" s="164"/>
      <c r="Q464" s="164"/>
      <c r="R464" s="164"/>
      <c r="S464" s="164"/>
      <c r="T464" s="170"/>
      <c r="V464" s="164"/>
      <c r="W464" s="164"/>
      <c r="X464" s="164"/>
      <c r="Y464" s="164"/>
      <c r="Z464" s="164"/>
      <c r="AA464" s="164"/>
      <c r="AB464" s="164"/>
      <c r="AT464" s="171" t="s">
        <v>340</v>
      </c>
      <c r="AU464" s="171" t="s">
        <v>74</v>
      </c>
      <c r="AV464" s="162" t="s">
        <v>135</v>
      </c>
      <c r="AW464" s="162" t="s">
        <v>25</v>
      </c>
      <c r="AX464" s="162" t="s">
        <v>74</v>
      </c>
      <c r="AY464" s="171" t="s">
        <v>130</v>
      </c>
    </row>
    <row r="465" spans="1:65" s="5" customFormat="1" ht="16.5" customHeight="1" x14ac:dyDescent="0.2">
      <c r="A465" s="105"/>
      <c r="B465" s="140"/>
      <c r="C465" s="33" t="s">
        <v>503</v>
      </c>
      <c r="D465" s="33" t="s">
        <v>131</v>
      </c>
      <c r="E465" s="34" t="s">
        <v>716</v>
      </c>
      <c r="F465" s="7" t="s">
        <v>717</v>
      </c>
      <c r="G465" s="35" t="s">
        <v>134</v>
      </c>
      <c r="H465" s="36">
        <v>6.5979999999999999</v>
      </c>
      <c r="I465" s="1"/>
      <c r="J465" s="6">
        <f>ROUND(I465*H465,2)</f>
        <v>0</v>
      </c>
      <c r="K465" s="151" t="s">
        <v>1</v>
      </c>
      <c r="L465" s="17"/>
      <c r="M465" s="8" t="s">
        <v>1</v>
      </c>
      <c r="N465" s="9" t="s">
        <v>33</v>
      </c>
      <c r="O465" s="10">
        <v>0</v>
      </c>
      <c r="P465" s="10">
        <f>O465*H465</f>
        <v>0</v>
      </c>
      <c r="Q465" s="10">
        <v>0</v>
      </c>
      <c r="R465" s="10">
        <f>Q465*H465</f>
        <v>0</v>
      </c>
      <c r="S465" s="10">
        <v>0</v>
      </c>
      <c r="T465" s="11">
        <f>S465*H465</f>
        <v>0</v>
      </c>
      <c r="U465" s="105"/>
      <c r="V465" s="17"/>
      <c r="W465" s="17"/>
      <c r="X465" s="17"/>
      <c r="Y465" s="17"/>
      <c r="Z465" s="17"/>
      <c r="AA465" s="17"/>
      <c r="AB465" s="17"/>
      <c r="AC465" s="105"/>
      <c r="AD465" s="105"/>
      <c r="AE465" s="105"/>
      <c r="AR465" s="12" t="s">
        <v>135</v>
      </c>
      <c r="AT465" s="12" t="s">
        <v>131</v>
      </c>
      <c r="AU465" s="12" t="s">
        <v>74</v>
      </c>
      <c r="AY465" s="13" t="s">
        <v>130</v>
      </c>
      <c r="BE465" s="14">
        <f>IF(N465="základní",J465,0)</f>
        <v>0</v>
      </c>
      <c r="BF465" s="14">
        <f>IF(N465="snížená",J465,0)</f>
        <v>0</v>
      </c>
      <c r="BG465" s="14">
        <f>IF(N465="zákl. přenesená",J465,0)</f>
        <v>0</v>
      </c>
      <c r="BH465" s="14">
        <f>IF(N465="sníž. přenesená",J465,0)</f>
        <v>0</v>
      </c>
      <c r="BI465" s="14">
        <f>IF(N465="nulová",J465,0)</f>
        <v>0</v>
      </c>
      <c r="BJ465" s="13" t="s">
        <v>74</v>
      </c>
      <c r="BK465" s="14">
        <f>ROUND(I465*H465,2)</f>
        <v>0</v>
      </c>
      <c r="BL465" s="13" t="s">
        <v>135</v>
      </c>
      <c r="BM465" s="12" t="s">
        <v>814</v>
      </c>
    </row>
    <row r="466" spans="1:65" s="5" customFormat="1" ht="19.5" x14ac:dyDescent="0.2">
      <c r="A466" s="105"/>
      <c r="B466" s="140"/>
      <c r="C466" s="17"/>
      <c r="D466" s="141" t="s">
        <v>148</v>
      </c>
      <c r="E466" s="17"/>
      <c r="F466" s="142" t="s">
        <v>718</v>
      </c>
      <c r="G466" s="17"/>
      <c r="H466" s="17"/>
      <c r="I466" s="17"/>
      <c r="J466" s="17"/>
      <c r="K466" s="143"/>
      <c r="L466" s="17"/>
      <c r="M466" s="15"/>
      <c r="N466" s="16"/>
      <c r="O466" s="17"/>
      <c r="P466" s="17"/>
      <c r="Q466" s="17"/>
      <c r="R466" s="17"/>
      <c r="S466" s="17"/>
      <c r="T466" s="18"/>
      <c r="U466" s="105"/>
      <c r="V466" s="17"/>
      <c r="W466" s="17"/>
      <c r="X466" s="17"/>
      <c r="Y466" s="17"/>
      <c r="Z466" s="17"/>
      <c r="AA466" s="17"/>
      <c r="AB466" s="17"/>
      <c r="AC466" s="105"/>
      <c r="AD466" s="105"/>
      <c r="AE466" s="105"/>
      <c r="AT466" s="13" t="s">
        <v>148</v>
      </c>
      <c r="AU466" s="13" t="s">
        <v>74</v>
      </c>
    </row>
    <row r="467" spans="1:65" s="5" customFormat="1" ht="16.5" customHeight="1" x14ac:dyDescent="0.2">
      <c r="A467" s="105"/>
      <c r="B467" s="140"/>
      <c r="C467" s="33" t="s">
        <v>815</v>
      </c>
      <c r="D467" s="33" t="s">
        <v>131</v>
      </c>
      <c r="E467" s="34" t="s">
        <v>187</v>
      </c>
      <c r="F467" s="7" t="s">
        <v>719</v>
      </c>
      <c r="G467" s="35" t="s">
        <v>134</v>
      </c>
      <c r="H467" s="36">
        <v>7.3639999999999999</v>
      </c>
      <c r="I467" s="1"/>
      <c r="J467" s="6">
        <f>ROUND(I467*H467,2)</f>
        <v>0</v>
      </c>
      <c r="K467" s="151" t="s">
        <v>1</v>
      </c>
      <c r="L467" s="17"/>
      <c r="M467" s="8" t="s">
        <v>1</v>
      </c>
      <c r="N467" s="9" t="s">
        <v>33</v>
      </c>
      <c r="O467" s="10">
        <v>0</v>
      </c>
      <c r="P467" s="10">
        <f>O467*H467</f>
        <v>0</v>
      </c>
      <c r="Q467" s="10">
        <v>0</v>
      </c>
      <c r="R467" s="10">
        <f>Q467*H467</f>
        <v>0</v>
      </c>
      <c r="S467" s="10">
        <v>0</v>
      </c>
      <c r="T467" s="11">
        <f>S467*H467</f>
        <v>0</v>
      </c>
      <c r="U467" s="105"/>
      <c r="V467" s="17"/>
      <c r="W467" s="17"/>
      <c r="X467" s="17"/>
      <c r="Y467" s="17"/>
      <c r="Z467" s="17"/>
      <c r="AA467" s="17"/>
      <c r="AB467" s="17"/>
      <c r="AC467" s="105"/>
      <c r="AD467" s="105"/>
      <c r="AE467" s="105"/>
      <c r="AR467" s="12" t="s">
        <v>135</v>
      </c>
      <c r="AT467" s="12" t="s">
        <v>131</v>
      </c>
      <c r="AU467" s="12" t="s">
        <v>74</v>
      </c>
      <c r="AY467" s="13" t="s">
        <v>130</v>
      </c>
      <c r="BE467" s="14">
        <f>IF(N467="základní",J467,0)</f>
        <v>0</v>
      </c>
      <c r="BF467" s="14">
        <f>IF(N467="snížená",J467,0)</f>
        <v>0</v>
      </c>
      <c r="BG467" s="14">
        <f>IF(N467="zákl. přenesená",J467,0)</f>
        <v>0</v>
      </c>
      <c r="BH467" s="14">
        <f>IF(N467="sníž. přenesená",J467,0)</f>
        <v>0</v>
      </c>
      <c r="BI467" s="14">
        <f>IF(N467="nulová",J467,0)</f>
        <v>0</v>
      </c>
      <c r="BJ467" s="13" t="s">
        <v>74</v>
      </c>
      <c r="BK467" s="14">
        <f>ROUND(I467*H467,2)</f>
        <v>0</v>
      </c>
      <c r="BL467" s="13" t="s">
        <v>135</v>
      </c>
      <c r="BM467" s="12" t="s">
        <v>816</v>
      </c>
    </row>
    <row r="468" spans="1:65" s="5" customFormat="1" ht="19.5" x14ac:dyDescent="0.2">
      <c r="A468" s="105"/>
      <c r="B468" s="140"/>
      <c r="C468" s="17"/>
      <c r="D468" s="141" t="s">
        <v>720</v>
      </c>
      <c r="E468" s="17"/>
      <c r="F468" s="142" t="s">
        <v>1242</v>
      </c>
      <c r="G468" s="17"/>
      <c r="H468" s="17"/>
      <c r="I468" s="17"/>
      <c r="J468" s="17"/>
      <c r="K468" s="143"/>
      <c r="L468" s="17"/>
      <c r="M468" s="15"/>
      <c r="N468" s="16"/>
      <c r="O468" s="17"/>
      <c r="P468" s="17"/>
      <c r="Q468" s="17"/>
      <c r="R468" s="17"/>
      <c r="S468" s="17"/>
      <c r="T468" s="18"/>
      <c r="U468" s="105"/>
      <c r="V468" s="17"/>
      <c r="W468" s="17"/>
      <c r="X468" s="17"/>
      <c r="Y468" s="17"/>
      <c r="Z468" s="17"/>
      <c r="AA468" s="17"/>
      <c r="AB468" s="17"/>
      <c r="AC468" s="105"/>
      <c r="AD468" s="105"/>
      <c r="AE468" s="105"/>
      <c r="AT468" s="13" t="s">
        <v>720</v>
      </c>
      <c r="AU468" s="13" t="s">
        <v>74</v>
      </c>
    </row>
    <row r="469" spans="1:65" s="5" customFormat="1" ht="16.5" customHeight="1" x14ac:dyDescent="0.2">
      <c r="A469" s="105"/>
      <c r="B469" s="140"/>
      <c r="C469" s="33" t="s">
        <v>505</v>
      </c>
      <c r="D469" s="33" t="s">
        <v>131</v>
      </c>
      <c r="E469" s="34" t="s">
        <v>735</v>
      </c>
      <c r="F469" s="7" t="s">
        <v>736</v>
      </c>
      <c r="G469" s="35" t="s">
        <v>134</v>
      </c>
      <c r="H469" s="36">
        <v>3</v>
      </c>
      <c r="I469" s="1"/>
      <c r="J469" s="6">
        <f>ROUND(I469*H469,2)</f>
        <v>0</v>
      </c>
      <c r="K469" s="151" t="s">
        <v>1</v>
      </c>
      <c r="L469" s="17"/>
      <c r="M469" s="8" t="s">
        <v>1</v>
      </c>
      <c r="N469" s="9" t="s">
        <v>33</v>
      </c>
      <c r="O469" s="10">
        <v>0</v>
      </c>
      <c r="P469" s="10">
        <f>O469*H469</f>
        <v>0</v>
      </c>
      <c r="Q469" s="10">
        <v>0</v>
      </c>
      <c r="R469" s="10">
        <f>Q469*H469</f>
        <v>0</v>
      </c>
      <c r="S469" s="10">
        <v>0</v>
      </c>
      <c r="T469" s="11">
        <f>S469*H469</f>
        <v>0</v>
      </c>
      <c r="U469" s="105"/>
      <c r="V469" s="17"/>
      <c r="W469" s="17"/>
      <c r="X469" s="17"/>
      <c r="Y469" s="17"/>
      <c r="Z469" s="17"/>
      <c r="AA469" s="17"/>
      <c r="AB469" s="17"/>
      <c r="AC469" s="105"/>
      <c r="AD469" s="105"/>
      <c r="AE469" s="105"/>
      <c r="AR469" s="12" t="s">
        <v>135</v>
      </c>
      <c r="AT469" s="12" t="s">
        <v>131</v>
      </c>
      <c r="AU469" s="12" t="s">
        <v>74</v>
      </c>
      <c r="AY469" s="13" t="s">
        <v>130</v>
      </c>
      <c r="BE469" s="14">
        <f>IF(N469="základní",J469,0)</f>
        <v>0</v>
      </c>
      <c r="BF469" s="14">
        <f>IF(N469="snížená",J469,0)</f>
        <v>0</v>
      </c>
      <c r="BG469" s="14">
        <f>IF(N469="zákl. přenesená",J469,0)</f>
        <v>0</v>
      </c>
      <c r="BH469" s="14">
        <f>IF(N469="sníž. přenesená",J469,0)</f>
        <v>0</v>
      </c>
      <c r="BI469" s="14">
        <f>IF(N469="nulová",J469,0)</f>
        <v>0</v>
      </c>
      <c r="BJ469" s="13" t="s">
        <v>74</v>
      </c>
      <c r="BK469" s="14">
        <f>ROUND(I469*H469,2)</f>
        <v>0</v>
      </c>
      <c r="BL469" s="13" t="s">
        <v>135</v>
      </c>
      <c r="BM469" s="12" t="s">
        <v>817</v>
      </c>
    </row>
    <row r="470" spans="1:65" s="5" customFormat="1" ht="19.5" x14ac:dyDescent="0.2">
      <c r="A470" s="105"/>
      <c r="B470" s="140"/>
      <c r="C470" s="17"/>
      <c r="D470" s="141" t="s">
        <v>148</v>
      </c>
      <c r="E470" s="17"/>
      <c r="F470" s="142" t="s">
        <v>737</v>
      </c>
      <c r="G470" s="17"/>
      <c r="H470" s="17"/>
      <c r="I470" s="17"/>
      <c r="J470" s="17"/>
      <c r="K470" s="143"/>
      <c r="L470" s="17"/>
      <c r="M470" s="15"/>
      <c r="N470" s="16"/>
      <c r="O470" s="17"/>
      <c r="P470" s="17"/>
      <c r="Q470" s="17"/>
      <c r="R470" s="17"/>
      <c r="S470" s="17"/>
      <c r="T470" s="18"/>
      <c r="U470" s="105"/>
      <c r="V470" s="17"/>
      <c r="W470" s="17"/>
      <c r="X470" s="17"/>
      <c r="Y470" s="17"/>
      <c r="Z470" s="17"/>
      <c r="AA470" s="17"/>
      <c r="AB470" s="17"/>
      <c r="AC470" s="105"/>
      <c r="AD470" s="105"/>
      <c r="AE470" s="105"/>
      <c r="AT470" s="13" t="s">
        <v>148</v>
      </c>
      <c r="AU470" s="13" t="s">
        <v>74</v>
      </c>
    </row>
    <row r="471" spans="1:65" s="5" customFormat="1" ht="16.5" customHeight="1" x14ac:dyDescent="0.2">
      <c r="A471" s="105"/>
      <c r="B471" s="140"/>
      <c r="C471" s="33" t="s">
        <v>818</v>
      </c>
      <c r="D471" s="33" t="s">
        <v>131</v>
      </c>
      <c r="E471" s="34" t="s">
        <v>232</v>
      </c>
      <c r="F471" s="7" t="s">
        <v>722</v>
      </c>
      <c r="G471" s="35" t="s">
        <v>723</v>
      </c>
      <c r="H471" s="36">
        <v>5.2999999999999999E-2</v>
      </c>
      <c r="I471" s="1"/>
      <c r="J471" s="6">
        <f>ROUND(I471*H471,2)</f>
        <v>0</v>
      </c>
      <c r="K471" s="151" t="s">
        <v>1</v>
      </c>
      <c r="L471" s="17"/>
      <c r="M471" s="8" t="s">
        <v>1</v>
      </c>
      <c r="N471" s="9" t="s">
        <v>33</v>
      </c>
      <c r="O471" s="10">
        <v>0</v>
      </c>
      <c r="P471" s="10">
        <f>O471*H471</f>
        <v>0</v>
      </c>
      <c r="Q471" s="10">
        <v>0</v>
      </c>
      <c r="R471" s="10">
        <f>Q471*H471</f>
        <v>0</v>
      </c>
      <c r="S471" s="10">
        <v>0</v>
      </c>
      <c r="T471" s="11">
        <f>S471*H471</f>
        <v>0</v>
      </c>
      <c r="U471" s="105"/>
      <c r="V471" s="17"/>
      <c r="W471" s="17"/>
      <c r="X471" s="17"/>
      <c r="Y471" s="17"/>
      <c r="Z471" s="17"/>
      <c r="AA471" s="17"/>
      <c r="AB471" s="17"/>
      <c r="AC471" s="105"/>
      <c r="AD471" s="105"/>
      <c r="AE471" s="105"/>
      <c r="AR471" s="12" t="s">
        <v>135</v>
      </c>
      <c r="AT471" s="12" t="s">
        <v>131</v>
      </c>
      <c r="AU471" s="12" t="s">
        <v>74</v>
      </c>
      <c r="AY471" s="13" t="s">
        <v>130</v>
      </c>
      <c r="BE471" s="14">
        <f>IF(N471="základní",J471,0)</f>
        <v>0</v>
      </c>
      <c r="BF471" s="14">
        <f>IF(N471="snížená",J471,0)</f>
        <v>0</v>
      </c>
      <c r="BG471" s="14">
        <f>IF(N471="zákl. přenesená",J471,0)</f>
        <v>0</v>
      </c>
      <c r="BH471" s="14">
        <f>IF(N471="sníž. přenesená",J471,0)</f>
        <v>0</v>
      </c>
      <c r="BI471" s="14">
        <f>IF(N471="nulová",J471,0)</f>
        <v>0</v>
      </c>
      <c r="BJ471" s="13" t="s">
        <v>74</v>
      </c>
      <c r="BK471" s="14">
        <f>ROUND(I471*H471,2)</f>
        <v>0</v>
      </c>
      <c r="BL471" s="13" t="s">
        <v>135</v>
      </c>
      <c r="BM471" s="12" t="s">
        <v>819</v>
      </c>
    </row>
    <row r="472" spans="1:65" s="5" customFormat="1" ht="16.5" customHeight="1" x14ac:dyDescent="0.2">
      <c r="A472" s="105"/>
      <c r="B472" s="140"/>
      <c r="C472" s="33" t="s">
        <v>507</v>
      </c>
      <c r="D472" s="33" t="s">
        <v>131</v>
      </c>
      <c r="E472" s="34" t="s">
        <v>246</v>
      </c>
      <c r="F472" s="7" t="s">
        <v>724</v>
      </c>
      <c r="G472" s="35" t="s">
        <v>723</v>
      </c>
      <c r="H472" s="36">
        <v>5.2999999999999999E-2</v>
      </c>
      <c r="I472" s="1"/>
      <c r="J472" s="6">
        <f>ROUND(I472*H472,2)</f>
        <v>0</v>
      </c>
      <c r="K472" s="151" t="s">
        <v>1</v>
      </c>
      <c r="L472" s="17"/>
      <c r="M472" s="8" t="s">
        <v>1</v>
      </c>
      <c r="N472" s="9" t="s">
        <v>33</v>
      </c>
      <c r="O472" s="10">
        <v>0</v>
      </c>
      <c r="P472" s="10">
        <f>O472*H472</f>
        <v>0</v>
      </c>
      <c r="Q472" s="10">
        <v>0</v>
      </c>
      <c r="R472" s="10">
        <f>Q472*H472</f>
        <v>0</v>
      </c>
      <c r="S472" s="10">
        <v>0</v>
      </c>
      <c r="T472" s="11">
        <f>S472*H472</f>
        <v>0</v>
      </c>
      <c r="U472" s="105"/>
      <c r="V472" s="17"/>
      <c r="W472" s="17"/>
      <c r="X472" s="17"/>
      <c r="Y472" s="17"/>
      <c r="Z472" s="17"/>
      <c r="AA472" s="17"/>
      <c r="AB472" s="17"/>
      <c r="AC472" s="105"/>
      <c r="AD472" s="105"/>
      <c r="AE472" s="105"/>
      <c r="AR472" s="12" t="s">
        <v>135</v>
      </c>
      <c r="AT472" s="12" t="s">
        <v>131</v>
      </c>
      <c r="AU472" s="12" t="s">
        <v>74</v>
      </c>
      <c r="AY472" s="13" t="s">
        <v>130</v>
      </c>
      <c r="BE472" s="14">
        <f>IF(N472="základní",J472,0)</f>
        <v>0</v>
      </c>
      <c r="BF472" s="14">
        <f>IF(N472="snížená",J472,0)</f>
        <v>0</v>
      </c>
      <c r="BG472" s="14">
        <f>IF(N472="zákl. přenesená",J472,0)</f>
        <v>0</v>
      </c>
      <c r="BH472" s="14">
        <f>IF(N472="sníž. přenesená",J472,0)</f>
        <v>0</v>
      </c>
      <c r="BI472" s="14">
        <f>IF(N472="nulová",J472,0)</f>
        <v>0</v>
      </c>
      <c r="BJ472" s="13" t="s">
        <v>74</v>
      </c>
      <c r="BK472" s="14">
        <f>ROUND(I472*H472,2)</f>
        <v>0</v>
      </c>
      <c r="BL472" s="13" t="s">
        <v>135</v>
      </c>
      <c r="BM472" s="12" t="s">
        <v>820</v>
      </c>
    </row>
    <row r="473" spans="1:65" s="5" customFormat="1" ht="16.5" customHeight="1" x14ac:dyDescent="0.2">
      <c r="A473" s="105"/>
      <c r="B473" s="140"/>
      <c r="C473" s="33" t="s">
        <v>821</v>
      </c>
      <c r="D473" s="33" t="s">
        <v>131</v>
      </c>
      <c r="E473" s="34" t="s">
        <v>744</v>
      </c>
      <c r="F473" s="7" t="s">
        <v>745</v>
      </c>
      <c r="G473" s="35" t="s">
        <v>134</v>
      </c>
      <c r="H473" s="36">
        <v>3</v>
      </c>
      <c r="I473" s="1"/>
      <c r="J473" s="6">
        <f>ROUND(I473*H473,2)</f>
        <v>0</v>
      </c>
      <c r="K473" s="151" t="s">
        <v>1</v>
      </c>
      <c r="L473" s="17"/>
      <c r="M473" s="8" t="s">
        <v>1</v>
      </c>
      <c r="N473" s="9" t="s">
        <v>33</v>
      </c>
      <c r="O473" s="10">
        <v>0</v>
      </c>
      <c r="P473" s="10">
        <f>O473*H473</f>
        <v>0</v>
      </c>
      <c r="Q473" s="10">
        <v>0</v>
      </c>
      <c r="R473" s="10">
        <f>Q473*H473</f>
        <v>0</v>
      </c>
      <c r="S473" s="10">
        <v>0</v>
      </c>
      <c r="T473" s="11">
        <f>S473*H473</f>
        <v>0</v>
      </c>
      <c r="U473" s="105"/>
      <c r="V473" s="17"/>
      <c r="W473" s="17"/>
      <c r="X473" s="17"/>
      <c r="Y473" s="17"/>
      <c r="Z473" s="17"/>
      <c r="AA473" s="17"/>
      <c r="AB473" s="17"/>
      <c r="AC473" s="105"/>
      <c r="AD473" s="105"/>
      <c r="AE473" s="105"/>
      <c r="AR473" s="12" t="s">
        <v>135</v>
      </c>
      <c r="AT473" s="12" t="s">
        <v>131</v>
      </c>
      <c r="AU473" s="12" t="s">
        <v>74</v>
      </c>
      <c r="AY473" s="13" t="s">
        <v>130</v>
      </c>
      <c r="BE473" s="14">
        <f>IF(N473="základní",J473,0)</f>
        <v>0</v>
      </c>
      <c r="BF473" s="14">
        <f>IF(N473="snížená",J473,0)</f>
        <v>0</v>
      </c>
      <c r="BG473" s="14">
        <f>IF(N473="zákl. přenesená",J473,0)</f>
        <v>0</v>
      </c>
      <c r="BH473" s="14">
        <f>IF(N473="sníž. přenesená",J473,0)</f>
        <v>0</v>
      </c>
      <c r="BI473" s="14">
        <f>IF(N473="nulová",J473,0)</f>
        <v>0</v>
      </c>
      <c r="BJ473" s="13" t="s">
        <v>74</v>
      </c>
      <c r="BK473" s="14">
        <f>ROUND(I473*H473,2)</f>
        <v>0</v>
      </c>
      <c r="BL473" s="13" t="s">
        <v>135</v>
      </c>
      <c r="BM473" s="12" t="s">
        <v>822</v>
      </c>
    </row>
    <row r="474" spans="1:65" s="5" customFormat="1" ht="19.5" x14ac:dyDescent="0.2">
      <c r="A474" s="105"/>
      <c r="B474" s="140"/>
      <c r="C474" s="17"/>
      <c r="D474" s="141" t="s">
        <v>148</v>
      </c>
      <c r="E474" s="17"/>
      <c r="F474" s="142" t="s">
        <v>737</v>
      </c>
      <c r="G474" s="17"/>
      <c r="H474" s="17"/>
      <c r="I474" s="17"/>
      <c r="J474" s="17"/>
      <c r="K474" s="143"/>
      <c r="L474" s="17"/>
      <c r="M474" s="15"/>
      <c r="N474" s="16"/>
      <c r="O474" s="17"/>
      <c r="P474" s="17"/>
      <c r="Q474" s="17"/>
      <c r="R474" s="17"/>
      <c r="S474" s="17"/>
      <c r="T474" s="18"/>
      <c r="U474" s="105"/>
      <c r="V474" s="17"/>
      <c r="W474" s="17"/>
      <c r="X474" s="17"/>
      <c r="Y474" s="17"/>
      <c r="Z474" s="17"/>
      <c r="AA474" s="17"/>
      <c r="AB474" s="17"/>
      <c r="AC474" s="105"/>
      <c r="AD474" s="105"/>
      <c r="AE474" s="105"/>
      <c r="AT474" s="13" t="s">
        <v>148</v>
      </c>
      <c r="AU474" s="13" t="s">
        <v>74</v>
      </c>
    </row>
    <row r="475" spans="1:65" s="5" customFormat="1" ht="16.5" customHeight="1" x14ac:dyDescent="0.2">
      <c r="A475" s="105"/>
      <c r="B475" s="140"/>
      <c r="C475" s="33" t="s">
        <v>508</v>
      </c>
      <c r="D475" s="33" t="s">
        <v>131</v>
      </c>
      <c r="E475" s="34" t="s">
        <v>741</v>
      </c>
      <c r="F475" s="7" t="s">
        <v>742</v>
      </c>
      <c r="G475" s="35" t="s">
        <v>134</v>
      </c>
      <c r="H475" s="36">
        <v>3</v>
      </c>
      <c r="I475" s="1"/>
      <c r="J475" s="6">
        <f>ROUND(I475*H475,2)</f>
        <v>0</v>
      </c>
      <c r="K475" s="151" t="s">
        <v>1</v>
      </c>
      <c r="L475" s="17"/>
      <c r="M475" s="8" t="s">
        <v>1</v>
      </c>
      <c r="N475" s="9" t="s">
        <v>33</v>
      </c>
      <c r="O475" s="10">
        <v>0</v>
      </c>
      <c r="P475" s="10">
        <f>O475*H475</f>
        <v>0</v>
      </c>
      <c r="Q475" s="10">
        <v>0</v>
      </c>
      <c r="R475" s="10">
        <f>Q475*H475</f>
        <v>0</v>
      </c>
      <c r="S475" s="10">
        <v>0</v>
      </c>
      <c r="T475" s="11">
        <f>S475*H475</f>
        <v>0</v>
      </c>
      <c r="U475" s="105"/>
      <c r="V475" s="17"/>
      <c r="W475" s="17"/>
      <c r="X475" s="17"/>
      <c r="Y475" s="17"/>
      <c r="Z475" s="17"/>
      <c r="AA475" s="17"/>
      <c r="AB475" s="17"/>
      <c r="AC475" s="105"/>
      <c r="AD475" s="105"/>
      <c r="AE475" s="105"/>
      <c r="AR475" s="12" t="s">
        <v>135</v>
      </c>
      <c r="AT475" s="12" t="s">
        <v>131</v>
      </c>
      <c r="AU475" s="12" t="s">
        <v>74</v>
      </c>
      <c r="AY475" s="13" t="s">
        <v>130</v>
      </c>
      <c r="BE475" s="14">
        <f>IF(N475="základní",J475,0)</f>
        <v>0</v>
      </c>
      <c r="BF475" s="14">
        <f>IF(N475="snížená",J475,0)</f>
        <v>0</v>
      </c>
      <c r="BG475" s="14">
        <f>IF(N475="zákl. přenesená",J475,0)</f>
        <v>0</v>
      </c>
      <c r="BH475" s="14">
        <f>IF(N475="sníž. přenesená",J475,0)</f>
        <v>0</v>
      </c>
      <c r="BI475" s="14">
        <f>IF(N475="nulová",J475,0)</f>
        <v>0</v>
      </c>
      <c r="BJ475" s="13" t="s">
        <v>74</v>
      </c>
      <c r="BK475" s="14">
        <f>ROUND(I475*H475,2)</f>
        <v>0</v>
      </c>
      <c r="BL475" s="13" t="s">
        <v>135</v>
      </c>
      <c r="BM475" s="12" t="s">
        <v>823</v>
      </c>
    </row>
    <row r="476" spans="1:65" s="5" customFormat="1" ht="39" x14ac:dyDescent="0.2">
      <c r="A476" s="105"/>
      <c r="B476" s="140"/>
      <c r="C476" s="17"/>
      <c r="D476" s="141" t="s">
        <v>148</v>
      </c>
      <c r="E476" s="17"/>
      <c r="F476" s="142" t="s">
        <v>743</v>
      </c>
      <c r="G476" s="17"/>
      <c r="H476" s="17"/>
      <c r="I476" s="17"/>
      <c r="J476" s="17"/>
      <c r="K476" s="143"/>
      <c r="L476" s="17"/>
      <c r="M476" s="15"/>
      <c r="N476" s="16"/>
      <c r="O476" s="17"/>
      <c r="P476" s="17"/>
      <c r="Q476" s="17"/>
      <c r="R476" s="17"/>
      <c r="S476" s="17"/>
      <c r="T476" s="18"/>
      <c r="U476" s="105"/>
      <c r="V476" s="17"/>
      <c r="W476" s="17"/>
      <c r="X476" s="17"/>
      <c r="Y476" s="17"/>
      <c r="Z476" s="17"/>
      <c r="AA476" s="17"/>
      <c r="AB476" s="17"/>
      <c r="AC476" s="105"/>
      <c r="AD476" s="105"/>
      <c r="AE476" s="105"/>
      <c r="AT476" s="13" t="s">
        <v>148</v>
      </c>
      <c r="AU476" s="13" t="s">
        <v>74</v>
      </c>
    </row>
    <row r="477" spans="1:65" s="5" customFormat="1" ht="16.5" customHeight="1" x14ac:dyDescent="0.2">
      <c r="A477" s="105"/>
      <c r="B477" s="140"/>
      <c r="C477" s="33" t="s">
        <v>824</v>
      </c>
      <c r="D477" s="33" t="s">
        <v>131</v>
      </c>
      <c r="E477" s="34" t="s">
        <v>728</v>
      </c>
      <c r="F477" s="7" t="s">
        <v>729</v>
      </c>
      <c r="G477" s="35" t="s">
        <v>134</v>
      </c>
      <c r="H477" s="36">
        <v>32.988999999999997</v>
      </c>
      <c r="I477" s="1"/>
      <c r="J477" s="6">
        <f>ROUND(I477*H477,2)</f>
        <v>0</v>
      </c>
      <c r="K477" s="151" t="s">
        <v>1</v>
      </c>
      <c r="L477" s="17"/>
      <c r="M477" s="8" t="s">
        <v>1</v>
      </c>
      <c r="N477" s="9" t="s">
        <v>33</v>
      </c>
      <c r="O477" s="10">
        <v>0</v>
      </c>
      <c r="P477" s="10">
        <f>O477*H477</f>
        <v>0</v>
      </c>
      <c r="Q477" s="10">
        <v>0</v>
      </c>
      <c r="R477" s="10">
        <f>Q477*H477</f>
        <v>0</v>
      </c>
      <c r="S477" s="10">
        <v>0</v>
      </c>
      <c r="T477" s="11">
        <f>S477*H477</f>
        <v>0</v>
      </c>
      <c r="U477" s="105"/>
      <c r="V477" s="17"/>
      <c r="W477" s="17"/>
      <c r="X477" s="17"/>
      <c r="Y477" s="17"/>
      <c r="Z477" s="17"/>
      <c r="AA477" s="17"/>
      <c r="AB477" s="17"/>
      <c r="AC477" s="105"/>
      <c r="AD477" s="105"/>
      <c r="AE477" s="105"/>
      <c r="AR477" s="12" t="s">
        <v>135</v>
      </c>
      <c r="AT477" s="12" t="s">
        <v>131</v>
      </c>
      <c r="AU477" s="12" t="s">
        <v>74</v>
      </c>
      <c r="AY477" s="13" t="s">
        <v>130</v>
      </c>
      <c r="BE477" s="14">
        <f>IF(N477="základní",J477,0)</f>
        <v>0</v>
      </c>
      <c r="BF477" s="14">
        <f>IF(N477="snížená",J477,0)</f>
        <v>0</v>
      </c>
      <c r="BG477" s="14">
        <f>IF(N477="zákl. přenesená",J477,0)</f>
        <v>0</v>
      </c>
      <c r="BH477" s="14">
        <f>IF(N477="sníž. přenesená",J477,0)</f>
        <v>0</v>
      </c>
      <c r="BI477" s="14">
        <f>IF(N477="nulová",J477,0)</f>
        <v>0</v>
      </c>
      <c r="BJ477" s="13" t="s">
        <v>74</v>
      </c>
      <c r="BK477" s="14">
        <f>ROUND(I477*H477,2)</f>
        <v>0</v>
      </c>
      <c r="BL477" s="13" t="s">
        <v>135</v>
      </c>
      <c r="BM477" s="12" t="s">
        <v>825</v>
      </c>
    </row>
    <row r="478" spans="1:65" s="5" customFormat="1" ht="16.5" customHeight="1" x14ac:dyDescent="0.2">
      <c r="A478" s="105"/>
      <c r="B478" s="140"/>
      <c r="C478" s="33" t="s">
        <v>510</v>
      </c>
      <c r="D478" s="33" t="s">
        <v>131</v>
      </c>
      <c r="E478" s="34" t="s">
        <v>764</v>
      </c>
      <c r="F478" s="7" t="s">
        <v>726</v>
      </c>
      <c r="G478" s="35" t="s">
        <v>134</v>
      </c>
      <c r="H478" s="36">
        <v>32.988999999999997</v>
      </c>
      <c r="I478" s="1"/>
      <c r="J478" s="6">
        <f>ROUND(I478*H478,2)</f>
        <v>0</v>
      </c>
      <c r="K478" s="151" t="s">
        <v>1</v>
      </c>
      <c r="L478" s="17"/>
      <c r="M478" s="8" t="s">
        <v>1</v>
      </c>
      <c r="N478" s="9" t="s">
        <v>33</v>
      </c>
      <c r="O478" s="10">
        <v>0</v>
      </c>
      <c r="P478" s="10">
        <f>O478*H478</f>
        <v>0</v>
      </c>
      <c r="Q478" s="10">
        <v>0</v>
      </c>
      <c r="R478" s="10">
        <f>Q478*H478</f>
        <v>0</v>
      </c>
      <c r="S478" s="10">
        <v>0</v>
      </c>
      <c r="T478" s="11">
        <f>S478*H478</f>
        <v>0</v>
      </c>
      <c r="U478" s="105"/>
      <c r="V478" s="17"/>
      <c r="W478" s="17"/>
      <c r="X478" s="17"/>
      <c r="Y478" s="17"/>
      <c r="Z478" s="17"/>
      <c r="AA478" s="17"/>
      <c r="AB478" s="17"/>
      <c r="AC478" s="105"/>
      <c r="AD478" s="105"/>
      <c r="AE478" s="105"/>
      <c r="AR478" s="12" t="s">
        <v>135</v>
      </c>
      <c r="AT478" s="12" t="s">
        <v>131</v>
      </c>
      <c r="AU478" s="12" t="s">
        <v>74</v>
      </c>
      <c r="AY478" s="13" t="s">
        <v>130</v>
      </c>
      <c r="BE478" s="14">
        <f>IF(N478="základní",J478,0)</f>
        <v>0</v>
      </c>
      <c r="BF478" s="14">
        <f>IF(N478="snížená",J478,0)</f>
        <v>0</v>
      </c>
      <c r="BG478" s="14">
        <f>IF(N478="zákl. přenesená",J478,0)</f>
        <v>0</v>
      </c>
      <c r="BH478" s="14">
        <f>IF(N478="sníž. přenesená",J478,0)</f>
        <v>0</v>
      </c>
      <c r="BI478" s="14">
        <f>IF(N478="nulová",J478,0)</f>
        <v>0</v>
      </c>
      <c r="BJ478" s="13" t="s">
        <v>74</v>
      </c>
      <c r="BK478" s="14">
        <f>ROUND(I478*H478,2)</f>
        <v>0</v>
      </c>
      <c r="BL478" s="13" t="s">
        <v>135</v>
      </c>
      <c r="BM478" s="12" t="s">
        <v>826</v>
      </c>
    </row>
    <row r="479" spans="1:65" s="5" customFormat="1" ht="29.25" x14ac:dyDescent="0.2">
      <c r="A479" s="105"/>
      <c r="B479" s="140"/>
      <c r="C479" s="17"/>
      <c r="D479" s="141" t="s">
        <v>148</v>
      </c>
      <c r="E479" s="17"/>
      <c r="F479" s="142" t="s">
        <v>747</v>
      </c>
      <c r="G479" s="17"/>
      <c r="H479" s="17"/>
      <c r="I479" s="17"/>
      <c r="J479" s="17"/>
      <c r="K479" s="143"/>
      <c r="L479" s="17"/>
      <c r="M479" s="15"/>
      <c r="N479" s="16"/>
      <c r="O479" s="17"/>
      <c r="P479" s="17"/>
      <c r="Q479" s="17"/>
      <c r="R479" s="17"/>
      <c r="S479" s="17"/>
      <c r="T479" s="18"/>
      <c r="U479" s="105"/>
      <c r="V479" s="17"/>
      <c r="W479" s="17"/>
      <c r="X479" s="17"/>
      <c r="Y479" s="17"/>
      <c r="Z479" s="17"/>
      <c r="AA479" s="17"/>
      <c r="AB479" s="17"/>
      <c r="AC479" s="105"/>
      <c r="AD479" s="105"/>
      <c r="AE479" s="105"/>
      <c r="AT479" s="13" t="s">
        <v>148</v>
      </c>
      <c r="AU479" s="13" t="s">
        <v>74</v>
      </c>
    </row>
    <row r="480" spans="1:65" s="5" customFormat="1" ht="16.5" customHeight="1" x14ac:dyDescent="0.2">
      <c r="A480" s="105"/>
      <c r="B480" s="140"/>
      <c r="C480" s="33" t="s">
        <v>827</v>
      </c>
      <c r="D480" s="33" t="s">
        <v>131</v>
      </c>
      <c r="E480" s="34" t="s">
        <v>758</v>
      </c>
      <c r="F480" s="7" t="s">
        <v>759</v>
      </c>
      <c r="G480" s="35" t="s">
        <v>134</v>
      </c>
      <c r="H480" s="36">
        <v>11.816000000000001</v>
      </c>
      <c r="I480" s="1"/>
      <c r="J480" s="6">
        <f>ROUND(I480*H480,2)</f>
        <v>0</v>
      </c>
      <c r="K480" s="151" t="s">
        <v>1</v>
      </c>
      <c r="L480" s="17"/>
      <c r="M480" s="8" t="s">
        <v>1</v>
      </c>
      <c r="N480" s="9" t="s">
        <v>33</v>
      </c>
      <c r="O480" s="10">
        <v>0</v>
      </c>
      <c r="P480" s="10">
        <f>O480*H480</f>
        <v>0</v>
      </c>
      <c r="Q480" s="10">
        <v>0</v>
      </c>
      <c r="R480" s="10">
        <f>Q480*H480</f>
        <v>0</v>
      </c>
      <c r="S480" s="10">
        <v>0</v>
      </c>
      <c r="T480" s="11">
        <f>S480*H480</f>
        <v>0</v>
      </c>
      <c r="U480" s="105"/>
      <c r="V480" s="17"/>
      <c r="W480" s="17"/>
      <c r="X480" s="17"/>
      <c r="Y480" s="17"/>
      <c r="Z480" s="17"/>
      <c r="AA480" s="17"/>
      <c r="AB480" s="17"/>
      <c r="AC480" s="105"/>
      <c r="AD480" s="105"/>
      <c r="AE480" s="105"/>
      <c r="AR480" s="12" t="s">
        <v>135</v>
      </c>
      <c r="AT480" s="12" t="s">
        <v>131</v>
      </c>
      <c r="AU480" s="12" t="s">
        <v>74</v>
      </c>
      <c r="AY480" s="13" t="s">
        <v>130</v>
      </c>
      <c r="BE480" s="14">
        <f>IF(N480="základní",J480,0)</f>
        <v>0</v>
      </c>
      <c r="BF480" s="14">
        <f>IF(N480="snížená",J480,0)</f>
        <v>0</v>
      </c>
      <c r="BG480" s="14">
        <f>IF(N480="zákl. přenesená",J480,0)</f>
        <v>0</v>
      </c>
      <c r="BH480" s="14">
        <f>IF(N480="sníž. přenesená",J480,0)</f>
        <v>0</v>
      </c>
      <c r="BI480" s="14">
        <f>IF(N480="nulová",J480,0)</f>
        <v>0</v>
      </c>
      <c r="BJ480" s="13" t="s">
        <v>74</v>
      </c>
      <c r="BK480" s="14">
        <f>ROUND(I480*H480,2)</f>
        <v>0</v>
      </c>
      <c r="BL480" s="13" t="s">
        <v>135</v>
      </c>
      <c r="BM480" s="12" t="s">
        <v>828</v>
      </c>
    </row>
    <row r="481" spans="1:65" s="5" customFormat="1" x14ac:dyDescent="0.2">
      <c r="B481" s="177"/>
      <c r="C481" s="16"/>
      <c r="D481" s="178" t="s">
        <v>340</v>
      </c>
      <c r="E481" s="16"/>
      <c r="F481" s="200" t="s">
        <v>1265</v>
      </c>
      <c r="G481" s="16"/>
      <c r="H481" s="16">
        <f>(5.18+1.61+1.65)*1.4</f>
        <v>11.815999999999999</v>
      </c>
      <c r="I481" s="16"/>
      <c r="J481" s="16"/>
      <c r="K481" s="181"/>
      <c r="L481" s="52"/>
      <c r="M481" s="52"/>
      <c r="N481" s="52"/>
      <c r="O481" s="52"/>
      <c r="P481" s="52"/>
      <c r="Q481" s="52"/>
      <c r="R481" s="52"/>
      <c r="S481" s="128"/>
      <c r="V481" s="16"/>
      <c r="W481" s="16"/>
      <c r="X481" s="16"/>
      <c r="Y481" s="16"/>
      <c r="Z481" s="16"/>
      <c r="AA481" s="16"/>
      <c r="AB481" s="16"/>
      <c r="AZ481" s="126" t="s">
        <v>148</v>
      </c>
      <c r="BA481" s="126" t="s">
        <v>74</v>
      </c>
    </row>
    <row r="482" spans="1:65" s="5" customFormat="1" ht="21.75" customHeight="1" x14ac:dyDescent="0.2">
      <c r="A482" s="105"/>
      <c r="B482" s="140"/>
      <c r="C482" s="33" t="s">
        <v>511</v>
      </c>
      <c r="D482" s="33" t="s">
        <v>131</v>
      </c>
      <c r="E482" s="34" t="s">
        <v>748</v>
      </c>
      <c r="F482" s="7" t="s">
        <v>749</v>
      </c>
      <c r="G482" s="35" t="s">
        <v>134</v>
      </c>
      <c r="H482" s="36">
        <v>13.95</v>
      </c>
      <c r="I482" s="1"/>
      <c r="J482" s="6">
        <f>ROUND(I482*H482,2)</f>
        <v>0</v>
      </c>
      <c r="K482" s="151" t="s">
        <v>1</v>
      </c>
      <c r="L482" s="17"/>
      <c r="M482" s="8" t="s">
        <v>1</v>
      </c>
      <c r="N482" s="9" t="s">
        <v>33</v>
      </c>
      <c r="O482" s="10">
        <v>0</v>
      </c>
      <c r="P482" s="10">
        <f>O482*H482</f>
        <v>0</v>
      </c>
      <c r="Q482" s="10">
        <v>0</v>
      </c>
      <c r="R482" s="10">
        <f>Q482*H482</f>
        <v>0</v>
      </c>
      <c r="S482" s="10">
        <v>0</v>
      </c>
      <c r="T482" s="11">
        <f>S482*H482</f>
        <v>0</v>
      </c>
      <c r="U482" s="105"/>
      <c r="V482" s="17"/>
      <c r="W482" s="17"/>
      <c r="X482" s="17"/>
      <c r="Y482" s="17"/>
      <c r="Z482" s="17"/>
      <c r="AA482" s="17"/>
      <c r="AB482" s="17"/>
      <c r="AC482" s="105"/>
      <c r="AD482" s="105"/>
      <c r="AE482" s="105"/>
      <c r="AR482" s="12" t="s">
        <v>135</v>
      </c>
      <c r="AT482" s="12" t="s">
        <v>131</v>
      </c>
      <c r="AU482" s="12" t="s">
        <v>74</v>
      </c>
      <c r="AY482" s="13" t="s">
        <v>130</v>
      </c>
      <c r="BE482" s="14">
        <f>IF(N482="základní",J482,0)</f>
        <v>0</v>
      </c>
      <c r="BF482" s="14">
        <f>IF(N482="snížená",J482,0)</f>
        <v>0</v>
      </c>
      <c r="BG482" s="14">
        <f>IF(N482="zákl. přenesená",J482,0)</f>
        <v>0</v>
      </c>
      <c r="BH482" s="14">
        <f>IF(N482="sníž. přenesená",J482,0)</f>
        <v>0</v>
      </c>
      <c r="BI482" s="14">
        <f>IF(N482="nulová",J482,0)</f>
        <v>0</v>
      </c>
      <c r="BJ482" s="13" t="s">
        <v>74</v>
      </c>
      <c r="BK482" s="14">
        <f>ROUND(I482*H482,2)</f>
        <v>0</v>
      </c>
      <c r="BL482" s="13" t="s">
        <v>135</v>
      </c>
      <c r="BM482" s="12" t="s">
        <v>829</v>
      </c>
    </row>
    <row r="483" spans="1:65" s="152" customFormat="1" x14ac:dyDescent="0.2">
      <c r="B483" s="153"/>
      <c r="C483" s="154"/>
      <c r="D483" s="141" t="s">
        <v>340</v>
      </c>
      <c r="E483" s="155" t="s">
        <v>1</v>
      </c>
      <c r="F483" s="156" t="s">
        <v>830</v>
      </c>
      <c r="G483" s="154"/>
      <c r="H483" s="157"/>
      <c r="I483" s="154"/>
      <c r="J483" s="154"/>
      <c r="K483" s="158"/>
      <c r="L483" s="154"/>
      <c r="M483" s="159"/>
      <c r="N483" s="154"/>
      <c r="O483" s="154"/>
      <c r="P483" s="154"/>
      <c r="Q483" s="154"/>
      <c r="R483" s="154"/>
      <c r="S483" s="154"/>
      <c r="T483" s="160"/>
      <c r="V483" s="154"/>
      <c r="W483" s="154"/>
      <c r="X483" s="154"/>
      <c r="Y483" s="154"/>
      <c r="Z483" s="154"/>
      <c r="AA483" s="154"/>
      <c r="AB483" s="154"/>
      <c r="AT483" s="161" t="s">
        <v>340</v>
      </c>
      <c r="AU483" s="161" t="s">
        <v>74</v>
      </c>
      <c r="AV483" s="152" t="s">
        <v>76</v>
      </c>
      <c r="AW483" s="152" t="s">
        <v>25</v>
      </c>
      <c r="AX483" s="152" t="s">
        <v>68</v>
      </c>
      <c r="AY483" s="161" t="s">
        <v>130</v>
      </c>
    </row>
    <row r="484" spans="1:65" s="162" customFormat="1" x14ac:dyDescent="0.2">
      <c r="B484" s="163"/>
      <c r="C484" s="164"/>
      <c r="D484" s="141" t="s">
        <v>340</v>
      </c>
      <c r="E484" s="165" t="s">
        <v>1</v>
      </c>
      <c r="F484" s="166" t="s">
        <v>342</v>
      </c>
      <c r="G484" s="164"/>
      <c r="H484" s="167">
        <v>13.95</v>
      </c>
      <c r="I484" s="164"/>
      <c r="J484" s="164"/>
      <c r="K484" s="168"/>
      <c r="L484" s="164"/>
      <c r="M484" s="169"/>
      <c r="N484" s="164"/>
      <c r="O484" s="164"/>
      <c r="P484" s="164"/>
      <c r="Q484" s="164"/>
      <c r="R484" s="164"/>
      <c r="S484" s="164"/>
      <c r="T484" s="170"/>
      <c r="V484" s="164"/>
      <c r="W484" s="164"/>
      <c r="X484" s="164"/>
      <c r="Y484" s="164"/>
      <c r="Z484" s="164"/>
      <c r="AA484" s="164"/>
      <c r="AB484" s="164"/>
      <c r="AT484" s="171" t="s">
        <v>340</v>
      </c>
      <c r="AU484" s="171" t="s">
        <v>74</v>
      </c>
      <c r="AV484" s="162" t="s">
        <v>135</v>
      </c>
      <c r="AW484" s="162" t="s">
        <v>25</v>
      </c>
      <c r="AX484" s="162" t="s">
        <v>74</v>
      </c>
      <c r="AY484" s="171" t="s">
        <v>130</v>
      </c>
    </row>
    <row r="485" spans="1:65" s="20" customFormat="1" ht="25.9" customHeight="1" x14ac:dyDescent="0.2">
      <c r="B485" s="172"/>
      <c r="C485" s="23"/>
      <c r="D485" s="173" t="s">
        <v>67</v>
      </c>
      <c r="E485" s="174" t="s">
        <v>271</v>
      </c>
      <c r="F485" s="174" t="s">
        <v>831</v>
      </c>
      <c r="G485" s="23"/>
      <c r="H485" s="23"/>
      <c r="I485" s="23"/>
      <c r="J485" s="175">
        <f>BK485</f>
        <v>0</v>
      </c>
      <c r="K485" s="176"/>
      <c r="L485" s="23"/>
      <c r="M485" s="22"/>
      <c r="N485" s="23"/>
      <c r="O485" s="23"/>
      <c r="P485" s="24">
        <f>SUM(P487:P508)</f>
        <v>0</v>
      </c>
      <c r="Q485" s="23"/>
      <c r="R485" s="24">
        <f>SUM(R487:R508)</f>
        <v>0</v>
      </c>
      <c r="S485" s="23"/>
      <c r="T485" s="25">
        <f>SUM(T487:T508)</f>
        <v>0</v>
      </c>
      <c r="V485" s="23"/>
      <c r="W485" s="23"/>
      <c r="X485" s="23"/>
      <c r="Y485" s="23"/>
      <c r="Z485" s="23"/>
      <c r="AA485" s="23"/>
      <c r="AB485" s="23"/>
      <c r="AR485" s="26" t="s">
        <v>74</v>
      </c>
      <c r="AT485" s="27" t="s">
        <v>67</v>
      </c>
      <c r="AU485" s="27" t="s">
        <v>68</v>
      </c>
      <c r="AY485" s="26" t="s">
        <v>130</v>
      </c>
      <c r="BK485" s="28">
        <f>SUM(BK487:BK508)</f>
        <v>0</v>
      </c>
    </row>
    <row r="486" spans="1:65" s="5" customFormat="1" x14ac:dyDescent="0.2">
      <c r="B486" s="177"/>
      <c r="C486" s="16"/>
      <c r="D486" s="178" t="s">
        <v>340</v>
      </c>
      <c r="E486" s="16"/>
      <c r="F486" s="200" t="s">
        <v>1266</v>
      </c>
      <c r="G486" s="16"/>
      <c r="H486" s="180">
        <f>((3.91+5.78)*3.74)-(2*1.1*1.88)+(2*(1.1+1.88)*2*0.36)</f>
        <v>36.395800000000008</v>
      </c>
      <c r="I486" s="16"/>
      <c r="J486" s="16"/>
      <c r="K486" s="181"/>
      <c r="L486" s="52"/>
      <c r="M486" s="52"/>
      <c r="N486" s="52"/>
      <c r="O486" s="52"/>
      <c r="P486" s="52"/>
      <c r="Q486" s="52"/>
      <c r="R486" s="52"/>
      <c r="S486" s="128"/>
      <c r="V486" s="16"/>
      <c r="W486" s="16"/>
      <c r="X486" s="16"/>
      <c r="Y486" s="16"/>
      <c r="Z486" s="16"/>
      <c r="AA486" s="16"/>
      <c r="AB486" s="16"/>
      <c r="AZ486" s="126" t="s">
        <v>148</v>
      </c>
      <c r="BA486" s="126" t="s">
        <v>74</v>
      </c>
    </row>
    <row r="487" spans="1:65" s="5" customFormat="1" ht="16.5" customHeight="1" x14ac:dyDescent="0.2">
      <c r="A487" s="105"/>
      <c r="B487" s="140"/>
      <c r="C487" s="33" t="s">
        <v>832</v>
      </c>
      <c r="D487" s="33" t="s">
        <v>131</v>
      </c>
      <c r="E487" s="34" t="s">
        <v>713</v>
      </c>
      <c r="F487" s="7" t="s">
        <v>714</v>
      </c>
      <c r="G487" s="35" t="s">
        <v>134</v>
      </c>
      <c r="H487" s="36">
        <v>36.396000000000001</v>
      </c>
      <c r="I487" s="1"/>
      <c r="J487" s="6">
        <f>ROUND(I487*H487,2)</f>
        <v>0</v>
      </c>
      <c r="K487" s="151" t="s">
        <v>1</v>
      </c>
      <c r="L487" s="17"/>
      <c r="M487" s="8" t="s">
        <v>1</v>
      </c>
      <c r="N487" s="9" t="s">
        <v>33</v>
      </c>
      <c r="O487" s="10">
        <v>0</v>
      </c>
      <c r="P487" s="10">
        <f>O487*H487</f>
        <v>0</v>
      </c>
      <c r="Q487" s="10">
        <v>0</v>
      </c>
      <c r="R487" s="10">
        <f>Q487*H487</f>
        <v>0</v>
      </c>
      <c r="S487" s="10">
        <v>0</v>
      </c>
      <c r="T487" s="11">
        <f>S487*H487</f>
        <v>0</v>
      </c>
      <c r="U487" s="105"/>
      <c r="V487" s="17"/>
      <c r="W487" s="17"/>
      <c r="X487" s="17"/>
      <c r="Y487" s="17"/>
      <c r="Z487" s="17"/>
      <c r="AA487" s="17"/>
      <c r="AB487" s="17"/>
      <c r="AC487" s="105"/>
      <c r="AD487" s="105"/>
      <c r="AE487" s="105"/>
      <c r="AR487" s="12" t="s">
        <v>135</v>
      </c>
      <c r="AT487" s="12" t="s">
        <v>131</v>
      </c>
      <c r="AU487" s="12" t="s">
        <v>74</v>
      </c>
      <c r="AY487" s="13" t="s">
        <v>130</v>
      </c>
      <c r="BE487" s="14">
        <f>IF(N487="základní",J487,0)</f>
        <v>0</v>
      </c>
      <c r="BF487" s="14">
        <f>IF(N487="snížená",J487,0)</f>
        <v>0</v>
      </c>
      <c r="BG487" s="14">
        <f>IF(N487="zákl. přenesená",J487,0)</f>
        <v>0</v>
      </c>
      <c r="BH487" s="14">
        <f>IF(N487="sníž. přenesená",J487,0)</f>
        <v>0</v>
      </c>
      <c r="BI487" s="14">
        <f>IF(N487="nulová",J487,0)</f>
        <v>0</v>
      </c>
      <c r="BJ487" s="13" t="s">
        <v>74</v>
      </c>
      <c r="BK487" s="14">
        <f>ROUND(I487*H487,2)</f>
        <v>0</v>
      </c>
      <c r="BL487" s="13" t="s">
        <v>135</v>
      </c>
      <c r="BM487" s="12" t="s">
        <v>833</v>
      </c>
    </row>
    <row r="488" spans="1:65" s="5" customFormat="1" ht="16.5" customHeight="1" x14ac:dyDescent="0.2">
      <c r="A488" s="105"/>
      <c r="B488" s="140"/>
      <c r="C488" s="33" t="s">
        <v>514</v>
      </c>
      <c r="D488" s="33" t="s">
        <v>131</v>
      </c>
      <c r="E488" s="34" t="s">
        <v>716</v>
      </c>
      <c r="F488" s="7" t="s">
        <v>717</v>
      </c>
      <c r="G488" s="35" t="s">
        <v>134</v>
      </c>
      <c r="H488" s="36">
        <v>7.2789999999999999</v>
      </c>
      <c r="I488" s="1"/>
      <c r="J488" s="6">
        <f>ROUND(I488*H488,2)</f>
        <v>0</v>
      </c>
      <c r="K488" s="151" t="s">
        <v>1</v>
      </c>
      <c r="L488" s="17"/>
      <c r="M488" s="8" t="s">
        <v>1</v>
      </c>
      <c r="N488" s="9" t="s">
        <v>33</v>
      </c>
      <c r="O488" s="10">
        <v>0</v>
      </c>
      <c r="P488" s="10">
        <f>O488*H488</f>
        <v>0</v>
      </c>
      <c r="Q488" s="10">
        <v>0</v>
      </c>
      <c r="R488" s="10">
        <f>Q488*H488</f>
        <v>0</v>
      </c>
      <c r="S488" s="10">
        <v>0</v>
      </c>
      <c r="T488" s="11">
        <f>S488*H488</f>
        <v>0</v>
      </c>
      <c r="U488" s="105"/>
      <c r="V488" s="17"/>
      <c r="W488" s="17"/>
      <c r="X488" s="17"/>
      <c r="Y488" s="17"/>
      <c r="Z488" s="17"/>
      <c r="AA488" s="17"/>
      <c r="AB488" s="17"/>
      <c r="AC488" s="105"/>
      <c r="AD488" s="105"/>
      <c r="AE488" s="105"/>
      <c r="AR488" s="12" t="s">
        <v>135</v>
      </c>
      <c r="AT488" s="12" t="s">
        <v>131</v>
      </c>
      <c r="AU488" s="12" t="s">
        <v>74</v>
      </c>
      <c r="AY488" s="13" t="s">
        <v>130</v>
      </c>
      <c r="BE488" s="14">
        <f>IF(N488="základní",J488,0)</f>
        <v>0</v>
      </c>
      <c r="BF488" s="14">
        <f>IF(N488="snížená",J488,0)</f>
        <v>0</v>
      </c>
      <c r="BG488" s="14">
        <f>IF(N488="zákl. přenesená",J488,0)</f>
        <v>0</v>
      </c>
      <c r="BH488" s="14">
        <f>IF(N488="sníž. přenesená",J488,0)</f>
        <v>0</v>
      </c>
      <c r="BI488" s="14">
        <f>IF(N488="nulová",J488,0)</f>
        <v>0</v>
      </c>
      <c r="BJ488" s="13" t="s">
        <v>74</v>
      </c>
      <c r="BK488" s="14">
        <f>ROUND(I488*H488,2)</f>
        <v>0</v>
      </c>
      <c r="BL488" s="13" t="s">
        <v>135</v>
      </c>
      <c r="BM488" s="12" t="s">
        <v>834</v>
      </c>
    </row>
    <row r="489" spans="1:65" s="5" customFormat="1" ht="19.5" x14ac:dyDescent="0.2">
      <c r="A489" s="105"/>
      <c r="B489" s="140"/>
      <c r="C489" s="17"/>
      <c r="D489" s="141" t="s">
        <v>148</v>
      </c>
      <c r="E489" s="17"/>
      <c r="F489" s="142" t="s">
        <v>718</v>
      </c>
      <c r="G489" s="17"/>
      <c r="H489" s="17"/>
      <c r="I489" s="17"/>
      <c r="J489" s="17"/>
      <c r="K489" s="143"/>
      <c r="L489" s="17"/>
      <c r="M489" s="15"/>
      <c r="N489" s="16"/>
      <c r="O489" s="17"/>
      <c r="P489" s="17"/>
      <c r="Q489" s="17"/>
      <c r="R489" s="17"/>
      <c r="S489" s="17"/>
      <c r="T489" s="18"/>
      <c r="U489" s="105"/>
      <c r="V489" s="17"/>
      <c r="W489" s="17"/>
      <c r="X489" s="17"/>
      <c r="Y489" s="17"/>
      <c r="Z489" s="17"/>
      <c r="AA489" s="17"/>
      <c r="AB489" s="17"/>
      <c r="AC489" s="105"/>
      <c r="AD489" s="105"/>
      <c r="AE489" s="105"/>
      <c r="AT489" s="13" t="s">
        <v>148</v>
      </c>
      <c r="AU489" s="13" t="s">
        <v>74</v>
      </c>
    </row>
    <row r="490" spans="1:65" s="5" customFormat="1" ht="16.5" customHeight="1" x14ac:dyDescent="0.2">
      <c r="A490" s="105"/>
      <c r="B490" s="140"/>
      <c r="C490" s="33" t="s">
        <v>835</v>
      </c>
      <c r="D490" s="33" t="s">
        <v>131</v>
      </c>
      <c r="E490" s="34" t="s">
        <v>187</v>
      </c>
      <c r="F490" s="7" t="s">
        <v>719</v>
      </c>
      <c r="G490" s="35" t="s">
        <v>134</v>
      </c>
      <c r="H490" s="36">
        <v>10.919</v>
      </c>
      <c r="I490" s="1"/>
      <c r="J490" s="6">
        <f>ROUND(I490*H490,2)</f>
        <v>0</v>
      </c>
      <c r="K490" s="151" t="s">
        <v>1</v>
      </c>
      <c r="L490" s="17"/>
      <c r="M490" s="8" t="s">
        <v>1</v>
      </c>
      <c r="N490" s="9" t="s">
        <v>33</v>
      </c>
      <c r="O490" s="10">
        <v>0</v>
      </c>
      <c r="P490" s="10">
        <f>O490*H490</f>
        <v>0</v>
      </c>
      <c r="Q490" s="10">
        <v>0</v>
      </c>
      <c r="R490" s="10">
        <f>Q490*H490</f>
        <v>0</v>
      </c>
      <c r="S490" s="10">
        <v>0</v>
      </c>
      <c r="T490" s="11">
        <f>S490*H490</f>
        <v>0</v>
      </c>
      <c r="U490" s="105"/>
      <c r="V490" s="17"/>
      <c r="W490" s="17"/>
      <c r="X490" s="17"/>
      <c r="Y490" s="17"/>
      <c r="Z490" s="17"/>
      <c r="AA490" s="17"/>
      <c r="AB490" s="17"/>
      <c r="AC490" s="105"/>
      <c r="AD490" s="105"/>
      <c r="AE490" s="105"/>
      <c r="AR490" s="12" t="s">
        <v>135</v>
      </c>
      <c r="AT490" s="12" t="s">
        <v>131</v>
      </c>
      <c r="AU490" s="12" t="s">
        <v>74</v>
      </c>
      <c r="AY490" s="13" t="s">
        <v>130</v>
      </c>
      <c r="BE490" s="14">
        <f>IF(N490="základní",J490,0)</f>
        <v>0</v>
      </c>
      <c r="BF490" s="14">
        <f>IF(N490="snížená",J490,0)</f>
        <v>0</v>
      </c>
      <c r="BG490" s="14">
        <f>IF(N490="zákl. přenesená",J490,0)</f>
        <v>0</v>
      </c>
      <c r="BH490" s="14">
        <f>IF(N490="sníž. přenesená",J490,0)</f>
        <v>0</v>
      </c>
      <c r="BI490" s="14">
        <f>IF(N490="nulová",J490,0)</f>
        <v>0</v>
      </c>
      <c r="BJ490" s="13" t="s">
        <v>74</v>
      </c>
      <c r="BK490" s="14">
        <f>ROUND(I490*H490,2)</f>
        <v>0</v>
      </c>
      <c r="BL490" s="13" t="s">
        <v>135</v>
      </c>
      <c r="BM490" s="12" t="s">
        <v>836</v>
      </c>
    </row>
    <row r="491" spans="1:65" s="5" customFormat="1" ht="19.5" x14ac:dyDescent="0.2">
      <c r="A491" s="105"/>
      <c r="B491" s="140"/>
      <c r="C491" s="17"/>
      <c r="D491" s="141" t="s">
        <v>720</v>
      </c>
      <c r="E491" s="17"/>
      <c r="F491" s="142" t="s">
        <v>1242</v>
      </c>
      <c r="G491" s="17"/>
      <c r="H491" s="17"/>
      <c r="I491" s="17"/>
      <c r="J491" s="17"/>
      <c r="K491" s="143"/>
      <c r="L491" s="17"/>
      <c r="M491" s="15"/>
      <c r="N491" s="16"/>
      <c r="O491" s="17"/>
      <c r="P491" s="17"/>
      <c r="Q491" s="17"/>
      <c r="R491" s="17"/>
      <c r="S491" s="17"/>
      <c r="T491" s="18"/>
      <c r="U491" s="105"/>
      <c r="V491" s="17"/>
      <c r="W491" s="17"/>
      <c r="X491" s="17"/>
      <c r="Y491" s="17"/>
      <c r="Z491" s="17"/>
      <c r="AA491" s="17"/>
      <c r="AB491" s="17"/>
      <c r="AC491" s="105"/>
      <c r="AD491" s="105"/>
      <c r="AE491" s="105"/>
      <c r="AT491" s="13" t="s">
        <v>720</v>
      </c>
      <c r="AU491" s="13" t="s">
        <v>74</v>
      </c>
    </row>
    <row r="492" spans="1:65" s="5" customFormat="1" ht="16.5" customHeight="1" x14ac:dyDescent="0.2">
      <c r="A492" s="105"/>
      <c r="B492" s="140"/>
      <c r="C492" s="33" t="s">
        <v>515</v>
      </c>
      <c r="D492" s="33" t="s">
        <v>131</v>
      </c>
      <c r="E492" s="34" t="s">
        <v>232</v>
      </c>
      <c r="F492" s="7" t="s">
        <v>722</v>
      </c>
      <c r="G492" s="35" t="s">
        <v>723</v>
      </c>
      <c r="H492" s="36">
        <v>5.8000000000000003E-2</v>
      </c>
      <c r="I492" s="1"/>
      <c r="J492" s="6">
        <f>ROUND(I492*H492,2)</f>
        <v>0</v>
      </c>
      <c r="K492" s="151" t="s">
        <v>1</v>
      </c>
      <c r="L492" s="17"/>
      <c r="M492" s="8" t="s">
        <v>1</v>
      </c>
      <c r="N492" s="9" t="s">
        <v>33</v>
      </c>
      <c r="O492" s="10">
        <v>0</v>
      </c>
      <c r="P492" s="10">
        <f>O492*H492</f>
        <v>0</v>
      </c>
      <c r="Q492" s="10">
        <v>0</v>
      </c>
      <c r="R492" s="10">
        <f>Q492*H492</f>
        <v>0</v>
      </c>
      <c r="S492" s="10">
        <v>0</v>
      </c>
      <c r="T492" s="11">
        <f>S492*H492</f>
        <v>0</v>
      </c>
      <c r="U492" s="105"/>
      <c r="V492" s="17"/>
      <c r="W492" s="17"/>
      <c r="X492" s="17"/>
      <c r="Y492" s="17"/>
      <c r="Z492" s="17"/>
      <c r="AA492" s="17"/>
      <c r="AB492" s="17"/>
      <c r="AC492" s="105"/>
      <c r="AD492" s="105"/>
      <c r="AE492" s="105"/>
      <c r="AR492" s="12" t="s">
        <v>135</v>
      </c>
      <c r="AT492" s="12" t="s">
        <v>131</v>
      </c>
      <c r="AU492" s="12" t="s">
        <v>74</v>
      </c>
      <c r="AY492" s="13" t="s">
        <v>130</v>
      </c>
      <c r="BE492" s="14">
        <f>IF(N492="základní",J492,0)</f>
        <v>0</v>
      </c>
      <c r="BF492" s="14">
        <f>IF(N492="snížená",J492,0)</f>
        <v>0</v>
      </c>
      <c r="BG492" s="14">
        <f>IF(N492="zákl. přenesená",J492,0)</f>
        <v>0</v>
      </c>
      <c r="BH492" s="14">
        <f>IF(N492="sníž. přenesená",J492,0)</f>
        <v>0</v>
      </c>
      <c r="BI492" s="14">
        <f>IF(N492="nulová",J492,0)</f>
        <v>0</v>
      </c>
      <c r="BJ492" s="13" t="s">
        <v>74</v>
      </c>
      <c r="BK492" s="14">
        <f>ROUND(I492*H492,2)</f>
        <v>0</v>
      </c>
      <c r="BL492" s="13" t="s">
        <v>135</v>
      </c>
      <c r="BM492" s="12" t="s">
        <v>837</v>
      </c>
    </row>
    <row r="493" spans="1:65" s="5" customFormat="1" ht="16.5" customHeight="1" x14ac:dyDescent="0.2">
      <c r="A493" s="105"/>
      <c r="B493" s="140"/>
      <c r="C493" s="33" t="s">
        <v>838</v>
      </c>
      <c r="D493" s="33" t="s">
        <v>131</v>
      </c>
      <c r="E493" s="34" t="s">
        <v>246</v>
      </c>
      <c r="F493" s="7" t="s">
        <v>724</v>
      </c>
      <c r="G493" s="35" t="s">
        <v>723</v>
      </c>
      <c r="H493" s="36">
        <v>5.8000000000000003E-2</v>
      </c>
      <c r="I493" s="1"/>
      <c r="J493" s="6">
        <f>ROUND(I493*H493,2)</f>
        <v>0</v>
      </c>
      <c r="K493" s="151" t="s">
        <v>1</v>
      </c>
      <c r="L493" s="17"/>
      <c r="M493" s="8" t="s">
        <v>1</v>
      </c>
      <c r="N493" s="9" t="s">
        <v>33</v>
      </c>
      <c r="O493" s="10">
        <v>0</v>
      </c>
      <c r="P493" s="10">
        <f>O493*H493</f>
        <v>0</v>
      </c>
      <c r="Q493" s="10">
        <v>0</v>
      </c>
      <c r="R493" s="10">
        <f>Q493*H493</f>
        <v>0</v>
      </c>
      <c r="S493" s="10">
        <v>0</v>
      </c>
      <c r="T493" s="11">
        <f>S493*H493</f>
        <v>0</v>
      </c>
      <c r="U493" s="105"/>
      <c r="V493" s="17"/>
      <c r="W493" s="17"/>
      <c r="X493" s="17"/>
      <c r="Y493" s="17"/>
      <c r="Z493" s="17"/>
      <c r="AA493" s="17"/>
      <c r="AB493" s="17"/>
      <c r="AC493" s="105"/>
      <c r="AD493" s="105"/>
      <c r="AE493" s="105"/>
      <c r="AR493" s="12" t="s">
        <v>135</v>
      </c>
      <c r="AT493" s="12" t="s">
        <v>131</v>
      </c>
      <c r="AU493" s="12" t="s">
        <v>74</v>
      </c>
      <c r="AY493" s="13" t="s">
        <v>130</v>
      </c>
      <c r="BE493" s="14">
        <f>IF(N493="základní",J493,0)</f>
        <v>0</v>
      </c>
      <c r="BF493" s="14">
        <f>IF(N493="snížená",J493,0)</f>
        <v>0</v>
      </c>
      <c r="BG493" s="14">
        <f>IF(N493="zákl. přenesená",J493,0)</f>
        <v>0</v>
      </c>
      <c r="BH493" s="14">
        <f>IF(N493="sníž. přenesená",J493,0)</f>
        <v>0</v>
      </c>
      <c r="BI493" s="14">
        <f>IF(N493="nulová",J493,0)</f>
        <v>0</v>
      </c>
      <c r="BJ493" s="13" t="s">
        <v>74</v>
      </c>
      <c r="BK493" s="14">
        <f>ROUND(I493*H493,2)</f>
        <v>0</v>
      </c>
      <c r="BL493" s="13" t="s">
        <v>135</v>
      </c>
      <c r="BM493" s="12" t="s">
        <v>839</v>
      </c>
    </row>
    <row r="494" spans="1:65" s="5" customFormat="1" ht="16.5" customHeight="1" x14ac:dyDescent="0.2">
      <c r="A494" s="105"/>
      <c r="B494" s="140"/>
      <c r="C494" s="33" t="s">
        <v>517</v>
      </c>
      <c r="D494" s="33" t="s">
        <v>131</v>
      </c>
      <c r="E494" s="34" t="s">
        <v>735</v>
      </c>
      <c r="F494" s="7" t="s">
        <v>736</v>
      </c>
      <c r="G494" s="35" t="s">
        <v>134</v>
      </c>
      <c r="H494" s="36">
        <v>3</v>
      </c>
      <c r="I494" s="1"/>
      <c r="J494" s="6">
        <f>ROUND(I494*H494,2)</f>
        <v>0</v>
      </c>
      <c r="K494" s="151" t="s">
        <v>1</v>
      </c>
      <c r="L494" s="17"/>
      <c r="M494" s="8" t="s">
        <v>1</v>
      </c>
      <c r="N494" s="9" t="s">
        <v>33</v>
      </c>
      <c r="O494" s="10">
        <v>0</v>
      </c>
      <c r="P494" s="10">
        <f>O494*H494</f>
        <v>0</v>
      </c>
      <c r="Q494" s="10">
        <v>0</v>
      </c>
      <c r="R494" s="10">
        <f>Q494*H494</f>
        <v>0</v>
      </c>
      <c r="S494" s="10">
        <v>0</v>
      </c>
      <c r="T494" s="11">
        <f>S494*H494</f>
        <v>0</v>
      </c>
      <c r="U494" s="105"/>
      <c r="V494" s="17"/>
      <c r="W494" s="17"/>
      <c r="X494" s="17"/>
      <c r="Y494" s="17"/>
      <c r="Z494" s="17"/>
      <c r="AA494" s="17"/>
      <c r="AB494" s="17"/>
      <c r="AC494" s="105"/>
      <c r="AD494" s="105"/>
      <c r="AE494" s="105"/>
      <c r="AR494" s="12" t="s">
        <v>135</v>
      </c>
      <c r="AT494" s="12" t="s">
        <v>131</v>
      </c>
      <c r="AU494" s="12" t="s">
        <v>74</v>
      </c>
      <c r="AY494" s="13" t="s">
        <v>130</v>
      </c>
      <c r="BE494" s="14">
        <f>IF(N494="základní",J494,0)</f>
        <v>0</v>
      </c>
      <c r="BF494" s="14">
        <f>IF(N494="snížená",J494,0)</f>
        <v>0</v>
      </c>
      <c r="BG494" s="14">
        <f>IF(N494="zákl. přenesená",J494,0)</f>
        <v>0</v>
      </c>
      <c r="BH494" s="14">
        <f>IF(N494="sníž. přenesená",J494,0)</f>
        <v>0</v>
      </c>
      <c r="BI494" s="14">
        <f>IF(N494="nulová",J494,0)</f>
        <v>0</v>
      </c>
      <c r="BJ494" s="13" t="s">
        <v>74</v>
      </c>
      <c r="BK494" s="14">
        <f>ROUND(I494*H494,2)</f>
        <v>0</v>
      </c>
      <c r="BL494" s="13" t="s">
        <v>135</v>
      </c>
      <c r="BM494" s="12" t="s">
        <v>840</v>
      </c>
    </row>
    <row r="495" spans="1:65" s="5" customFormat="1" ht="19.5" x14ac:dyDescent="0.2">
      <c r="A495" s="105"/>
      <c r="B495" s="140"/>
      <c r="C495" s="17"/>
      <c r="D495" s="141" t="s">
        <v>148</v>
      </c>
      <c r="E495" s="17"/>
      <c r="F495" s="142" t="s">
        <v>737</v>
      </c>
      <c r="G495" s="17"/>
      <c r="H495" s="17"/>
      <c r="I495" s="17"/>
      <c r="J495" s="17"/>
      <c r="K495" s="143"/>
      <c r="L495" s="17"/>
      <c r="M495" s="15"/>
      <c r="N495" s="16"/>
      <c r="O495" s="17"/>
      <c r="P495" s="17"/>
      <c r="Q495" s="17"/>
      <c r="R495" s="17"/>
      <c r="S495" s="17"/>
      <c r="T495" s="18"/>
      <c r="U495" s="105"/>
      <c r="V495" s="17"/>
      <c r="W495" s="17"/>
      <c r="X495" s="17"/>
      <c r="Y495" s="17"/>
      <c r="Z495" s="17"/>
      <c r="AA495" s="17"/>
      <c r="AB495" s="17"/>
      <c r="AC495" s="105"/>
      <c r="AD495" s="105"/>
      <c r="AE495" s="105"/>
      <c r="AT495" s="13" t="s">
        <v>148</v>
      </c>
      <c r="AU495" s="13" t="s">
        <v>74</v>
      </c>
    </row>
    <row r="496" spans="1:65" s="5" customFormat="1" ht="16.5" customHeight="1" x14ac:dyDescent="0.2">
      <c r="A496" s="105"/>
      <c r="B496" s="140"/>
      <c r="C496" s="33" t="s">
        <v>841</v>
      </c>
      <c r="D496" s="33" t="s">
        <v>131</v>
      </c>
      <c r="E496" s="34" t="s">
        <v>741</v>
      </c>
      <c r="F496" s="7" t="s">
        <v>742</v>
      </c>
      <c r="G496" s="35" t="s">
        <v>134</v>
      </c>
      <c r="H496" s="36">
        <v>3</v>
      </c>
      <c r="I496" s="1"/>
      <c r="J496" s="6">
        <f>ROUND(I496*H496,2)</f>
        <v>0</v>
      </c>
      <c r="K496" s="151" t="s">
        <v>1</v>
      </c>
      <c r="L496" s="17"/>
      <c r="M496" s="8" t="s">
        <v>1</v>
      </c>
      <c r="N496" s="9" t="s">
        <v>33</v>
      </c>
      <c r="O496" s="10">
        <v>0</v>
      </c>
      <c r="P496" s="10">
        <f>O496*H496</f>
        <v>0</v>
      </c>
      <c r="Q496" s="10">
        <v>0</v>
      </c>
      <c r="R496" s="10">
        <f>Q496*H496</f>
        <v>0</v>
      </c>
      <c r="S496" s="10">
        <v>0</v>
      </c>
      <c r="T496" s="11">
        <f>S496*H496</f>
        <v>0</v>
      </c>
      <c r="U496" s="105"/>
      <c r="V496" s="17"/>
      <c r="W496" s="17"/>
      <c r="X496" s="17"/>
      <c r="Y496" s="17"/>
      <c r="Z496" s="17"/>
      <c r="AA496" s="17"/>
      <c r="AB496" s="17"/>
      <c r="AC496" s="105"/>
      <c r="AD496" s="105"/>
      <c r="AE496" s="105"/>
      <c r="AR496" s="12" t="s">
        <v>135</v>
      </c>
      <c r="AT496" s="12" t="s">
        <v>131</v>
      </c>
      <c r="AU496" s="12" t="s">
        <v>74</v>
      </c>
      <c r="AY496" s="13" t="s">
        <v>130</v>
      </c>
      <c r="BE496" s="14">
        <f>IF(N496="základní",J496,0)</f>
        <v>0</v>
      </c>
      <c r="BF496" s="14">
        <f>IF(N496="snížená",J496,0)</f>
        <v>0</v>
      </c>
      <c r="BG496" s="14">
        <f>IF(N496="zákl. přenesená",J496,0)</f>
        <v>0</v>
      </c>
      <c r="BH496" s="14">
        <f>IF(N496="sníž. přenesená",J496,0)</f>
        <v>0</v>
      </c>
      <c r="BI496" s="14">
        <f>IF(N496="nulová",J496,0)</f>
        <v>0</v>
      </c>
      <c r="BJ496" s="13" t="s">
        <v>74</v>
      </c>
      <c r="BK496" s="14">
        <f>ROUND(I496*H496,2)</f>
        <v>0</v>
      </c>
      <c r="BL496" s="13" t="s">
        <v>135</v>
      </c>
      <c r="BM496" s="12" t="s">
        <v>842</v>
      </c>
    </row>
    <row r="497" spans="1:65" s="5" customFormat="1" ht="39" x14ac:dyDescent="0.2">
      <c r="A497" s="105"/>
      <c r="B497" s="140"/>
      <c r="C497" s="17"/>
      <c r="D497" s="141" t="s">
        <v>148</v>
      </c>
      <c r="E497" s="17"/>
      <c r="F497" s="142" t="s">
        <v>743</v>
      </c>
      <c r="G497" s="17"/>
      <c r="H497" s="17"/>
      <c r="I497" s="17"/>
      <c r="J497" s="17"/>
      <c r="K497" s="143"/>
      <c r="L497" s="17"/>
      <c r="M497" s="15"/>
      <c r="N497" s="16"/>
      <c r="O497" s="17"/>
      <c r="P497" s="17"/>
      <c r="Q497" s="17"/>
      <c r="R497" s="17"/>
      <c r="S497" s="17"/>
      <c r="T497" s="18"/>
      <c r="U497" s="105"/>
      <c r="V497" s="17"/>
      <c r="W497" s="17"/>
      <c r="X497" s="17"/>
      <c r="Y497" s="17"/>
      <c r="Z497" s="17"/>
      <c r="AA497" s="17"/>
      <c r="AB497" s="17"/>
      <c r="AC497" s="105"/>
      <c r="AD497" s="105"/>
      <c r="AE497" s="105"/>
      <c r="AT497" s="13" t="s">
        <v>148</v>
      </c>
      <c r="AU497" s="13" t="s">
        <v>74</v>
      </c>
    </row>
    <row r="498" spans="1:65" s="5" customFormat="1" ht="16.5" customHeight="1" x14ac:dyDescent="0.2">
      <c r="A498" s="105"/>
      <c r="B498" s="140"/>
      <c r="C498" s="33" t="s">
        <v>518</v>
      </c>
      <c r="D498" s="33" t="s">
        <v>131</v>
      </c>
      <c r="E498" s="34" t="s">
        <v>744</v>
      </c>
      <c r="F498" s="7" t="s">
        <v>745</v>
      </c>
      <c r="G498" s="35" t="s">
        <v>134</v>
      </c>
      <c r="H498" s="36">
        <v>3</v>
      </c>
      <c r="I498" s="1"/>
      <c r="J498" s="6">
        <f>ROUND(I498*H498,2)</f>
        <v>0</v>
      </c>
      <c r="K498" s="151" t="s">
        <v>1</v>
      </c>
      <c r="L498" s="17"/>
      <c r="M498" s="8" t="s">
        <v>1</v>
      </c>
      <c r="N498" s="9" t="s">
        <v>33</v>
      </c>
      <c r="O498" s="10">
        <v>0</v>
      </c>
      <c r="P498" s="10">
        <f>O498*H498</f>
        <v>0</v>
      </c>
      <c r="Q498" s="10">
        <v>0</v>
      </c>
      <c r="R498" s="10">
        <f>Q498*H498</f>
        <v>0</v>
      </c>
      <c r="S498" s="10">
        <v>0</v>
      </c>
      <c r="T498" s="11">
        <f>S498*H498</f>
        <v>0</v>
      </c>
      <c r="U498" s="105"/>
      <c r="V498" s="17"/>
      <c r="W498" s="17"/>
      <c r="X498" s="17"/>
      <c r="Y498" s="17"/>
      <c r="Z498" s="17"/>
      <c r="AA498" s="17"/>
      <c r="AB498" s="17"/>
      <c r="AC498" s="105"/>
      <c r="AD498" s="105"/>
      <c r="AE498" s="105"/>
      <c r="AR498" s="12" t="s">
        <v>135</v>
      </c>
      <c r="AT498" s="12" t="s">
        <v>131</v>
      </c>
      <c r="AU498" s="12" t="s">
        <v>74</v>
      </c>
      <c r="AY498" s="13" t="s">
        <v>130</v>
      </c>
      <c r="BE498" s="14">
        <f>IF(N498="základní",J498,0)</f>
        <v>0</v>
      </c>
      <c r="BF498" s="14">
        <f>IF(N498="snížená",J498,0)</f>
        <v>0</v>
      </c>
      <c r="BG498" s="14">
        <f>IF(N498="zákl. přenesená",J498,0)</f>
        <v>0</v>
      </c>
      <c r="BH498" s="14">
        <f>IF(N498="sníž. přenesená",J498,0)</f>
        <v>0</v>
      </c>
      <c r="BI498" s="14">
        <f>IF(N498="nulová",J498,0)</f>
        <v>0</v>
      </c>
      <c r="BJ498" s="13" t="s">
        <v>74</v>
      </c>
      <c r="BK498" s="14">
        <f>ROUND(I498*H498,2)</f>
        <v>0</v>
      </c>
      <c r="BL498" s="13" t="s">
        <v>135</v>
      </c>
      <c r="BM498" s="12" t="s">
        <v>843</v>
      </c>
    </row>
    <row r="499" spans="1:65" s="5" customFormat="1" ht="16.5" customHeight="1" x14ac:dyDescent="0.2">
      <c r="A499" s="105"/>
      <c r="B499" s="140"/>
      <c r="C499" s="33" t="s">
        <v>844</v>
      </c>
      <c r="D499" s="33" t="s">
        <v>131</v>
      </c>
      <c r="E499" s="34" t="s">
        <v>728</v>
      </c>
      <c r="F499" s="7" t="s">
        <v>729</v>
      </c>
      <c r="G499" s="35" t="s">
        <v>134</v>
      </c>
      <c r="H499" s="36">
        <v>36.396000000000001</v>
      </c>
      <c r="I499" s="1"/>
      <c r="J499" s="6">
        <f>ROUND(I499*H499,2)</f>
        <v>0</v>
      </c>
      <c r="K499" s="151" t="s">
        <v>1</v>
      </c>
      <c r="L499" s="17"/>
      <c r="M499" s="8" t="s">
        <v>1</v>
      </c>
      <c r="N499" s="9" t="s">
        <v>33</v>
      </c>
      <c r="O499" s="10">
        <v>0</v>
      </c>
      <c r="P499" s="10">
        <f>O499*H499</f>
        <v>0</v>
      </c>
      <c r="Q499" s="10">
        <v>0</v>
      </c>
      <c r="R499" s="10">
        <f>Q499*H499</f>
        <v>0</v>
      </c>
      <c r="S499" s="10">
        <v>0</v>
      </c>
      <c r="T499" s="11">
        <f>S499*H499</f>
        <v>0</v>
      </c>
      <c r="U499" s="105"/>
      <c r="V499" s="17"/>
      <c r="W499" s="17"/>
      <c r="X499" s="17"/>
      <c r="Y499" s="17"/>
      <c r="Z499" s="17"/>
      <c r="AA499" s="17"/>
      <c r="AB499" s="17"/>
      <c r="AC499" s="105"/>
      <c r="AD499" s="105"/>
      <c r="AE499" s="105"/>
      <c r="AR499" s="12" t="s">
        <v>135</v>
      </c>
      <c r="AT499" s="12" t="s">
        <v>131</v>
      </c>
      <c r="AU499" s="12" t="s">
        <v>74</v>
      </c>
      <c r="AY499" s="13" t="s">
        <v>130</v>
      </c>
      <c r="BE499" s="14">
        <f>IF(N499="základní",J499,0)</f>
        <v>0</v>
      </c>
      <c r="BF499" s="14">
        <f>IF(N499="snížená",J499,0)</f>
        <v>0</v>
      </c>
      <c r="BG499" s="14">
        <f>IF(N499="zákl. přenesená",J499,0)</f>
        <v>0</v>
      </c>
      <c r="BH499" s="14">
        <f>IF(N499="sníž. přenesená",J499,0)</f>
        <v>0</v>
      </c>
      <c r="BI499" s="14">
        <f>IF(N499="nulová",J499,0)</f>
        <v>0</v>
      </c>
      <c r="BJ499" s="13" t="s">
        <v>74</v>
      </c>
      <c r="BK499" s="14">
        <f>ROUND(I499*H499,2)</f>
        <v>0</v>
      </c>
      <c r="BL499" s="13" t="s">
        <v>135</v>
      </c>
      <c r="BM499" s="12" t="s">
        <v>845</v>
      </c>
    </row>
    <row r="500" spans="1:65" s="5" customFormat="1" ht="16.5" customHeight="1" x14ac:dyDescent="0.2">
      <c r="A500" s="105"/>
      <c r="B500" s="140"/>
      <c r="C500" s="33" t="s">
        <v>521</v>
      </c>
      <c r="D500" s="33" t="s">
        <v>131</v>
      </c>
      <c r="E500" s="34" t="s">
        <v>764</v>
      </c>
      <c r="F500" s="7" t="s">
        <v>726</v>
      </c>
      <c r="G500" s="35" t="s">
        <v>134</v>
      </c>
      <c r="H500" s="36">
        <v>36.396000000000001</v>
      </c>
      <c r="I500" s="1"/>
      <c r="J500" s="6">
        <f>ROUND(I500*H500,2)</f>
        <v>0</v>
      </c>
      <c r="K500" s="151" t="s">
        <v>1</v>
      </c>
      <c r="L500" s="17"/>
      <c r="M500" s="8" t="s">
        <v>1</v>
      </c>
      <c r="N500" s="9" t="s">
        <v>33</v>
      </c>
      <c r="O500" s="10">
        <v>0</v>
      </c>
      <c r="P500" s="10">
        <f>O500*H500</f>
        <v>0</v>
      </c>
      <c r="Q500" s="10">
        <v>0</v>
      </c>
      <c r="R500" s="10">
        <f>Q500*H500</f>
        <v>0</v>
      </c>
      <c r="S500" s="10">
        <v>0</v>
      </c>
      <c r="T500" s="11">
        <f>S500*H500</f>
        <v>0</v>
      </c>
      <c r="U500" s="105"/>
      <c r="V500" s="17"/>
      <c r="W500" s="17"/>
      <c r="X500" s="17"/>
      <c r="Y500" s="17"/>
      <c r="Z500" s="17"/>
      <c r="AA500" s="17"/>
      <c r="AB500" s="17"/>
      <c r="AC500" s="105"/>
      <c r="AD500" s="105"/>
      <c r="AE500" s="105"/>
      <c r="AR500" s="12" t="s">
        <v>135</v>
      </c>
      <c r="AT500" s="12" t="s">
        <v>131</v>
      </c>
      <c r="AU500" s="12" t="s">
        <v>74</v>
      </c>
      <c r="AY500" s="13" t="s">
        <v>130</v>
      </c>
      <c r="BE500" s="14">
        <f>IF(N500="základní",J500,0)</f>
        <v>0</v>
      </c>
      <c r="BF500" s="14">
        <f>IF(N500="snížená",J500,0)</f>
        <v>0</v>
      </c>
      <c r="BG500" s="14">
        <f>IF(N500="zákl. přenesená",J500,0)</f>
        <v>0</v>
      </c>
      <c r="BH500" s="14">
        <f>IF(N500="sníž. přenesená",J500,0)</f>
        <v>0</v>
      </c>
      <c r="BI500" s="14">
        <f>IF(N500="nulová",J500,0)</f>
        <v>0</v>
      </c>
      <c r="BJ500" s="13" t="s">
        <v>74</v>
      </c>
      <c r="BK500" s="14">
        <f>ROUND(I500*H500,2)</f>
        <v>0</v>
      </c>
      <c r="BL500" s="13" t="s">
        <v>135</v>
      </c>
      <c r="BM500" s="12" t="s">
        <v>846</v>
      </c>
    </row>
    <row r="501" spans="1:65" s="5" customFormat="1" ht="29.25" x14ac:dyDescent="0.2">
      <c r="A501" s="105"/>
      <c r="B501" s="140"/>
      <c r="C501" s="17"/>
      <c r="D501" s="141" t="s">
        <v>148</v>
      </c>
      <c r="E501" s="17"/>
      <c r="F501" s="142" t="s">
        <v>747</v>
      </c>
      <c r="G501" s="17"/>
      <c r="H501" s="17"/>
      <c r="I501" s="17"/>
      <c r="J501" s="17"/>
      <c r="K501" s="143"/>
      <c r="L501" s="17"/>
      <c r="M501" s="15"/>
      <c r="N501" s="16"/>
      <c r="O501" s="17"/>
      <c r="P501" s="17"/>
      <c r="Q501" s="17"/>
      <c r="R501" s="17"/>
      <c r="S501" s="17"/>
      <c r="T501" s="18"/>
      <c r="U501" s="105"/>
      <c r="V501" s="17"/>
      <c r="W501" s="17"/>
      <c r="X501" s="17"/>
      <c r="Y501" s="17"/>
      <c r="Z501" s="17"/>
      <c r="AA501" s="17"/>
      <c r="AB501" s="17"/>
      <c r="AC501" s="105"/>
      <c r="AD501" s="105"/>
      <c r="AE501" s="105"/>
      <c r="AT501" s="13" t="s">
        <v>148</v>
      </c>
      <c r="AU501" s="13" t="s">
        <v>74</v>
      </c>
    </row>
    <row r="502" spans="1:65" s="5" customFormat="1" ht="16.5" customHeight="1" x14ac:dyDescent="0.2">
      <c r="A502" s="105"/>
      <c r="B502" s="140"/>
      <c r="C502" s="33" t="s">
        <v>847</v>
      </c>
      <c r="D502" s="33" t="s">
        <v>131</v>
      </c>
      <c r="E502" s="34" t="s">
        <v>758</v>
      </c>
      <c r="F502" s="7" t="s">
        <v>759</v>
      </c>
      <c r="G502" s="35" t="s">
        <v>134</v>
      </c>
      <c r="H502" s="36">
        <v>13.566000000000001</v>
      </c>
      <c r="I502" s="1"/>
      <c r="J502" s="6">
        <f>ROUND(I502*H502,2)</f>
        <v>0</v>
      </c>
      <c r="K502" s="151" t="s">
        <v>1</v>
      </c>
      <c r="L502" s="17"/>
      <c r="M502" s="8" t="s">
        <v>1</v>
      </c>
      <c r="N502" s="9" t="s">
        <v>33</v>
      </c>
      <c r="O502" s="10">
        <v>0</v>
      </c>
      <c r="P502" s="10">
        <f>O502*H502</f>
        <v>0</v>
      </c>
      <c r="Q502" s="10">
        <v>0</v>
      </c>
      <c r="R502" s="10">
        <f>Q502*H502</f>
        <v>0</v>
      </c>
      <c r="S502" s="10">
        <v>0</v>
      </c>
      <c r="T502" s="11">
        <f>S502*H502</f>
        <v>0</v>
      </c>
      <c r="U502" s="105"/>
      <c r="V502" s="17"/>
      <c r="W502" s="17"/>
      <c r="X502" s="17"/>
      <c r="Y502" s="17"/>
      <c r="Z502" s="17"/>
      <c r="AA502" s="17"/>
      <c r="AB502" s="17"/>
      <c r="AC502" s="105"/>
      <c r="AD502" s="105"/>
      <c r="AE502" s="105"/>
      <c r="AR502" s="12" t="s">
        <v>135</v>
      </c>
      <c r="AT502" s="12" t="s">
        <v>131</v>
      </c>
      <c r="AU502" s="12" t="s">
        <v>74</v>
      </c>
      <c r="AY502" s="13" t="s">
        <v>130</v>
      </c>
      <c r="BE502" s="14">
        <f>IF(N502="základní",J502,0)</f>
        <v>0</v>
      </c>
      <c r="BF502" s="14">
        <f>IF(N502="snížená",J502,0)</f>
        <v>0</v>
      </c>
      <c r="BG502" s="14">
        <f>IF(N502="zákl. přenesená",J502,0)</f>
        <v>0</v>
      </c>
      <c r="BH502" s="14">
        <f>IF(N502="sníž. přenesená",J502,0)</f>
        <v>0</v>
      </c>
      <c r="BI502" s="14">
        <f>IF(N502="nulová",J502,0)</f>
        <v>0</v>
      </c>
      <c r="BJ502" s="13" t="s">
        <v>74</v>
      </c>
      <c r="BK502" s="14">
        <f>ROUND(I502*H502,2)</f>
        <v>0</v>
      </c>
      <c r="BL502" s="13" t="s">
        <v>135</v>
      </c>
      <c r="BM502" s="12" t="s">
        <v>848</v>
      </c>
    </row>
    <row r="503" spans="1:65" s="5" customFormat="1" x14ac:dyDescent="0.2">
      <c r="B503" s="177"/>
      <c r="C503" s="16"/>
      <c r="D503" s="178" t="s">
        <v>340</v>
      </c>
      <c r="E503" s="16"/>
      <c r="F503" s="200" t="s">
        <v>1267</v>
      </c>
      <c r="G503" s="16"/>
      <c r="H503" s="16">
        <f>(3.91+5.78)*1.4</f>
        <v>13.566000000000001</v>
      </c>
      <c r="I503" s="16"/>
      <c r="J503" s="16"/>
      <c r="K503" s="181"/>
      <c r="L503" s="52"/>
      <c r="M503" s="52"/>
      <c r="N503" s="52"/>
      <c r="O503" s="52"/>
      <c r="P503" s="52"/>
      <c r="Q503" s="52"/>
      <c r="R503" s="52"/>
      <c r="S503" s="128"/>
      <c r="V503" s="16"/>
      <c r="W503" s="16"/>
      <c r="X503" s="16"/>
      <c r="Y503" s="16"/>
      <c r="Z503" s="16"/>
      <c r="AA503" s="16"/>
      <c r="AB503" s="16"/>
      <c r="AZ503" s="126" t="s">
        <v>148</v>
      </c>
      <c r="BA503" s="126" t="s">
        <v>74</v>
      </c>
    </row>
    <row r="504" spans="1:65" s="5" customFormat="1" ht="16.5" customHeight="1" x14ac:dyDescent="0.2">
      <c r="A504" s="105"/>
      <c r="B504" s="140"/>
      <c r="C504" s="33" t="s">
        <v>522</v>
      </c>
      <c r="D504" s="33" t="s">
        <v>131</v>
      </c>
      <c r="E504" s="34" t="s">
        <v>765</v>
      </c>
      <c r="F504" s="7" t="s">
        <v>766</v>
      </c>
      <c r="G504" s="35" t="s">
        <v>134</v>
      </c>
      <c r="H504" s="36">
        <v>2.907</v>
      </c>
      <c r="I504" s="1"/>
      <c r="J504" s="6">
        <f>ROUND(I504*H504,2)</f>
        <v>0</v>
      </c>
      <c r="K504" s="151" t="s">
        <v>1</v>
      </c>
      <c r="L504" s="17"/>
      <c r="M504" s="8" t="s">
        <v>1</v>
      </c>
      <c r="N504" s="9" t="s">
        <v>33</v>
      </c>
      <c r="O504" s="10">
        <v>0</v>
      </c>
      <c r="P504" s="10">
        <f>O504*H504</f>
        <v>0</v>
      </c>
      <c r="Q504" s="10">
        <v>0</v>
      </c>
      <c r="R504" s="10">
        <f>Q504*H504</f>
        <v>0</v>
      </c>
      <c r="S504" s="10">
        <v>0</v>
      </c>
      <c r="T504" s="11">
        <f>S504*H504</f>
        <v>0</v>
      </c>
      <c r="U504" s="105"/>
      <c r="V504" s="17"/>
      <c r="W504" s="17"/>
      <c r="X504" s="17"/>
      <c r="Y504" s="17"/>
      <c r="Z504" s="17"/>
      <c r="AA504" s="17"/>
      <c r="AB504" s="17"/>
      <c r="AC504" s="105"/>
      <c r="AD504" s="105"/>
      <c r="AE504" s="105"/>
      <c r="AR504" s="12" t="s">
        <v>135</v>
      </c>
      <c r="AT504" s="12" t="s">
        <v>131</v>
      </c>
      <c r="AU504" s="12" t="s">
        <v>74</v>
      </c>
      <c r="AY504" s="13" t="s">
        <v>130</v>
      </c>
      <c r="BE504" s="14">
        <f>IF(N504="základní",J504,0)</f>
        <v>0</v>
      </c>
      <c r="BF504" s="14">
        <f>IF(N504="snížená",J504,0)</f>
        <v>0</v>
      </c>
      <c r="BG504" s="14">
        <f>IF(N504="zákl. přenesená",J504,0)</f>
        <v>0</v>
      </c>
      <c r="BH504" s="14">
        <f>IF(N504="sníž. přenesená",J504,0)</f>
        <v>0</v>
      </c>
      <c r="BI504" s="14">
        <f>IF(N504="nulová",J504,0)</f>
        <v>0</v>
      </c>
      <c r="BJ504" s="13" t="s">
        <v>74</v>
      </c>
      <c r="BK504" s="14">
        <f>ROUND(I504*H504,2)</f>
        <v>0</v>
      </c>
      <c r="BL504" s="13" t="s">
        <v>135</v>
      </c>
      <c r="BM504" s="12" t="s">
        <v>849</v>
      </c>
    </row>
    <row r="505" spans="1:65" s="5" customFormat="1" x14ac:dyDescent="0.2">
      <c r="B505" s="177"/>
      <c r="C505" s="16"/>
      <c r="D505" s="178" t="s">
        <v>340</v>
      </c>
      <c r="E505" s="16"/>
      <c r="F505" s="200" t="s">
        <v>1268</v>
      </c>
      <c r="G505" s="16"/>
      <c r="H505" s="16">
        <f>(3.91+5.78)*0.3</f>
        <v>2.9070000000000005</v>
      </c>
      <c r="I505" s="16"/>
      <c r="J505" s="16"/>
      <c r="K505" s="181"/>
      <c r="L505" s="52"/>
      <c r="M505" s="52"/>
      <c r="N505" s="52"/>
      <c r="O505" s="52"/>
      <c r="P505" s="52"/>
      <c r="Q505" s="52"/>
      <c r="R505" s="52"/>
      <c r="S505" s="128"/>
      <c r="V505" s="16"/>
      <c r="W505" s="16"/>
      <c r="X505" s="16"/>
      <c r="Y505" s="16"/>
      <c r="Z505" s="16"/>
      <c r="AA505" s="16"/>
      <c r="AB505" s="16"/>
      <c r="AZ505" s="126" t="s">
        <v>148</v>
      </c>
      <c r="BA505" s="126" t="s">
        <v>74</v>
      </c>
    </row>
    <row r="506" spans="1:65" s="5" customFormat="1" ht="21.75" customHeight="1" x14ac:dyDescent="0.2">
      <c r="A506" s="105"/>
      <c r="B506" s="140"/>
      <c r="C506" s="33" t="s">
        <v>850</v>
      </c>
      <c r="D506" s="33" t="s">
        <v>131</v>
      </c>
      <c r="E506" s="34" t="s">
        <v>748</v>
      </c>
      <c r="F506" s="7" t="s">
        <v>749</v>
      </c>
      <c r="G506" s="35" t="s">
        <v>134</v>
      </c>
      <c r="H506" s="36">
        <v>30.3</v>
      </c>
      <c r="I506" s="1"/>
      <c r="J506" s="6">
        <f>ROUND(I506*H506,2)</f>
        <v>0</v>
      </c>
      <c r="K506" s="151" t="s">
        <v>1</v>
      </c>
      <c r="L506" s="17"/>
      <c r="M506" s="8" t="s">
        <v>1</v>
      </c>
      <c r="N506" s="9" t="s">
        <v>33</v>
      </c>
      <c r="O506" s="10">
        <v>0</v>
      </c>
      <c r="P506" s="10">
        <f>O506*H506</f>
        <v>0</v>
      </c>
      <c r="Q506" s="10">
        <v>0</v>
      </c>
      <c r="R506" s="10">
        <f>Q506*H506</f>
        <v>0</v>
      </c>
      <c r="S506" s="10">
        <v>0</v>
      </c>
      <c r="T506" s="11">
        <f>S506*H506</f>
        <v>0</v>
      </c>
      <c r="U506" s="105"/>
      <c r="V506" s="17"/>
      <c r="W506" s="17"/>
      <c r="X506" s="17"/>
      <c r="Y506" s="17"/>
      <c r="Z506" s="17"/>
      <c r="AA506" s="17"/>
      <c r="AB506" s="17"/>
      <c r="AC506" s="105"/>
      <c r="AD506" s="105"/>
      <c r="AE506" s="105"/>
      <c r="AR506" s="12" t="s">
        <v>135</v>
      </c>
      <c r="AT506" s="12" t="s">
        <v>131</v>
      </c>
      <c r="AU506" s="12" t="s">
        <v>74</v>
      </c>
      <c r="AY506" s="13" t="s">
        <v>130</v>
      </c>
      <c r="BE506" s="14">
        <f>IF(N506="základní",J506,0)</f>
        <v>0</v>
      </c>
      <c r="BF506" s="14">
        <f>IF(N506="snížená",J506,0)</f>
        <v>0</v>
      </c>
      <c r="BG506" s="14">
        <f>IF(N506="zákl. přenesená",J506,0)</f>
        <v>0</v>
      </c>
      <c r="BH506" s="14">
        <f>IF(N506="sníž. přenesená",J506,0)</f>
        <v>0</v>
      </c>
      <c r="BI506" s="14">
        <f>IF(N506="nulová",J506,0)</f>
        <v>0</v>
      </c>
      <c r="BJ506" s="13" t="s">
        <v>74</v>
      </c>
      <c r="BK506" s="14">
        <f>ROUND(I506*H506,2)</f>
        <v>0</v>
      </c>
      <c r="BL506" s="13" t="s">
        <v>135</v>
      </c>
      <c r="BM506" s="12" t="s">
        <v>851</v>
      </c>
    </row>
    <row r="507" spans="1:65" s="152" customFormat="1" x14ac:dyDescent="0.2">
      <c r="B507" s="153"/>
      <c r="C507" s="154"/>
      <c r="D507" s="141" t="s">
        <v>340</v>
      </c>
      <c r="E507" s="155" t="s">
        <v>1</v>
      </c>
      <c r="F507" s="156" t="s">
        <v>763</v>
      </c>
      <c r="G507" s="154"/>
      <c r="H507" s="157"/>
      <c r="I507" s="154"/>
      <c r="J507" s="154"/>
      <c r="K507" s="158"/>
      <c r="L507" s="154"/>
      <c r="M507" s="159"/>
      <c r="N507" s="154"/>
      <c r="O507" s="154"/>
      <c r="P507" s="154"/>
      <c r="Q507" s="154"/>
      <c r="R507" s="154"/>
      <c r="S507" s="154"/>
      <c r="T507" s="160"/>
      <c r="V507" s="154"/>
      <c r="W507" s="154"/>
      <c r="X507" s="154"/>
      <c r="Y507" s="154"/>
      <c r="Z507" s="154"/>
      <c r="AA507" s="154"/>
      <c r="AB507" s="154"/>
      <c r="AT507" s="161" t="s">
        <v>340</v>
      </c>
      <c r="AU507" s="161" t="s">
        <v>74</v>
      </c>
      <c r="AV507" s="152" t="s">
        <v>76</v>
      </c>
      <c r="AW507" s="152" t="s">
        <v>25</v>
      </c>
      <c r="AX507" s="152" t="s">
        <v>68</v>
      </c>
      <c r="AY507" s="161" t="s">
        <v>130</v>
      </c>
    </row>
    <row r="508" spans="1:65" s="162" customFormat="1" x14ac:dyDescent="0.2">
      <c r="B508" s="163"/>
      <c r="C508" s="164"/>
      <c r="D508" s="141" t="s">
        <v>340</v>
      </c>
      <c r="E508" s="165" t="s">
        <v>1</v>
      </c>
      <c r="F508" s="166" t="s">
        <v>342</v>
      </c>
      <c r="G508" s="164"/>
      <c r="H508" s="167">
        <v>30.3</v>
      </c>
      <c r="I508" s="164"/>
      <c r="J508" s="164"/>
      <c r="K508" s="168"/>
      <c r="L508" s="164"/>
      <c r="M508" s="169"/>
      <c r="N508" s="164"/>
      <c r="O508" s="164"/>
      <c r="P508" s="164"/>
      <c r="Q508" s="164"/>
      <c r="R508" s="164"/>
      <c r="S508" s="164"/>
      <c r="T508" s="170"/>
      <c r="V508" s="164"/>
      <c r="W508" s="164"/>
      <c r="X508" s="164"/>
      <c r="Y508" s="164"/>
      <c r="Z508" s="164"/>
      <c r="AA508" s="164"/>
      <c r="AB508" s="164"/>
      <c r="AT508" s="171" t="s">
        <v>340</v>
      </c>
      <c r="AU508" s="171" t="s">
        <v>74</v>
      </c>
      <c r="AV508" s="162" t="s">
        <v>135</v>
      </c>
      <c r="AW508" s="162" t="s">
        <v>25</v>
      </c>
      <c r="AX508" s="162" t="s">
        <v>74</v>
      </c>
      <c r="AY508" s="171" t="s">
        <v>130</v>
      </c>
    </row>
    <row r="509" spans="1:65" s="20" customFormat="1" ht="25.9" customHeight="1" x14ac:dyDescent="0.2">
      <c r="B509" s="172"/>
      <c r="C509" s="23"/>
      <c r="D509" s="173" t="s">
        <v>67</v>
      </c>
      <c r="E509" s="174" t="s">
        <v>280</v>
      </c>
      <c r="F509" s="174" t="s">
        <v>852</v>
      </c>
      <c r="G509" s="23"/>
      <c r="H509" s="23"/>
      <c r="I509" s="23"/>
      <c r="J509" s="175">
        <f>BK509</f>
        <v>0</v>
      </c>
      <c r="K509" s="176"/>
      <c r="L509" s="23"/>
      <c r="M509" s="22"/>
      <c r="N509" s="23"/>
      <c r="O509" s="23"/>
      <c r="P509" s="24">
        <f>SUM(P512:P526)</f>
        <v>0</v>
      </c>
      <c r="Q509" s="23"/>
      <c r="R509" s="24">
        <f>SUM(R512:R526)</f>
        <v>0</v>
      </c>
      <c r="S509" s="23"/>
      <c r="T509" s="25">
        <f>SUM(T512:T526)</f>
        <v>0</v>
      </c>
      <c r="V509" s="23"/>
      <c r="W509" s="23"/>
      <c r="X509" s="23"/>
      <c r="Y509" s="23"/>
      <c r="Z509" s="23"/>
      <c r="AA509" s="23"/>
      <c r="AB509" s="23"/>
      <c r="AR509" s="26" t="s">
        <v>74</v>
      </c>
      <c r="AT509" s="27" t="s">
        <v>67</v>
      </c>
      <c r="AU509" s="27" t="s">
        <v>68</v>
      </c>
      <c r="AY509" s="26" t="s">
        <v>130</v>
      </c>
      <c r="BK509" s="28">
        <f>SUM(BK512:BK526)</f>
        <v>0</v>
      </c>
    </row>
    <row r="510" spans="1:65" s="5" customFormat="1" ht="10.15" customHeight="1" x14ac:dyDescent="0.2">
      <c r="B510" s="177"/>
      <c r="C510" s="16"/>
      <c r="D510" s="178" t="s">
        <v>340</v>
      </c>
      <c r="E510" s="16"/>
      <c r="F510" s="200" t="s">
        <v>1269</v>
      </c>
      <c r="G510" s="16"/>
      <c r="H510" s="180">
        <f>((2.42+0.73+0.66+1.16+0.74+2.72)*4.26)+((0.47+0.69+0.45+0.71+0.39+0.42+0.39+0.52)*4.26)+(2*1.26*0.34*0.5)</f>
        <v>53.550600000000003</v>
      </c>
      <c r="I510" s="16"/>
      <c r="J510" s="16"/>
      <c r="K510" s="181"/>
      <c r="L510" s="52"/>
      <c r="M510" s="52"/>
      <c r="N510" s="52"/>
      <c r="O510" s="52"/>
      <c r="P510" s="52"/>
      <c r="Q510" s="52"/>
      <c r="R510" s="52"/>
      <c r="S510" s="128"/>
      <c r="V510" s="16"/>
      <c r="W510" s="16"/>
      <c r="X510" s="16"/>
      <c r="Y510" s="16"/>
      <c r="Z510" s="16"/>
      <c r="AA510" s="16"/>
      <c r="AB510" s="16"/>
      <c r="AZ510" s="126" t="s">
        <v>148</v>
      </c>
      <c r="BA510" s="126" t="s">
        <v>74</v>
      </c>
    </row>
    <row r="511" spans="1:65" s="5" customFormat="1" ht="10.15" customHeight="1" x14ac:dyDescent="0.2">
      <c r="B511" s="177"/>
      <c r="C511" s="16"/>
      <c r="D511" s="178" t="s">
        <v>340</v>
      </c>
      <c r="E511" s="16"/>
      <c r="F511" s="200" t="s">
        <v>1247</v>
      </c>
      <c r="G511" s="16"/>
      <c r="H511" s="180">
        <f>(1.96+1.11+0.52+1.46+2.2)*1.42</f>
        <v>10.295</v>
      </c>
      <c r="I511" s="16"/>
      <c r="J511" s="16"/>
      <c r="K511" s="181"/>
      <c r="L511" s="52"/>
      <c r="M511" s="52"/>
      <c r="N511" s="52"/>
      <c r="O511" s="52"/>
      <c r="P511" s="52"/>
      <c r="Q511" s="52"/>
      <c r="R511" s="52"/>
      <c r="S511" s="128"/>
      <c r="V511" s="16"/>
      <c r="W511" s="16"/>
      <c r="X511" s="16"/>
      <c r="Y511" s="16"/>
      <c r="Z511" s="16"/>
      <c r="AA511" s="16"/>
      <c r="AB511" s="16"/>
      <c r="AZ511" s="126" t="s">
        <v>148</v>
      </c>
      <c r="BA511" s="126" t="s">
        <v>74</v>
      </c>
    </row>
    <row r="512" spans="1:65" s="5" customFormat="1" ht="16.5" customHeight="1" x14ac:dyDescent="0.2">
      <c r="A512" s="105"/>
      <c r="B512" s="140"/>
      <c r="C512" s="33" t="s">
        <v>524</v>
      </c>
      <c r="D512" s="33" t="s">
        <v>131</v>
      </c>
      <c r="E512" s="34" t="s">
        <v>713</v>
      </c>
      <c r="F512" s="7" t="s">
        <v>714</v>
      </c>
      <c r="G512" s="35" t="s">
        <v>134</v>
      </c>
      <c r="H512" s="36">
        <v>63.845999999999997</v>
      </c>
      <c r="I512" s="1"/>
      <c r="J512" s="6">
        <f>ROUND(I512*H512,2)</f>
        <v>0</v>
      </c>
      <c r="K512" s="151" t="s">
        <v>1</v>
      </c>
      <c r="L512" s="17"/>
      <c r="M512" s="8" t="s">
        <v>1</v>
      </c>
      <c r="N512" s="9" t="s">
        <v>33</v>
      </c>
      <c r="O512" s="10">
        <v>0</v>
      </c>
      <c r="P512" s="10">
        <f>O512*H512</f>
        <v>0</v>
      </c>
      <c r="Q512" s="10">
        <v>0</v>
      </c>
      <c r="R512" s="10">
        <f>Q512*H512</f>
        <v>0</v>
      </c>
      <c r="S512" s="10">
        <v>0</v>
      </c>
      <c r="T512" s="11">
        <f>S512*H512</f>
        <v>0</v>
      </c>
      <c r="U512" s="105"/>
      <c r="V512" s="17"/>
      <c r="W512" s="17"/>
      <c r="X512" s="17"/>
      <c r="Y512" s="17"/>
      <c r="Z512" s="17"/>
      <c r="AA512" s="17"/>
      <c r="AB512" s="17"/>
      <c r="AC512" s="105"/>
      <c r="AD512" s="105"/>
      <c r="AE512" s="105"/>
      <c r="AR512" s="12" t="s">
        <v>135</v>
      </c>
      <c r="AT512" s="12" t="s">
        <v>131</v>
      </c>
      <c r="AU512" s="12" t="s">
        <v>74</v>
      </c>
      <c r="AY512" s="13" t="s">
        <v>130</v>
      </c>
      <c r="BE512" s="14">
        <f>IF(N512="základní",J512,0)</f>
        <v>0</v>
      </c>
      <c r="BF512" s="14">
        <f>IF(N512="snížená",J512,0)</f>
        <v>0</v>
      </c>
      <c r="BG512" s="14">
        <f>IF(N512="zákl. přenesená",J512,0)</f>
        <v>0</v>
      </c>
      <c r="BH512" s="14">
        <f>IF(N512="sníž. přenesená",J512,0)</f>
        <v>0</v>
      </c>
      <c r="BI512" s="14">
        <f>IF(N512="nulová",J512,0)</f>
        <v>0</v>
      </c>
      <c r="BJ512" s="13" t="s">
        <v>74</v>
      </c>
      <c r="BK512" s="14">
        <f>ROUND(I512*H512,2)</f>
        <v>0</v>
      </c>
      <c r="BL512" s="13" t="s">
        <v>135</v>
      </c>
      <c r="BM512" s="12" t="s">
        <v>853</v>
      </c>
    </row>
    <row r="513" spans="1:65" s="152" customFormat="1" x14ac:dyDescent="0.2">
      <c r="B513" s="153"/>
      <c r="C513" s="154"/>
      <c r="D513" s="141" t="s">
        <v>340</v>
      </c>
      <c r="E513" s="155" t="s">
        <v>1</v>
      </c>
      <c r="F513" s="156" t="s">
        <v>854</v>
      </c>
      <c r="G513" s="154"/>
      <c r="H513" s="157"/>
      <c r="I513" s="154"/>
      <c r="J513" s="154"/>
      <c r="K513" s="158"/>
      <c r="L513" s="154"/>
      <c r="M513" s="159"/>
      <c r="N513" s="154"/>
      <c r="O513" s="154"/>
      <c r="P513" s="154"/>
      <c r="Q513" s="154"/>
      <c r="R513" s="154"/>
      <c r="S513" s="154"/>
      <c r="T513" s="160"/>
      <c r="V513" s="154"/>
      <c r="W513" s="154"/>
      <c r="X513" s="154"/>
      <c r="Y513" s="154"/>
      <c r="Z513" s="154"/>
      <c r="AA513" s="154"/>
      <c r="AB513" s="154"/>
      <c r="AT513" s="161" t="s">
        <v>340</v>
      </c>
      <c r="AU513" s="161" t="s">
        <v>74</v>
      </c>
      <c r="AV513" s="152" t="s">
        <v>76</v>
      </c>
      <c r="AW513" s="152" t="s">
        <v>25</v>
      </c>
      <c r="AX513" s="152" t="s">
        <v>68</v>
      </c>
      <c r="AY513" s="161" t="s">
        <v>130</v>
      </c>
    </row>
    <row r="514" spans="1:65" s="162" customFormat="1" x14ac:dyDescent="0.2">
      <c r="B514" s="163"/>
      <c r="C514" s="164"/>
      <c r="D514" s="141" t="s">
        <v>340</v>
      </c>
      <c r="E514" s="165" t="s">
        <v>1</v>
      </c>
      <c r="F514" s="166" t="s">
        <v>342</v>
      </c>
      <c r="G514" s="164"/>
      <c r="H514" s="167">
        <v>63.845999999999997</v>
      </c>
      <c r="I514" s="164"/>
      <c r="J514" s="164"/>
      <c r="K514" s="168"/>
      <c r="L514" s="164"/>
      <c r="M514" s="169"/>
      <c r="N514" s="164"/>
      <c r="O514" s="164"/>
      <c r="P514" s="164"/>
      <c r="Q514" s="164"/>
      <c r="R514" s="164"/>
      <c r="S514" s="164"/>
      <c r="T514" s="170"/>
      <c r="V514" s="164"/>
      <c r="W514" s="164"/>
      <c r="X514" s="164"/>
      <c r="Y514" s="164"/>
      <c r="Z514" s="164"/>
      <c r="AA514" s="164"/>
      <c r="AB514" s="164"/>
      <c r="AT514" s="171" t="s">
        <v>340</v>
      </c>
      <c r="AU514" s="171" t="s">
        <v>74</v>
      </c>
      <c r="AV514" s="162" t="s">
        <v>135</v>
      </c>
      <c r="AW514" s="162" t="s">
        <v>25</v>
      </c>
      <c r="AX514" s="162" t="s">
        <v>74</v>
      </c>
      <c r="AY514" s="171" t="s">
        <v>130</v>
      </c>
    </row>
    <row r="515" spans="1:65" s="5" customFormat="1" ht="16.5" customHeight="1" x14ac:dyDescent="0.2">
      <c r="A515" s="105"/>
      <c r="B515" s="140"/>
      <c r="C515" s="33" t="s">
        <v>855</v>
      </c>
      <c r="D515" s="33" t="s">
        <v>131</v>
      </c>
      <c r="E515" s="34" t="s">
        <v>716</v>
      </c>
      <c r="F515" s="7" t="s">
        <v>717</v>
      </c>
      <c r="G515" s="35" t="s">
        <v>134</v>
      </c>
      <c r="H515" s="36">
        <v>12.769</v>
      </c>
      <c r="I515" s="1"/>
      <c r="J515" s="6">
        <f>ROUND(I515*H515,2)</f>
        <v>0</v>
      </c>
      <c r="K515" s="151" t="s">
        <v>1</v>
      </c>
      <c r="L515" s="17"/>
      <c r="M515" s="8" t="s">
        <v>1</v>
      </c>
      <c r="N515" s="9" t="s">
        <v>33</v>
      </c>
      <c r="O515" s="10">
        <v>0</v>
      </c>
      <c r="P515" s="10">
        <f>O515*H515</f>
        <v>0</v>
      </c>
      <c r="Q515" s="10">
        <v>0</v>
      </c>
      <c r="R515" s="10">
        <f>Q515*H515</f>
        <v>0</v>
      </c>
      <c r="S515" s="10">
        <v>0</v>
      </c>
      <c r="T515" s="11">
        <f>S515*H515</f>
        <v>0</v>
      </c>
      <c r="U515" s="105"/>
      <c r="V515" s="17"/>
      <c r="W515" s="17"/>
      <c r="X515" s="17"/>
      <c r="Y515" s="17"/>
      <c r="Z515" s="17"/>
      <c r="AA515" s="17"/>
      <c r="AB515" s="17"/>
      <c r="AC515" s="105"/>
      <c r="AD515" s="105"/>
      <c r="AE515" s="105"/>
      <c r="AR515" s="12" t="s">
        <v>135</v>
      </c>
      <c r="AT515" s="12" t="s">
        <v>131</v>
      </c>
      <c r="AU515" s="12" t="s">
        <v>74</v>
      </c>
      <c r="AY515" s="13" t="s">
        <v>130</v>
      </c>
      <c r="BE515" s="14">
        <f>IF(N515="základní",J515,0)</f>
        <v>0</v>
      </c>
      <c r="BF515" s="14">
        <f>IF(N515="snížená",J515,0)</f>
        <v>0</v>
      </c>
      <c r="BG515" s="14">
        <f>IF(N515="zákl. přenesená",J515,0)</f>
        <v>0</v>
      </c>
      <c r="BH515" s="14">
        <f>IF(N515="sníž. přenesená",J515,0)</f>
        <v>0</v>
      </c>
      <c r="BI515" s="14">
        <f>IF(N515="nulová",J515,0)</f>
        <v>0</v>
      </c>
      <c r="BJ515" s="13" t="s">
        <v>74</v>
      </c>
      <c r="BK515" s="14">
        <f>ROUND(I515*H515,2)</f>
        <v>0</v>
      </c>
      <c r="BL515" s="13" t="s">
        <v>135</v>
      </c>
      <c r="BM515" s="12" t="s">
        <v>856</v>
      </c>
    </row>
    <row r="516" spans="1:65" s="5" customFormat="1" ht="19.5" x14ac:dyDescent="0.2">
      <c r="A516" s="105"/>
      <c r="B516" s="140"/>
      <c r="C516" s="17"/>
      <c r="D516" s="141" t="s">
        <v>148</v>
      </c>
      <c r="E516" s="17"/>
      <c r="F516" s="142" t="s">
        <v>718</v>
      </c>
      <c r="G516" s="17"/>
      <c r="H516" s="17"/>
      <c r="I516" s="17"/>
      <c r="J516" s="17"/>
      <c r="K516" s="143"/>
      <c r="L516" s="17"/>
      <c r="M516" s="15"/>
      <c r="N516" s="16"/>
      <c r="O516" s="17"/>
      <c r="P516" s="17"/>
      <c r="Q516" s="17"/>
      <c r="R516" s="17"/>
      <c r="S516" s="17"/>
      <c r="T516" s="18"/>
      <c r="U516" s="105"/>
      <c r="V516" s="17"/>
      <c r="W516" s="17"/>
      <c r="X516" s="17"/>
      <c r="Y516" s="17"/>
      <c r="Z516" s="17"/>
      <c r="AA516" s="17"/>
      <c r="AB516" s="17"/>
      <c r="AC516" s="105"/>
      <c r="AD516" s="105"/>
      <c r="AE516" s="105"/>
      <c r="AT516" s="13" t="s">
        <v>148</v>
      </c>
      <c r="AU516" s="13" t="s">
        <v>74</v>
      </c>
    </row>
    <row r="517" spans="1:65" s="5" customFormat="1" ht="16.5" customHeight="1" x14ac:dyDescent="0.2">
      <c r="A517" s="105"/>
      <c r="B517" s="140"/>
      <c r="C517" s="33" t="s">
        <v>525</v>
      </c>
      <c r="D517" s="33" t="s">
        <v>131</v>
      </c>
      <c r="E517" s="34" t="s">
        <v>187</v>
      </c>
      <c r="F517" s="7" t="s">
        <v>719</v>
      </c>
      <c r="G517" s="35" t="s">
        <v>134</v>
      </c>
      <c r="H517" s="36">
        <v>16.065000000000001</v>
      </c>
      <c r="I517" s="1"/>
      <c r="J517" s="6">
        <f>ROUND(I517*H517,2)</f>
        <v>0</v>
      </c>
      <c r="K517" s="151" t="s">
        <v>1</v>
      </c>
      <c r="L517" s="17"/>
      <c r="M517" s="8" t="s">
        <v>1</v>
      </c>
      <c r="N517" s="9" t="s">
        <v>33</v>
      </c>
      <c r="O517" s="10">
        <v>0</v>
      </c>
      <c r="P517" s="10">
        <f>O517*H517</f>
        <v>0</v>
      </c>
      <c r="Q517" s="10">
        <v>0</v>
      </c>
      <c r="R517" s="10">
        <f>Q517*H517</f>
        <v>0</v>
      </c>
      <c r="S517" s="10">
        <v>0</v>
      </c>
      <c r="T517" s="11">
        <f>S517*H517</f>
        <v>0</v>
      </c>
      <c r="U517" s="105"/>
      <c r="V517" s="17"/>
      <c r="W517" s="17"/>
      <c r="X517" s="17"/>
      <c r="Y517" s="17"/>
      <c r="Z517" s="17"/>
      <c r="AA517" s="17"/>
      <c r="AB517" s="17"/>
      <c r="AC517" s="105"/>
      <c r="AD517" s="105"/>
      <c r="AE517" s="105"/>
      <c r="AR517" s="12" t="s">
        <v>135</v>
      </c>
      <c r="AT517" s="12" t="s">
        <v>131</v>
      </c>
      <c r="AU517" s="12" t="s">
        <v>74</v>
      </c>
      <c r="AY517" s="13" t="s">
        <v>130</v>
      </c>
      <c r="BE517" s="14">
        <f>IF(N517="základní",J517,0)</f>
        <v>0</v>
      </c>
      <c r="BF517" s="14">
        <f>IF(N517="snížená",J517,0)</f>
        <v>0</v>
      </c>
      <c r="BG517" s="14">
        <f>IF(N517="zákl. přenesená",J517,0)</f>
        <v>0</v>
      </c>
      <c r="BH517" s="14">
        <f>IF(N517="sníž. přenesená",J517,0)</f>
        <v>0</v>
      </c>
      <c r="BI517" s="14">
        <f>IF(N517="nulová",J517,0)</f>
        <v>0</v>
      </c>
      <c r="BJ517" s="13" t="s">
        <v>74</v>
      </c>
      <c r="BK517" s="14">
        <f>ROUND(I517*H517,2)</f>
        <v>0</v>
      </c>
      <c r="BL517" s="13" t="s">
        <v>135</v>
      </c>
      <c r="BM517" s="12" t="s">
        <v>857</v>
      </c>
    </row>
    <row r="518" spans="1:65" s="5" customFormat="1" ht="19.5" x14ac:dyDescent="0.2">
      <c r="A518" s="105"/>
      <c r="B518" s="140"/>
      <c r="C518" s="17"/>
      <c r="D518" s="141" t="s">
        <v>720</v>
      </c>
      <c r="E518" s="17"/>
      <c r="F518" s="142" t="s">
        <v>1242</v>
      </c>
      <c r="G518" s="17"/>
      <c r="H518" s="17"/>
      <c r="I518" s="17"/>
      <c r="J518" s="17"/>
      <c r="K518" s="143"/>
      <c r="L518" s="17"/>
      <c r="M518" s="15"/>
      <c r="N518" s="16"/>
      <c r="O518" s="17"/>
      <c r="P518" s="17"/>
      <c r="Q518" s="17"/>
      <c r="R518" s="17"/>
      <c r="S518" s="17"/>
      <c r="T518" s="18"/>
      <c r="U518" s="105"/>
      <c r="V518" s="17"/>
      <c r="W518" s="17"/>
      <c r="X518" s="17"/>
      <c r="Y518" s="17"/>
      <c r="Z518" s="17"/>
      <c r="AA518" s="17"/>
      <c r="AB518" s="17"/>
      <c r="AC518" s="105"/>
      <c r="AD518" s="105"/>
      <c r="AE518" s="105"/>
      <c r="AT518" s="13" t="s">
        <v>720</v>
      </c>
      <c r="AU518" s="13" t="s">
        <v>74</v>
      </c>
    </row>
    <row r="519" spans="1:65" s="5" customFormat="1" ht="16.5" customHeight="1" x14ac:dyDescent="0.2">
      <c r="A519" s="105"/>
      <c r="B519" s="140"/>
      <c r="C519" s="33" t="s">
        <v>858</v>
      </c>
      <c r="D519" s="33" t="s">
        <v>131</v>
      </c>
      <c r="E519" s="34" t="s">
        <v>232</v>
      </c>
      <c r="F519" s="7" t="s">
        <v>722</v>
      </c>
      <c r="G519" s="35" t="s">
        <v>723</v>
      </c>
      <c r="H519" s="36">
        <v>0.10199999999999999</v>
      </c>
      <c r="I519" s="1"/>
      <c r="J519" s="6">
        <f>ROUND(I519*H519,2)</f>
        <v>0</v>
      </c>
      <c r="K519" s="151" t="s">
        <v>1</v>
      </c>
      <c r="L519" s="17"/>
      <c r="M519" s="8" t="s">
        <v>1</v>
      </c>
      <c r="N519" s="9" t="s">
        <v>33</v>
      </c>
      <c r="O519" s="10">
        <v>0</v>
      </c>
      <c r="P519" s="10">
        <f>O519*H519</f>
        <v>0</v>
      </c>
      <c r="Q519" s="10">
        <v>0</v>
      </c>
      <c r="R519" s="10">
        <f>Q519*H519</f>
        <v>0</v>
      </c>
      <c r="S519" s="10">
        <v>0</v>
      </c>
      <c r="T519" s="11">
        <f>S519*H519</f>
        <v>0</v>
      </c>
      <c r="U519" s="105"/>
      <c r="V519" s="17"/>
      <c r="W519" s="17"/>
      <c r="X519" s="17"/>
      <c r="Y519" s="17"/>
      <c r="Z519" s="17"/>
      <c r="AA519" s="17"/>
      <c r="AB519" s="17"/>
      <c r="AC519" s="105"/>
      <c r="AD519" s="105"/>
      <c r="AE519" s="105"/>
      <c r="AR519" s="12" t="s">
        <v>135</v>
      </c>
      <c r="AT519" s="12" t="s">
        <v>131</v>
      </c>
      <c r="AU519" s="12" t="s">
        <v>74</v>
      </c>
      <c r="AY519" s="13" t="s">
        <v>130</v>
      </c>
      <c r="BE519" s="14">
        <f>IF(N519="základní",J519,0)</f>
        <v>0</v>
      </c>
      <c r="BF519" s="14">
        <f>IF(N519="snížená",J519,0)</f>
        <v>0</v>
      </c>
      <c r="BG519" s="14">
        <f>IF(N519="zákl. přenesená",J519,0)</f>
        <v>0</v>
      </c>
      <c r="BH519" s="14">
        <f>IF(N519="sníž. přenesená",J519,0)</f>
        <v>0</v>
      </c>
      <c r="BI519" s="14">
        <f>IF(N519="nulová",J519,0)</f>
        <v>0</v>
      </c>
      <c r="BJ519" s="13" t="s">
        <v>74</v>
      </c>
      <c r="BK519" s="14">
        <f>ROUND(I519*H519,2)</f>
        <v>0</v>
      </c>
      <c r="BL519" s="13" t="s">
        <v>135</v>
      </c>
      <c r="BM519" s="12" t="s">
        <v>859</v>
      </c>
    </row>
    <row r="520" spans="1:65" s="5" customFormat="1" ht="16.5" customHeight="1" x14ac:dyDescent="0.2">
      <c r="A520" s="105"/>
      <c r="B520" s="140"/>
      <c r="C520" s="33" t="s">
        <v>528</v>
      </c>
      <c r="D520" s="33" t="s">
        <v>131</v>
      </c>
      <c r="E520" s="34" t="s">
        <v>246</v>
      </c>
      <c r="F520" s="7" t="s">
        <v>724</v>
      </c>
      <c r="G520" s="35" t="s">
        <v>723</v>
      </c>
      <c r="H520" s="36">
        <v>0.10199999999999999</v>
      </c>
      <c r="I520" s="1"/>
      <c r="J520" s="6">
        <f>ROUND(I520*H520,2)</f>
        <v>0</v>
      </c>
      <c r="K520" s="151" t="s">
        <v>1</v>
      </c>
      <c r="L520" s="17"/>
      <c r="M520" s="8" t="s">
        <v>1</v>
      </c>
      <c r="N520" s="9" t="s">
        <v>33</v>
      </c>
      <c r="O520" s="10">
        <v>0</v>
      </c>
      <c r="P520" s="10">
        <f>O520*H520</f>
        <v>0</v>
      </c>
      <c r="Q520" s="10">
        <v>0</v>
      </c>
      <c r="R520" s="10">
        <f>Q520*H520</f>
        <v>0</v>
      </c>
      <c r="S520" s="10">
        <v>0</v>
      </c>
      <c r="T520" s="11">
        <f>S520*H520</f>
        <v>0</v>
      </c>
      <c r="U520" s="105"/>
      <c r="V520" s="17"/>
      <c r="W520" s="17"/>
      <c r="X520" s="17"/>
      <c r="Y520" s="17"/>
      <c r="Z520" s="17"/>
      <c r="AA520" s="17"/>
      <c r="AB520" s="17"/>
      <c r="AC520" s="105"/>
      <c r="AD520" s="105"/>
      <c r="AE520" s="105"/>
      <c r="AR520" s="12" t="s">
        <v>135</v>
      </c>
      <c r="AT520" s="12" t="s">
        <v>131</v>
      </c>
      <c r="AU520" s="12" t="s">
        <v>74</v>
      </c>
      <c r="AY520" s="13" t="s">
        <v>130</v>
      </c>
      <c r="BE520" s="14">
        <f>IF(N520="základní",J520,0)</f>
        <v>0</v>
      </c>
      <c r="BF520" s="14">
        <f>IF(N520="snížená",J520,0)</f>
        <v>0</v>
      </c>
      <c r="BG520" s="14">
        <f>IF(N520="zákl. přenesená",J520,0)</f>
        <v>0</v>
      </c>
      <c r="BH520" s="14">
        <f>IF(N520="sníž. přenesená",J520,0)</f>
        <v>0</v>
      </c>
      <c r="BI520" s="14">
        <f>IF(N520="nulová",J520,0)</f>
        <v>0</v>
      </c>
      <c r="BJ520" s="13" t="s">
        <v>74</v>
      </c>
      <c r="BK520" s="14">
        <f>ROUND(I520*H520,2)</f>
        <v>0</v>
      </c>
      <c r="BL520" s="13" t="s">
        <v>135</v>
      </c>
      <c r="BM520" s="12" t="s">
        <v>860</v>
      </c>
    </row>
    <row r="521" spans="1:65" s="5" customFormat="1" ht="16.5" customHeight="1" x14ac:dyDescent="0.2">
      <c r="A521" s="105"/>
      <c r="B521" s="140"/>
      <c r="C521" s="33" t="s">
        <v>861</v>
      </c>
      <c r="D521" s="33" t="s">
        <v>131</v>
      </c>
      <c r="E521" s="34" t="s">
        <v>744</v>
      </c>
      <c r="F521" s="7" t="s">
        <v>745</v>
      </c>
      <c r="G521" s="35" t="s">
        <v>134</v>
      </c>
      <c r="H521" s="36">
        <v>4</v>
      </c>
      <c r="I521" s="1"/>
      <c r="J521" s="6">
        <f>ROUND(I521*H521,2)</f>
        <v>0</v>
      </c>
      <c r="K521" s="151" t="s">
        <v>1</v>
      </c>
      <c r="L521" s="17"/>
      <c r="M521" s="8" t="s">
        <v>1</v>
      </c>
      <c r="N521" s="9" t="s">
        <v>33</v>
      </c>
      <c r="O521" s="10">
        <v>0</v>
      </c>
      <c r="P521" s="10">
        <f>O521*H521</f>
        <v>0</v>
      </c>
      <c r="Q521" s="10">
        <v>0</v>
      </c>
      <c r="R521" s="10">
        <f>Q521*H521</f>
        <v>0</v>
      </c>
      <c r="S521" s="10">
        <v>0</v>
      </c>
      <c r="T521" s="11">
        <f>S521*H521</f>
        <v>0</v>
      </c>
      <c r="U521" s="105"/>
      <c r="V521" s="17"/>
      <c r="W521" s="17"/>
      <c r="X521" s="17"/>
      <c r="Y521" s="17"/>
      <c r="Z521" s="17"/>
      <c r="AA521" s="17"/>
      <c r="AB521" s="17"/>
      <c r="AC521" s="105"/>
      <c r="AD521" s="105"/>
      <c r="AE521" s="105"/>
      <c r="AR521" s="12" t="s">
        <v>135</v>
      </c>
      <c r="AT521" s="12" t="s">
        <v>131</v>
      </c>
      <c r="AU521" s="12" t="s">
        <v>74</v>
      </c>
      <c r="AY521" s="13" t="s">
        <v>130</v>
      </c>
      <c r="BE521" s="14">
        <f>IF(N521="základní",J521,0)</f>
        <v>0</v>
      </c>
      <c r="BF521" s="14">
        <f>IF(N521="snížená",J521,0)</f>
        <v>0</v>
      </c>
      <c r="BG521" s="14">
        <f>IF(N521="zákl. přenesená",J521,0)</f>
        <v>0</v>
      </c>
      <c r="BH521" s="14">
        <f>IF(N521="sníž. přenesená",J521,0)</f>
        <v>0</v>
      </c>
      <c r="BI521" s="14">
        <f>IF(N521="nulová",J521,0)</f>
        <v>0</v>
      </c>
      <c r="BJ521" s="13" t="s">
        <v>74</v>
      </c>
      <c r="BK521" s="14">
        <f>ROUND(I521*H521,2)</f>
        <v>0</v>
      </c>
      <c r="BL521" s="13" t="s">
        <v>135</v>
      </c>
      <c r="BM521" s="12" t="s">
        <v>862</v>
      </c>
    </row>
    <row r="522" spans="1:65" s="5" customFormat="1" ht="19.5" x14ac:dyDescent="0.2">
      <c r="A522" s="105"/>
      <c r="B522" s="140"/>
      <c r="C522" s="17"/>
      <c r="D522" s="141" t="s">
        <v>148</v>
      </c>
      <c r="E522" s="17"/>
      <c r="F522" s="142" t="s">
        <v>737</v>
      </c>
      <c r="G522" s="17"/>
      <c r="H522" s="17"/>
      <c r="I522" s="17"/>
      <c r="J522" s="17"/>
      <c r="K522" s="143"/>
      <c r="L522" s="17"/>
      <c r="M522" s="15"/>
      <c r="N522" s="16"/>
      <c r="O522" s="17"/>
      <c r="P522" s="17"/>
      <c r="Q522" s="17"/>
      <c r="R522" s="17"/>
      <c r="S522" s="17"/>
      <c r="T522" s="18"/>
      <c r="U522" s="105"/>
      <c r="V522" s="17"/>
      <c r="W522" s="17"/>
      <c r="X522" s="17"/>
      <c r="Y522" s="17"/>
      <c r="Z522" s="17"/>
      <c r="AA522" s="17"/>
      <c r="AB522" s="17"/>
      <c r="AC522" s="105"/>
      <c r="AD522" s="105"/>
      <c r="AE522" s="105"/>
      <c r="AT522" s="13" t="s">
        <v>148</v>
      </c>
      <c r="AU522" s="13" t="s">
        <v>74</v>
      </c>
    </row>
    <row r="523" spans="1:65" s="5" customFormat="1" ht="16.5" customHeight="1" x14ac:dyDescent="0.2">
      <c r="A523" s="105"/>
      <c r="B523" s="140"/>
      <c r="C523" s="33" t="s">
        <v>529</v>
      </c>
      <c r="D523" s="33" t="s">
        <v>131</v>
      </c>
      <c r="E523" s="34" t="s">
        <v>728</v>
      </c>
      <c r="F523" s="7" t="s">
        <v>729</v>
      </c>
      <c r="G523" s="35" t="s">
        <v>134</v>
      </c>
      <c r="H523" s="36">
        <v>63.845999999999997</v>
      </c>
      <c r="I523" s="1"/>
      <c r="J523" s="6">
        <f>ROUND(I523*H523,2)</f>
        <v>0</v>
      </c>
      <c r="K523" s="151" t="s">
        <v>1</v>
      </c>
      <c r="L523" s="17"/>
      <c r="M523" s="8" t="s">
        <v>1</v>
      </c>
      <c r="N523" s="9" t="s">
        <v>33</v>
      </c>
      <c r="O523" s="10">
        <v>0</v>
      </c>
      <c r="P523" s="10">
        <f>O523*H523</f>
        <v>0</v>
      </c>
      <c r="Q523" s="10">
        <v>0</v>
      </c>
      <c r="R523" s="10">
        <f>Q523*H523</f>
        <v>0</v>
      </c>
      <c r="S523" s="10">
        <v>0</v>
      </c>
      <c r="T523" s="11">
        <f>S523*H523</f>
        <v>0</v>
      </c>
      <c r="U523" s="105"/>
      <c r="V523" s="17"/>
      <c r="W523" s="17"/>
      <c r="X523" s="17"/>
      <c r="Y523" s="17"/>
      <c r="Z523" s="17"/>
      <c r="AA523" s="17"/>
      <c r="AB523" s="17"/>
      <c r="AC523" s="105"/>
      <c r="AD523" s="105"/>
      <c r="AE523" s="105"/>
      <c r="AR523" s="12" t="s">
        <v>135</v>
      </c>
      <c r="AT523" s="12" t="s">
        <v>131</v>
      </c>
      <c r="AU523" s="12" t="s">
        <v>74</v>
      </c>
      <c r="AY523" s="13" t="s">
        <v>130</v>
      </c>
      <c r="BE523" s="14">
        <f>IF(N523="základní",J523,0)</f>
        <v>0</v>
      </c>
      <c r="BF523" s="14">
        <f>IF(N523="snížená",J523,0)</f>
        <v>0</v>
      </c>
      <c r="BG523" s="14">
        <f>IF(N523="zákl. přenesená",J523,0)</f>
        <v>0</v>
      </c>
      <c r="BH523" s="14">
        <f>IF(N523="sníž. přenesená",J523,0)</f>
        <v>0</v>
      </c>
      <c r="BI523" s="14">
        <f>IF(N523="nulová",J523,0)</f>
        <v>0</v>
      </c>
      <c r="BJ523" s="13" t="s">
        <v>74</v>
      </c>
      <c r="BK523" s="14">
        <f>ROUND(I523*H523,2)</f>
        <v>0</v>
      </c>
      <c r="BL523" s="13" t="s">
        <v>135</v>
      </c>
      <c r="BM523" s="12" t="s">
        <v>863</v>
      </c>
    </row>
    <row r="524" spans="1:65" s="5" customFormat="1" ht="16.5" customHeight="1" x14ac:dyDescent="0.2">
      <c r="A524" s="105"/>
      <c r="B524" s="140"/>
      <c r="C524" s="33" t="s">
        <v>864</v>
      </c>
      <c r="D524" s="33" t="s">
        <v>131</v>
      </c>
      <c r="E524" s="34" t="s">
        <v>764</v>
      </c>
      <c r="F524" s="7" t="s">
        <v>726</v>
      </c>
      <c r="G524" s="35" t="s">
        <v>134</v>
      </c>
      <c r="H524" s="36">
        <v>63.845999999999997</v>
      </c>
      <c r="I524" s="1"/>
      <c r="J524" s="6">
        <f>ROUND(I524*H524,2)</f>
        <v>0</v>
      </c>
      <c r="K524" s="151" t="s">
        <v>1</v>
      </c>
      <c r="L524" s="17"/>
      <c r="M524" s="8" t="s">
        <v>1</v>
      </c>
      <c r="N524" s="9" t="s">
        <v>33</v>
      </c>
      <c r="O524" s="10">
        <v>0</v>
      </c>
      <c r="P524" s="10">
        <f>O524*H524</f>
        <v>0</v>
      </c>
      <c r="Q524" s="10">
        <v>0</v>
      </c>
      <c r="R524" s="10">
        <f>Q524*H524</f>
        <v>0</v>
      </c>
      <c r="S524" s="10">
        <v>0</v>
      </c>
      <c r="T524" s="11">
        <f>S524*H524</f>
        <v>0</v>
      </c>
      <c r="U524" s="105"/>
      <c r="V524" s="17"/>
      <c r="W524" s="17"/>
      <c r="X524" s="17"/>
      <c r="Y524" s="17"/>
      <c r="Z524" s="17"/>
      <c r="AA524" s="17"/>
      <c r="AB524" s="17"/>
      <c r="AC524" s="105"/>
      <c r="AD524" s="105"/>
      <c r="AE524" s="105"/>
      <c r="AR524" s="12" t="s">
        <v>135</v>
      </c>
      <c r="AT524" s="12" t="s">
        <v>131</v>
      </c>
      <c r="AU524" s="12" t="s">
        <v>74</v>
      </c>
      <c r="AY524" s="13" t="s">
        <v>130</v>
      </c>
      <c r="BE524" s="14">
        <f>IF(N524="základní",J524,0)</f>
        <v>0</v>
      </c>
      <c r="BF524" s="14">
        <f>IF(N524="snížená",J524,0)</f>
        <v>0</v>
      </c>
      <c r="BG524" s="14">
        <f>IF(N524="zákl. přenesená",J524,0)</f>
        <v>0</v>
      </c>
      <c r="BH524" s="14">
        <f>IF(N524="sníž. přenesená",J524,0)</f>
        <v>0</v>
      </c>
      <c r="BI524" s="14">
        <f>IF(N524="nulová",J524,0)</f>
        <v>0</v>
      </c>
      <c r="BJ524" s="13" t="s">
        <v>74</v>
      </c>
      <c r="BK524" s="14">
        <f>ROUND(I524*H524,2)</f>
        <v>0</v>
      </c>
      <c r="BL524" s="13" t="s">
        <v>135</v>
      </c>
      <c r="BM524" s="12" t="s">
        <v>865</v>
      </c>
    </row>
    <row r="525" spans="1:65" s="5" customFormat="1" ht="29.25" x14ac:dyDescent="0.2">
      <c r="A525" s="105"/>
      <c r="B525" s="140"/>
      <c r="C525" s="17"/>
      <c r="D525" s="141" t="s">
        <v>148</v>
      </c>
      <c r="E525" s="17"/>
      <c r="F525" s="142" t="s">
        <v>747</v>
      </c>
      <c r="G525" s="17"/>
      <c r="H525" s="17"/>
      <c r="I525" s="17"/>
      <c r="J525" s="17"/>
      <c r="K525" s="143"/>
      <c r="L525" s="17"/>
      <c r="M525" s="15"/>
      <c r="N525" s="16"/>
      <c r="O525" s="17"/>
      <c r="P525" s="17"/>
      <c r="Q525" s="17"/>
      <c r="R525" s="17"/>
      <c r="S525" s="17"/>
      <c r="T525" s="18"/>
      <c r="U525" s="105"/>
      <c r="V525" s="17"/>
      <c r="W525" s="17"/>
      <c r="X525" s="17"/>
      <c r="Y525" s="17"/>
      <c r="Z525" s="17"/>
      <c r="AA525" s="17"/>
      <c r="AB525" s="17"/>
      <c r="AC525" s="105"/>
      <c r="AD525" s="105"/>
      <c r="AE525" s="105"/>
      <c r="AT525" s="13" t="s">
        <v>148</v>
      </c>
      <c r="AU525" s="13" t="s">
        <v>74</v>
      </c>
    </row>
    <row r="526" spans="1:65" s="5" customFormat="1" ht="16.5" customHeight="1" x14ac:dyDescent="0.2">
      <c r="A526" s="105"/>
      <c r="B526" s="140"/>
      <c r="C526" s="33" t="s">
        <v>531</v>
      </c>
      <c r="D526" s="33" t="s">
        <v>131</v>
      </c>
      <c r="E526" s="34" t="s">
        <v>758</v>
      </c>
      <c r="F526" s="7" t="s">
        <v>759</v>
      </c>
      <c r="G526" s="35" t="s">
        <v>134</v>
      </c>
      <c r="H526" s="36">
        <v>17.457999999999998</v>
      </c>
      <c r="I526" s="1"/>
      <c r="J526" s="6">
        <f>ROUND(I526*H526,2)</f>
        <v>0</v>
      </c>
      <c r="K526" s="151" t="s">
        <v>1</v>
      </c>
      <c r="L526" s="17"/>
      <c r="M526" s="8" t="s">
        <v>1</v>
      </c>
      <c r="N526" s="9" t="s">
        <v>33</v>
      </c>
      <c r="O526" s="10">
        <v>0</v>
      </c>
      <c r="P526" s="10">
        <f>O526*H526</f>
        <v>0</v>
      </c>
      <c r="Q526" s="10">
        <v>0</v>
      </c>
      <c r="R526" s="10">
        <f>Q526*H526</f>
        <v>0</v>
      </c>
      <c r="S526" s="10">
        <v>0</v>
      </c>
      <c r="T526" s="11">
        <f>S526*H526</f>
        <v>0</v>
      </c>
      <c r="U526" s="105"/>
      <c r="V526" s="17"/>
      <c r="W526" s="17"/>
      <c r="X526" s="17"/>
      <c r="Y526" s="17"/>
      <c r="Z526" s="17"/>
      <c r="AA526" s="17"/>
      <c r="AB526" s="17"/>
      <c r="AC526" s="105"/>
      <c r="AD526" s="105"/>
      <c r="AE526" s="105"/>
      <c r="AR526" s="12" t="s">
        <v>135</v>
      </c>
      <c r="AT526" s="12" t="s">
        <v>131</v>
      </c>
      <c r="AU526" s="12" t="s">
        <v>74</v>
      </c>
      <c r="AY526" s="13" t="s">
        <v>130</v>
      </c>
      <c r="BE526" s="14">
        <f>IF(N526="základní",J526,0)</f>
        <v>0</v>
      </c>
      <c r="BF526" s="14">
        <f>IF(N526="snížená",J526,0)</f>
        <v>0</v>
      </c>
      <c r="BG526" s="14">
        <f>IF(N526="zákl. přenesená",J526,0)</f>
        <v>0</v>
      </c>
      <c r="BH526" s="14">
        <f>IF(N526="sníž. přenesená",J526,0)</f>
        <v>0</v>
      </c>
      <c r="BI526" s="14">
        <f>IF(N526="nulová",J526,0)</f>
        <v>0</v>
      </c>
      <c r="BJ526" s="13" t="s">
        <v>74</v>
      </c>
      <c r="BK526" s="14">
        <f>ROUND(I526*H526,2)</f>
        <v>0</v>
      </c>
      <c r="BL526" s="13" t="s">
        <v>135</v>
      </c>
      <c r="BM526" s="12" t="s">
        <v>866</v>
      </c>
    </row>
    <row r="527" spans="1:65" s="5" customFormat="1" x14ac:dyDescent="0.2">
      <c r="B527" s="177"/>
      <c r="C527" s="16"/>
      <c r="D527" s="178" t="s">
        <v>340</v>
      </c>
      <c r="E527" s="16"/>
      <c r="F527" s="200" t="s">
        <v>1270</v>
      </c>
      <c r="G527" s="16"/>
      <c r="H527" s="16">
        <f>((2.42+0.73+0.66+1.16+0.74+2.72)*1.4)+((0.47+0.69+0.45+0.71+0.39+0.42+0.39+0.52)*1.4)</f>
        <v>17.457999999999998</v>
      </c>
      <c r="I527" s="16"/>
      <c r="J527" s="16"/>
      <c r="K527" s="181"/>
      <c r="L527" s="52"/>
      <c r="M527" s="52"/>
      <c r="N527" s="52"/>
      <c r="O527" s="52"/>
      <c r="P527" s="52"/>
      <c r="Q527" s="52"/>
      <c r="R527" s="52"/>
      <c r="S527" s="128"/>
      <c r="V527" s="16"/>
      <c r="W527" s="16"/>
      <c r="X527" s="16"/>
      <c r="Y527" s="16"/>
      <c r="Z527" s="16"/>
      <c r="AA527" s="16"/>
      <c r="AB527" s="16"/>
      <c r="AZ527" s="126" t="s">
        <v>148</v>
      </c>
      <c r="BA527" s="126" t="s">
        <v>74</v>
      </c>
    </row>
    <row r="528" spans="1:65" s="20" customFormat="1" ht="25.9" customHeight="1" x14ac:dyDescent="0.2">
      <c r="B528" s="172"/>
      <c r="C528" s="23"/>
      <c r="D528" s="173" t="s">
        <v>67</v>
      </c>
      <c r="E528" s="174" t="s">
        <v>288</v>
      </c>
      <c r="F528" s="174" t="s">
        <v>867</v>
      </c>
      <c r="G528" s="23"/>
      <c r="H528" s="23"/>
      <c r="I528" s="23"/>
      <c r="J528" s="175">
        <f>BK528</f>
        <v>0</v>
      </c>
      <c r="K528" s="176"/>
      <c r="L528" s="23"/>
      <c r="M528" s="22"/>
      <c r="N528" s="23"/>
      <c r="O528" s="23"/>
      <c r="P528" s="24">
        <f>SUM(P531:P548)</f>
        <v>0</v>
      </c>
      <c r="Q528" s="23"/>
      <c r="R528" s="24">
        <f>SUM(R531:R548)</f>
        <v>0</v>
      </c>
      <c r="S528" s="23"/>
      <c r="T528" s="25">
        <f>SUM(T531:T548)</f>
        <v>0</v>
      </c>
      <c r="V528" s="23"/>
      <c r="W528" s="23"/>
      <c r="X528" s="23"/>
      <c r="Y528" s="23"/>
      <c r="Z528" s="23"/>
      <c r="AA528" s="23"/>
      <c r="AB528" s="23"/>
      <c r="AR528" s="26" t="s">
        <v>74</v>
      </c>
      <c r="AT528" s="27" t="s">
        <v>67</v>
      </c>
      <c r="AU528" s="27" t="s">
        <v>68</v>
      </c>
      <c r="AY528" s="26" t="s">
        <v>130</v>
      </c>
      <c r="BK528" s="28">
        <f>SUM(BK531:BK548)</f>
        <v>0</v>
      </c>
    </row>
    <row r="529" spans="1:65" s="5" customFormat="1" x14ac:dyDescent="0.2">
      <c r="B529" s="177"/>
      <c r="C529" s="16"/>
      <c r="D529" s="178" t="s">
        <v>340</v>
      </c>
      <c r="E529" s="16"/>
      <c r="F529" s="200" t="s">
        <v>1271</v>
      </c>
      <c r="G529" s="16"/>
      <c r="H529" s="180">
        <f>((7.75+5.28+7.77+5.27)*3.42)-(1*2.07)-(0.71*2.14)-(0.7*2)-(2.2*2.54)-(2.53*2.5)-(2*1.02*1.93)+((2+0.7+2)*0.56)</f>
        <v>70.951799999999992</v>
      </c>
      <c r="I529" s="16"/>
      <c r="J529" s="16"/>
      <c r="K529" s="181"/>
      <c r="L529" s="52"/>
      <c r="M529" s="52"/>
      <c r="N529" s="52"/>
      <c r="O529" s="52"/>
      <c r="P529" s="52"/>
      <c r="Q529" s="52"/>
      <c r="R529" s="52"/>
      <c r="S529" s="128"/>
      <c r="V529" s="16"/>
      <c r="W529" s="16"/>
      <c r="X529" s="16"/>
      <c r="Y529" s="16"/>
      <c r="Z529" s="16"/>
      <c r="AA529" s="16"/>
      <c r="AB529" s="16"/>
      <c r="AZ529" s="126" t="s">
        <v>148</v>
      </c>
      <c r="BA529" s="126" t="s">
        <v>74</v>
      </c>
    </row>
    <row r="530" spans="1:65" s="5" customFormat="1" ht="10.15" customHeight="1" x14ac:dyDescent="0.2">
      <c r="B530" s="177"/>
      <c r="C530" s="16"/>
      <c r="D530" s="178" t="s">
        <v>340</v>
      </c>
      <c r="E530" s="16"/>
      <c r="F530" s="200" t="s">
        <v>1272</v>
      </c>
      <c r="G530" s="16"/>
      <c r="H530" s="180">
        <f>7.75*5.28</f>
        <v>40.92</v>
      </c>
      <c r="I530" s="16"/>
      <c r="J530" s="16"/>
      <c r="K530" s="181"/>
      <c r="L530" s="52"/>
      <c r="M530" s="52"/>
      <c r="N530" s="52"/>
      <c r="O530" s="52"/>
      <c r="P530" s="52"/>
      <c r="Q530" s="52"/>
      <c r="R530" s="52"/>
      <c r="S530" s="128"/>
      <c r="V530" s="16"/>
      <c r="W530" s="16"/>
      <c r="X530" s="16"/>
      <c r="Y530" s="16"/>
      <c r="Z530" s="16"/>
      <c r="AA530" s="16"/>
      <c r="AB530" s="16"/>
      <c r="AZ530" s="126" t="s">
        <v>148</v>
      </c>
      <c r="BA530" s="126" t="s">
        <v>74</v>
      </c>
    </row>
    <row r="531" spans="1:65" s="5" customFormat="1" ht="16.5" customHeight="1" x14ac:dyDescent="0.2">
      <c r="A531" s="105"/>
      <c r="B531" s="140"/>
      <c r="C531" s="33" t="s">
        <v>868</v>
      </c>
      <c r="D531" s="33" t="s">
        <v>131</v>
      </c>
      <c r="E531" s="34" t="s">
        <v>713</v>
      </c>
      <c r="F531" s="7" t="s">
        <v>714</v>
      </c>
      <c r="G531" s="35" t="s">
        <v>134</v>
      </c>
      <c r="H531" s="36">
        <v>111.872</v>
      </c>
      <c r="I531" s="1"/>
      <c r="J531" s="6">
        <f>ROUND(I531*H531,2)</f>
        <v>0</v>
      </c>
      <c r="K531" s="151" t="s">
        <v>1</v>
      </c>
      <c r="L531" s="17"/>
      <c r="M531" s="8" t="s">
        <v>1</v>
      </c>
      <c r="N531" s="9" t="s">
        <v>33</v>
      </c>
      <c r="O531" s="10">
        <v>0</v>
      </c>
      <c r="P531" s="10">
        <f>O531*H531</f>
        <v>0</v>
      </c>
      <c r="Q531" s="10">
        <v>0</v>
      </c>
      <c r="R531" s="10">
        <f>Q531*H531</f>
        <v>0</v>
      </c>
      <c r="S531" s="10">
        <v>0</v>
      </c>
      <c r="T531" s="11">
        <f>S531*H531</f>
        <v>0</v>
      </c>
      <c r="U531" s="105"/>
      <c r="V531" s="17"/>
      <c r="W531" s="17"/>
      <c r="X531" s="17"/>
      <c r="Y531" s="17"/>
      <c r="Z531" s="17"/>
      <c r="AA531" s="17"/>
      <c r="AB531" s="17"/>
      <c r="AC531" s="105"/>
      <c r="AD531" s="105"/>
      <c r="AE531" s="105"/>
      <c r="AR531" s="12" t="s">
        <v>135</v>
      </c>
      <c r="AT531" s="12" t="s">
        <v>131</v>
      </c>
      <c r="AU531" s="12" t="s">
        <v>74</v>
      </c>
      <c r="AY531" s="13" t="s">
        <v>130</v>
      </c>
      <c r="BE531" s="14">
        <f>IF(N531="základní",J531,0)</f>
        <v>0</v>
      </c>
      <c r="BF531" s="14">
        <f>IF(N531="snížená",J531,0)</f>
        <v>0</v>
      </c>
      <c r="BG531" s="14">
        <f>IF(N531="zákl. přenesená",J531,0)</f>
        <v>0</v>
      </c>
      <c r="BH531" s="14">
        <f>IF(N531="sníž. přenesená",J531,0)</f>
        <v>0</v>
      </c>
      <c r="BI531" s="14">
        <f>IF(N531="nulová",J531,0)</f>
        <v>0</v>
      </c>
      <c r="BJ531" s="13" t="s">
        <v>74</v>
      </c>
      <c r="BK531" s="14">
        <f>ROUND(I531*H531,2)</f>
        <v>0</v>
      </c>
      <c r="BL531" s="13" t="s">
        <v>135</v>
      </c>
      <c r="BM531" s="12" t="s">
        <v>869</v>
      </c>
    </row>
    <row r="532" spans="1:65" s="152" customFormat="1" x14ac:dyDescent="0.2">
      <c r="B532" s="153"/>
      <c r="C532" s="154"/>
      <c r="D532" s="141" t="s">
        <v>340</v>
      </c>
      <c r="E532" s="155" t="s">
        <v>1</v>
      </c>
      <c r="F532" s="156" t="s">
        <v>870</v>
      </c>
      <c r="G532" s="154"/>
      <c r="H532" s="157"/>
      <c r="I532" s="154"/>
      <c r="J532" s="154"/>
      <c r="K532" s="158"/>
      <c r="L532" s="154"/>
      <c r="M532" s="159"/>
      <c r="N532" s="154"/>
      <c r="O532" s="154"/>
      <c r="P532" s="154"/>
      <c r="Q532" s="154"/>
      <c r="R532" s="154"/>
      <c r="S532" s="154"/>
      <c r="T532" s="160"/>
      <c r="V532" s="154"/>
      <c r="W532" s="154"/>
      <c r="X532" s="154"/>
      <c r="Y532" s="154"/>
      <c r="Z532" s="154"/>
      <c r="AA532" s="154"/>
      <c r="AB532" s="154"/>
      <c r="AT532" s="161" t="s">
        <v>340</v>
      </c>
      <c r="AU532" s="161" t="s">
        <v>74</v>
      </c>
      <c r="AV532" s="152" t="s">
        <v>76</v>
      </c>
      <c r="AW532" s="152" t="s">
        <v>25</v>
      </c>
      <c r="AX532" s="152" t="s">
        <v>68</v>
      </c>
      <c r="AY532" s="161" t="s">
        <v>130</v>
      </c>
    </row>
    <row r="533" spans="1:65" s="162" customFormat="1" x14ac:dyDescent="0.2">
      <c r="B533" s="163"/>
      <c r="C533" s="164"/>
      <c r="D533" s="141" t="s">
        <v>340</v>
      </c>
      <c r="E533" s="165" t="s">
        <v>1</v>
      </c>
      <c r="F533" s="166" t="s">
        <v>342</v>
      </c>
      <c r="G533" s="164"/>
      <c r="H533" s="167">
        <v>111.872</v>
      </c>
      <c r="I533" s="164"/>
      <c r="J533" s="164"/>
      <c r="K533" s="168"/>
      <c r="L533" s="164"/>
      <c r="M533" s="169"/>
      <c r="N533" s="164"/>
      <c r="O533" s="164"/>
      <c r="P533" s="164"/>
      <c r="Q533" s="164"/>
      <c r="R533" s="164"/>
      <c r="S533" s="164"/>
      <c r="T533" s="170"/>
      <c r="V533" s="164"/>
      <c r="W533" s="164"/>
      <c r="X533" s="164"/>
      <c r="Y533" s="164"/>
      <c r="Z533" s="164"/>
      <c r="AA533" s="164"/>
      <c r="AB533" s="164"/>
      <c r="AT533" s="171" t="s">
        <v>340</v>
      </c>
      <c r="AU533" s="171" t="s">
        <v>74</v>
      </c>
      <c r="AV533" s="162" t="s">
        <v>135</v>
      </c>
      <c r="AW533" s="162" t="s">
        <v>25</v>
      </c>
      <c r="AX533" s="162" t="s">
        <v>74</v>
      </c>
      <c r="AY533" s="171" t="s">
        <v>130</v>
      </c>
    </row>
    <row r="534" spans="1:65" s="5" customFormat="1" ht="16.5" customHeight="1" x14ac:dyDescent="0.2">
      <c r="A534" s="105"/>
      <c r="B534" s="140"/>
      <c r="C534" s="33" t="s">
        <v>532</v>
      </c>
      <c r="D534" s="33" t="s">
        <v>131</v>
      </c>
      <c r="E534" s="34" t="s">
        <v>716</v>
      </c>
      <c r="F534" s="7" t="s">
        <v>717</v>
      </c>
      <c r="G534" s="35" t="s">
        <v>134</v>
      </c>
      <c r="H534" s="36">
        <v>22.373999999999999</v>
      </c>
      <c r="I534" s="1"/>
      <c r="J534" s="6">
        <f>ROUND(I534*H534,2)</f>
        <v>0</v>
      </c>
      <c r="K534" s="151" t="s">
        <v>1</v>
      </c>
      <c r="L534" s="17"/>
      <c r="M534" s="8" t="s">
        <v>1</v>
      </c>
      <c r="N534" s="9" t="s">
        <v>33</v>
      </c>
      <c r="O534" s="10">
        <v>0</v>
      </c>
      <c r="P534" s="10">
        <f>O534*H534</f>
        <v>0</v>
      </c>
      <c r="Q534" s="10">
        <v>0</v>
      </c>
      <c r="R534" s="10">
        <f>Q534*H534</f>
        <v>0</v>
      </c>
      <c r="S534" s="10">
        <v>0</v>
      </c>
      <c r="T534" s="11">
        <f>S534*H534</f>
        <v>0</v>
      </c>
      <c r="U534" s="105"/>
      <c r="V534" s="17"/>
      <c r="W534" s="17"/>
      <c r="X534" s="17"/>
      <c r="Y534" s="17"/>
      <c r="Z534" s="17"/>
      <c r="AA534" s="17"/>
      <c r="AB534" s="17"/>
      <c r="AC534" s="105"/>
      <c r="AD534" s="105"/>
      <c r="AE534" s="105"/>
      <c r="AR534" s="12" t="s">
        <v>135</v>
      </c>
      <c r="AT534" s="12" t="s">
        <v>131</v>
      </c>
      <c r="AU534" s="12" t="s">
        <v>74</v>
      </c>
      <c r="AY534" s="13" t="s">
        <v>130</v>
      </c>
      <c r="BE534" s="14">
        <f>IF(N534="základní",J534,0)</f>
        <v>0</v>
      </c>
      <c r="BF534" s="14">
        <f>IF(N534="snížená",J534,0)</f>
        <v>0</v>
      </c>
      <c r="BG534" s="14">
        <f>IF(N534="zákl. přenesená",J534,0)</f>
        <v>0</v>
      </c>
      <c r="BH534" s="14">
        <f>IF(N534="sníž. přenesená",J534,0)</f>
        <v>0</v>
      </c>
      <c r="BI534" s="14">
        <f>IF(N534="nulová",J534,0)</f>
        <v>0</v>
      </c>
      <c r="BJ534" s="13" t="s">
        <v>74</v>
      </c>
      <c r="BK534" s="14">
        <f>ROUND(I534*H534,2)</f>
        <v>0</v>
      </c>
      <c r="BL534" s="13" t="s">
        <v>135</v>
      </c>
      <c r="BM534" s="12" t="s">
        <v>871</v>
      </c>
    </row>
    <row r="535" spans="1:65" s="5" customFormat="1" ht="19.5" x14ac:dyDescent="0.2">
      <c r="A535" s="105"/>
      <c r="B535" s="140"/>
      <c r="C535" s="17"/>
      <c r="D535" s="141" t="s">
        <v>148</v>
      </c>
      <c r="E535" s="17"/>
      <c r="F535" s="142" t="s">
        <v>718</v>
      </c>
      <c r="G535" s="17"/>
      <c r="H535" s="17"/>
      <c r="I535" s="17"/>
      <c r="J535" s="17"/>
      <c r="K535" s="143"/>
      <c r="L535" s="17"/>
      <c r="M535" s="15"/>
      <c r="N535" s="16"/>
      <c r="O535" s="17"/>
      <c r="P535" s="17"/>
      <c r="Q535" s="17"/>
      <c r="R535" s="17"/>
      <c r="S535" s="17"/>
      <c r="T535" s="18"/>
      <c r="U535" s="105"/>
      <c r="V535" s="17"/>
      <c r="W535" s="17"/>
      <c r="X535" s="17"/>
      <c r="Y535" s="17"/>
      <c r="Z535" s="17"/>
      <c r="AA535" s="17"/>
      <c r="AB535" s="17"/>
      <c r="AC535" s="105"/>
      <c r="AD535" s="105"/>
      <c r="AE535" s="105"/>
      <c r="AT535" s="13" t="s">
        <v>148</v>
      </c>
      <c r="AU535" s="13" t="s">
        <v>74</v>
      </c>
    </row>
    <row r="536" spans="1:65" s="5" customFormat="1" ht="16.5" customHeight="1" x14ac:dyDescent="0.2">
      <c r="A536" s="105"/>
      <c r="B536" s="140"/>
      <c r="C536" s="33" t="s">
        <v>872</v>
      </c>
      <c r="D536" s="33" t="s">
        <v>131</v>
      </c>
      <c r="E536" s="34" t="s">
        <v>232</v>
      </c>
      <c r="F536" s="7" t="s">
        <v>722</v>
      </c>
      <c r="G536" s="35" t="s">
        <v>723</v>
      </c>
      <c r="H536" s="36">
        <v>0.17899999999999999</v>
      </c>
      <c r="I536" s="1"/>
      <c r="J536" s="6">
        <f>ROUND(I536*H536,2)</f>
        <v>0</v>
      </c>
      <c r="K536" s="151" t="s">
        <v>1</v>
      </c>
      <c r="L536" s="17"/>
      <c r="M536" s="8" t="s">
        <v>1</v>
      </c>
      <c r="N536" s="9" t="s">
        <v>33</v>
      </c>
      <c r="O536" s="10">
        <v>0</v>
      </c>
      <c r="P536" s="10">
        <f>O536*H536</f>
        <v>0</v>
      </c>
      <c r="Q536" s="10">
        <v>0</v>
      </c>
      <c r="R536" s="10">
        <f>Q536*H536</f>
        <v>0</v>
      </c>
      <c r="S536" s="10">
        <v>0</v>
      </c>
      <c r="T536" s="11">
        <f>S536*H536</f>
        <v>0</v>
      </c>
      <c r="U536" s="105"/>
      <c r="V536" s="17"/>
      <c r="W536" s="17"/>
      <c r="X536" s="17"/>
      <c r="Y536" s="17"/>
      <c r="Z536" s="17"/>
      <c r="AA536" s="17"/>
      <c r="AB536" s="17"/>
      <c r="AC536" s="105"/>
      <c r="AD536" s="105"/>
      <c r="AE536" s="105"/>
      <c r="AR536" s="12" t="s">
        <v>135</v>
      </c>
      <c r="AT536" s="12" t="s">
        <v>131</v>
      </c>
      <c r="AU536" s="12" t="s">
        <v>74</v>
      </c>
      <c r="AY536" s="13" t="s">
        <v>130</v>
      </c>
      <c r="BE536" s="14">
        <f>IF(N536="základní",J536,0)</f>
        <v>0</v>
      </c>
      <c r="BF536" s="14">
        <f>IF(N536="snížená",J536,0)</f>
        <v>0</v>
      </c>
      <c r="BG536" s="14">
        <f>IF(N536="zákl. přenesená",J536,0)</f>
        <v>0</v>
      </c>
      <c r="BH536" s="14">
        <f>IF(N536="sníž. přenesená",J536,0)</f>
        <v>0</v>
      </c>
      <c r="BI536" s="14">
        <f>IF(N536="nulová",J536,0)</f>
        <v>0</v>
      </c>
      <c r="BJ536" s="13" t="s">
        <v>74</v>
      </c>
      <c r="BK536" s="14">
        <f>ROUND(I536*H536,2)</f>
        <v>0</v>
      </c>
      <c r="BL536" s="13" t="s">
        <v>135</v>
      </c>
      <c r="BM536" s="12" t="s">
        <v>873</v>
      </c>
    </row>
    <row r="537" spans="1:65" s="5" customFormat="1" ht="16.5" customHeight="1" x14ac:dyDescent="0.2">
      <c r="A537" s="105"/>
      <c r="B537" s="140"/>
      <c r="C537" s="33" t="s">
        <v>535</v>
      </c>
      <c r="D537" s="33" t="s">
        <v>131</v>
      </c>
      <c r="E537" s="34" t="s">
        <v>246</v>
      </c>
      <c r="F537" s="7" t="s">
        <v>724</v>
      </c>
      <c r="G537" s="35" t="s">
        <v>723</v>
      </c>
      <c r="H537" s="36">
        <v>0.17899999999999999</v>
      </c>
      <c r="I537" s="1"/>
      <c r="J537" s="6">
        <f>ROUND(I537*H537,2)</f>
        <v>0</v>
      </c>
      <c r="K537" s="151" t="s">
        <v>1</v>
      </c>
      <c r="L537" s="17"/>
      <c r="M537" s="8" t="s">
        <v>1</v>
      </c>
      <c r="N537" s="9" t="s">
        <v>33</v>
      </c>
      <c r="O537" s="10">
        <v>0</v>
      </c>
      <c r="P537" s="10">
        <f>O537*H537</f>
        <v>0</v>
      </c>
      <c r="Q537" s="10">
        <v>0</v>
      </c>
      <c r="R537" s="10">
        <f>Q537*H537</f>
        <v>0</v>
      </c>
      <c r="S537" s="10">
        <v>0</v>
      </c>
      <c r="T537" s="11">
        <f>S537*H537</f>
        <v>0</v>
      </c>
      <c r="U537" s="105"/>
      <c r="V537" s="17"/>
      <c r="W537" s="17"/>
      <c r="X537" s="17"/>
      <c r="Y537" s="17"/>
      <c r="Z537" s="17"/>
      <c r="AA537" s="17"/>
      <c r="AB537" s="17"/>
      <c r="AC537" s="105"/>
      <c r="AD537" s="105"/>
      <c r="AE537" s="105"/>
      <c r="AR537" s="12" t="s">
        <v>135</v>
      </c>
      <c r="AT537" s="12" t="s">
        <v>131</v>
      </c>
      <c r="AU537" s="12" t="s">
        <v>74</v>
      </c>
      <c r="AY537" s="13" t="s">
        <v>130</v>
      </c>
      <c r="BE537" s="14">
        <f>IF(N537="základní",J537,0)</f>
        <v>0</v>
      </c>
      <c r="BF537" s="14">
        <f>IF(N537="snížená",J537,0)</f>
        <v>0</v>
      </c>
      <c r="BG537" s="14">
        <f>IF(N537="zákl. přenesená",J537,0)</f>
        <v>0</v>
      </c>
      <c r="BH537" s="14">
        <f>IF(N537="sníž. přenesená",J537,0)</f>
        <v>0</v>
      </c>
      <c r="BI537" s="14">
        <f>IF(N537="nulová",J537,0)</f>
        <v>0</v>
      </c>
      <c r="BJ537" s="13" t="s">
        <v>74</v>
      </c>
      <c r="BK537" s="14">
        <f>ROUND(I537*H537,2)</f>
        <v>0</v>
      </c>
      <c r="BL537" s="13" t="s">
        <v>135</v>
      </c>
      <c r="BM537" s="12" t="s">
        <v>874</v>
      </c>
    </row>
    <row r="538" spans="1:65" s="5" customFormat="1" ht="16.5" customHeight="1" x14ac:dyDescent="0.2">
      <c r="A538" s="105"/>
      <c r="B538" s="140"/>
      <c r="C538" s="33" t="s">
        <v>875</v>
      </c>
      <c r="D538" s="33" t="s">
        <v>131</v>
      </c>
      <c r="E538" s="34" t="s">
        <v>728</v>
      </c>
      <c r="F538" s="7" t="s">
        <v>729</v>
      </c>
      <c r="G538" s="35" t="s">
        <v>134</v>
      </c>
      <c r="H538" s="36">
        <v>111.872</v>
      </c>
      <c r="I538" s="1"/>
      <c r="J538" s="6">
        <f>ROUND(I538*H538,2)</f>
        <v>0</v>
      </c>
      <c r="K538" s="151" t="s">
        <v>1</v>
      </c>
      <c r="L538" s="17"/>
      <c r="M538" s="8" t="s">
        <v>1</v>
      </c>
      <c r="N538" s="9" t="s">
        <v>33</v>
      </c>
      <c r="O538" s="10">
        <v>0</v>
      </c>
      <c r="P538" s="10">
        <f>O538*H538</f>
        <v>0</v>
      </c>
      <c r="Q538" s="10">
        <v>0</v>
      </c>
      <c r="R538" s="10">
        <f>Q538*H538</f>
        <v>0</v>
      </c>
      <c r="S538" s="10">
        <v>0</v>
      </c>
      <c r="T538" s="11">
        <f>S538*H538</f>
        <v>0</v>
      </c>
      <c r="U538" s="105"/>
      <c r="V538" s="17"/>
      <c r="W538" s="17"/>
      <c r="X538" s="17"/>
      <c r="Y538" s="17"/>
      <c r="Z538" s="17"/>
      <c r="AA538" s="17"/>
      <c r="AB538" s="17"/>
      <c r="AC538" s="105"/>
      <c r="AD538" s="105"/>
      <c r="AE538" s="105"/>
      <c r="AR538" s="12" t="s">
        <v>135</v>
      </c>
      <c r="AT538" s="12" t="s">
        <v>131</v>
      </c>
      <c r="AU538" s="12" t="s">
        <v>74</v>
      </c>
      <c r="AY538" s="13" t="s">
        <v>130</v>
      </c>
      <c r="BE538" s="14">
        <f>IF(N538="základní",J538,0)</f>
        <v>0</v>
      </c>
      <c r="BF538" s="14">
        <f>IF(N538="snížená",J538,0)</f>
        <v>0</v>
      </c>
      <c r="BG538" s="14">
        <f>IF(N538="zákl. přenesená",J538,0)</f>
        <v>0</v>
      </c>
      <c r="BH538" s="14">
        <f>IF(N538="sníž. přenesená",J538,0)</f>
        <v>0</v>
      </c>
      <c r="BI538" s="14">
        <f>IF(N538="nulová",J538,0)</f>
        <v>0</v>
      </c>
      <c r="BJ538" s="13" t="s">
        <v>74</v>
      </c>
      <c r="BK538" s="14">
        <f>ROUND(I538*H538,2)</f>
        <v>0</v>
      </c>
      <c r="BL538" s="13" t="s">
        <v>135</v>
      </c>
      <c r="BM538" s="12" t="s">
        <v>876</v>
      </c>
    </row>
    <row r="539" spans="1:65" s="5" customFormat="1" ht="16.5" customHeight="1" x14ac:dyDescent="0.2">
      <c r="A539" s="105"/>
      <c r="B539" s="140"/>
      <c r="C539" s="33" t="s">
        <v>536</v>
      </c>
      <c r="D539" s="33" t="s">
        <v>131</v>
      </c>
      <c r="E539" s="34" t="s">
        <v>735</v>
      </c>
      <c r="F539" s="7" t="s">
        <v>736</v>
      </c>
      <c r="G539" s="35" t="s">
        <v>134</v>
      </c>
      <c r="H539" s="36">
        <v>15</v>
      </c>
      <c r="I539" s="1"/>
      <c r="J539" s="6">
        <f>ROUND(I539*H539,2)</f>
        <v>0</v>
      </c>
      <c r="K539" s="151" t="s">
        <v>1</v>
      </c>
      <c r="L539" s="17"/>
      <c r="M539" s="8" t="s">
        <v>1</v>
      </c>
      <c r="N539" s="9" t="s">
        <v>33</v>
      </c>
      <c r="O539" s="10">
        <v>0</v>
      </c>
      <c r="P539" s="10">
        <f>O539*H539</f>
        <v>0</v>
      </c>
      <c r="Q539" s="10">
        <v>0</v>
      </c>
      <c r="R539" s="10">
        <f>Q539*H539</f>
        <v>0</v>
      </c>
      <c r="S539" s="10">
        <v>0</v>
      </c>
      <c r="T539" s="11">
        <f>S539*H539</f>
        <v>0</v>
      </c>
      <c r="U539" s="105"/>
      <c r="V539" s="17"/>
      <c r="W539" s="17"/>
      <c r="X539" s="17"/>
      <c r="Y539" s="17"/>
      <c r="Z539" s="17"/>
      <c r="AA539" s="17"/>
      <c r="AB539" s="17"/>
      <c r="AC539" s="105"/>
      <c r="AD539" s="105"/>
      <c r="AE539" s="105"/>
      <c r="AR539" s="12" t="s">
        <v>135</v>
      </c>
      <c r="AT539" s="12" t="s">
        <v>131</v>
      </c>
      <c r="AU539" s="12" t="s">
        <v>74</v>
      </c>
      <c r="AY539" s="13" t="s">
        <v>130</v>
      </c>
      <c r="BE539" s="14">
        <f>IF(N539="základní",J539,0)</f>
        <v>0</v>
      </c>
      <c r="BF539" s="14">
        <f>IF(N539="snížená",J539,0)</f>
        <v>0</v>
      </c>
      <c r="BG539" s="14">
        <f>IF(N539="zákl. přenesená",J539,0)</f>
        <v>0</v>
      </c>
      <c r="BH539" s="14">
        <f>IF(N539="sníž. přenesená",J539,0)</f>
        <v>0</v>
      </c>
      <c r="BI539" s="14">
        <f>IF(N539="nulová",J539,0)</f>
        <v>0</v>
      </c>
      <c r="BJ539" s="13" t="s">
        <v>74</v>
      </c>
      <c r="BK539" s="14">
        <f>ROUND(I539*H539,2)</f>
        <v>0</v>
      </c>
      <c r="BL539" s="13" t="s">
        <v>135</v>
      </c>
      <c r="BM539" s="12" t="s">
        <v>877</v>
      </c>
    </row>
    <row r="540" spans="1:65" s="5" customFormat="1" ht="19.5" x14ac:dyDescent="0.2">
      <c r="A540" s="105"/>
      <c r="B540" s="140"/>
      <c r="C540" s="17"/>
      <c r="D540" s="141" t="s">
        <v>148</v>
      </c>
      <c r="E540" s="17"/>
      <c r="F540" s="142" t="s">
        <v>737</v>
      </c>
      <c r="G540" s="17"/>
      <c r="H540" s="17"/>
      <c r="I540" s="17"/>
      <c r="J540" s="17"/>
      <c r="K540" s="143"/>
      <c r="L540" s="17"/>
      <c r="M540" s="15"/>
      <c r="N540" s="16"/>
      <c r="O540" s="17"/>
      <c r="P540" s="17"/>
      <c r="Q540" s="17"/>
      <c r="R540" s="17"/>
      <c r="S540" s="17"/>
      <c r="T540" s="18"/>
      <c r="U540" s="105"/>
      <c r="V540" s="17"/>
      <c r="W540" s="17"/>
      <c r="X540" s="17"/>
      <c r="Y540" s="17"/>
      <c r="Z540" s="17"/>
      <c r="AA540" s="17"/>
      <c r="AB540" s="17"/>
      <c r="AC540" s="105"/>
      <c r="AD540" s="105"/>
      <c r="AE540" s="105"/>
      <c r="AT540" s="13" t="s">
        <v>148</v>
      </c>
      <c r="AU540" s="13" t="s">
        <v>74</v>
      </c>
    </row>
    <row r="541" spans="1:65" s="5" customFormat="1" ht="16.5" customHeight="1" x14ac:dyDescent="0.2">
      <c r="A541" s="105"/>
      <c r="B541" s="140"/>
      <c r="C541" s="33" t="s">
        <v>878</v>
      </c>
      <c r="D541" s="33" t="s">
        <v>131</v>
      </c>
      <c r="E541" s="34" t="s">
        <v>741</v>
      </c>
      <c r="F541" s="7" t="s">
        <v>742</v>
      </c>
      <c r="G541" s="35" t="s">
        <v>134</v>
      </c>
      <c r="H541" s="36">
        <v>15</v>
      </c>
      <c r="I541" s="1"/>
      <c r="J541" s="6">
        <f>ROUND(I541*H541,2)</f>
        <v>0</v>
      </c>
      <c r="K541" s="151" t="s">
        <v>1</v>
      </c>
      <c r="L541" s="17"/>
      <c r="M541" s="8" t="s">
        <v>1</v>
      </c>
      <c r="N541" s="9" t="s">
        <v>33</v>
      </c>
      <c r="O541" s="10">
        <v>0</v>
      </c>
      <c r="P541" s="10">
        <f>O541*H541</f>
        <v>0</v>
      </c>
      <c r="Q541" s="10">
        <v>0</v>
      </c>
      <c r="R541" s="10">
        <f>Q541*H541</f>
        <v>0</v>
      </c>
      <c r="S541" s="10">
        <v>0</v>
      </c>
      <c r="T541" s="11">
        <f>S541*H541</f>
        <v>0</v>
      </c>
      <c r="U541" s="105"/>
      <c r="V541" s="17"/>
      <c r="W541" s="17"/>
      <c r="X541" s="17"/>
      <c r="Y541" s="17"/>
      <c r="Z541" s="17"/>
      <c r="AA541" s="17"/>
      <c r="AB541" s="17"/>
      <c r="AC541" s="105"/>
      <c r="AD541" s="105"/>
      <c r="AE541" s="105"/>
      <c r="AR541" s="12" t="s">
        <v>135</v>
      </c>
      <c r="AT541" s="12" t="s">
        <v>131</v>
      </c>
      <c r="AU541" s="12" t="s">
        <v>74</v>
      </c>
      <c r="AY541" s="13" t="s">
        <v>130</v>
      </c>
      <c r="BE541" s="14">
        <f>IF(N541="základní",J541,0)</f>
        <v>0</v>
      </c>
      <c r="BF541" s="14">
        <f>IF(N541="snížená",J541,0)</f>
        <v>0</v>
      </c>
      <c r="BG541" s="14">
        <f>IF(N541="zákl. přenesená",J541,0)</f>
        <v>0</v>
      </c>
      <c r="BH541" s="14">
        <f>IF(N541="sníž. přenesená",J541,0)</f>
        <v>0</v>
      </c>
      <c r="BI541" s="14">
        <f>IF(N541="nulová",J541,0)</f>
        <v>0</v>
      </c>
      <c r="BJ541" s="13" t="s">
        <v>74</v>
      </c>
      <c r="BK541" s="14">
        <f>ROUND(I541*H541,2)</f>
        <v>0</v>
      </c>
      <c r="BL541" s="13" t="s">
        <v>135</v>
      </c>
      <c r="BM541" s="12" t="s">
        <v>879</v>
      </c>
    </row>
    <row r="542" spans="1:65" s="5" customFormat="1" ht="39" x14ac:dyDescent="0.2">
      <c r="A542" s="105"/>
      <c r="B542" s="140"/>
      <c r="C542" s="17"/>
      <c r="D542" s="141" t="s">
        <v>148</v>
      </c>
      <c r="E542" s="17"/>
      <c r="F542" s="142" t="s">
        <v>743</v>
      </c>
      <c r="G542" s="17"/>
      <c r="H542" s="17"/>
      <c r="I542" s="17"/>
      <c r="J542" s="17"/>
      <c r="K542" s="143"/>
      <c r="L542" s="17"/>
      <c r="M542" s="15"/>
      <c r="N542" s="16"/>
      <c r="O542" s="17"/>
      <c r="P542" s="17"/>
      <c r="Q542" s="17"/>
      <c r="R542" s="17"/>
      <c r="S542" s="17"/>
      <c r="T542" s="18"/>
      <c r="U542" s="105"/>
      <c r="V542" s="17"/>
      <c r="W542" s="17"/>
      <c r="X542" s="17"/>
      <c r="Y542" s="17"/>
      <c r="Z542" s="17"/>
      <c r="AA542" s="17"/>
      <c r="AB542" s="17"/>
      <c r="AC542" s="105"/>
      <c r="AD542" s="105"/>
      <c r="AE542" s="105"/>
      <c r="AT542" s="13" t="s">
        <v>148</v>
      </c>
      <c r="AU542" s="13" t="s">
        <v>74</v>
      </c>
    </row>
    <row r="543" spans="1:65" s="5" customFormat="1" ht="16.5" customHeight="1" x14ac:dyDescent="0.2">
      <c r="A543" s="105"/>
      <c r="B543" s="140"/>
      <c r="C543" s="33" t="s">
        <v>538</v>
      </c>
      <c r="D543" s="33" t="s">
        <v>131</v>
      </c>
      <c r="E543" s="34" t="s">
        <v>744</v>
      </c>
      <c r="F543" s="7" t="s">
        <v>745</v>
      </c>
      <c r="G543" s="35" t="s">
        <v>134</v>
      </c>
      <c r="H543" s="36">
        <v>15</v>
      </c>
      <c r="I543" s="1"/>
      <c r="J543" s="6">
        <f>ROUND(I543*H543,2)</f>
        <v>0</v>
      </c>
      <c r="K543" s="151" t="s">
        <v>1</v>
      </c>
      <c r="L543" s="17"/>
      <c r="M543" s="8" t="s">
        <v>1</v>
      </c>
      <c r="N543" s="9" t="s">
        <v>33</v>
      </c>
      <c r="O543" s="10">
        <v>0</v>
      </c>
      <c r="P543" s="10">
        <f>O543*H543</f>
        <v>0</v>
      </c>
      <c r="Q543" s="10">
        <v>0</v>
      </c>
      <c r="R543" s="10">
        <f>Q543*H543</f>
        <v>0</v>
      </c>
      <c r="S543" s="10">
        <v>0</v>
      </c>
      <c r="T543" s="11">
        <f>S543*H543</f>
        <v>0</v>
      </c>
      <c r="U543" s="105"/>
      <c r="V543" s="17"/>
      <c r="W543" s="17"/>
      <c r="X543" s="17"/>
      <c r="Y543" s="17"/>
      <c r="Z543" s="17"/>
      <c r="AA543" s="17"/>
      <c r="AB543" s="17"/>
      <c r="AC543" s="105"/>
      <c r="AD543" s="105"/>
      <c r="AE543" s="105"/>
      <c r="AR543" s="12" t="s">
        <v>135</v>
      </c>
      <c r="AT543" s="12" t="s">
        <v>131</v>
      </c>
      <c r="AU543" s="12" t="s">
        <v>74</v>
      </c>
      <c r="AY543" s="13" t="s">
        <v>130</v>
      </c>
      <c r="BE543" s="14">
        <f>IF(N543="základní",J543,0)</f>
        <v>0</v>
      </c>
      <c r="BF543" s="14">
        <f>IF(N543="snížená",J543,0)</f>
        <v>0</v>
      </c>
      <c r="BG543" s="14">
        <f>IF(N543="zákl. přenesená",J543,0)</f>
        <v>0</v>
      </c>
      <c r="BH543" s="14">
        <f>IF(N543="sníž. přenesená",J543,0)</f>
        <v>0</v>
      </c>
      <c r="BI543" s="14">
        <f>IF(N543="nulová",J543,0)</f>
        <v>0</v>
      </c>
      <c r="BJ543" s="13" t="s">
        <v>74</v>
      </c>
      <c r="BK543" s="14">
        <f>ROUND(I543*H543,2)</f>
        <v>0</v>
      </c>
      <c r="BL543" s="13" t="s">
        <v>135</v>
      </c>
      <c r="BM543" s="12" t="s">
        <v>880</v>
      </c>
    </row>
    <row r="544" spans="1:65" s="5" customFormat="1" ht="16.5" customHeight="1" x14ac:dyDescent="0.2">
      <c r="A544" s="105"/>
      <c r="B544" s="140"/>
      <c r="C544" s="33" t="s">
        <v>881</v>
      </c>
      <c r="D544" s="33" t="s">
        <v>131</v>
      </c>
      <c r="E544" s="34" t="s">
        <v>882</v>
      </c>
      <c r="F544" s="7" t="s">
        <v>883</v>
      </c>
      <c r="G544" s="35" t="s">
        <v>134</v>
      </c>
      <c r="H544" s="36">
        <v>111.872</v>
      </c>
      <c r="I544" s="1"/>
      <c r="J544" s="6">
        <f>ROUND(I544*H544,2)</f>
        <v>0</v>
      </c>
      <c r="K544" s="151" t="s">
        <v>1</v>
      </c>
      <c r="L544" s="17"/>
      <c r="M544" s="8" t="s">
        <v>1</v>
      </c>
      <c r="N544" s="9" t="s">
        <v>33</v>
      </c>
      <c r="O544" s="10">
        <v>0</v>
      </c>
      <c r="P544" s="10">
        <f>O544*H544</f>
        <v>0</v>
      </c>
      <c r="Q544" s="10">
        <v>0</v>
      </c>
      <c r="R544" s="10">
        <f>Q544*H544</f>
        <v>0</v>
      </c>
      <c r="S544" s="10">
        <v>0</v>
      </c>
      <c r="T544" s="11">
        <f>S544*H544</f>
        <v>0</v>
      </c>
      <c r="U544" s="105"/>
      <c r="V544" s="17"/>
      <c r="W544" s="17"/>
      <c r="X544" s="17"/>
      <c r="Y544" s="17"/>
      <c r="Z544" s="17"/>
      <c r="AA544" s="17"/>
      <c r="AB544" s="17"/>
      <c r="AC544" s="105"/>
      <c r="AD544" s="105"/>
      <c r="AE544" s="105"/>
      <c r="AR544" s="12" t="s">
        <v>135</v>
      </c>
      <c r="AT544" s="12" t="s">
        <v>131</v>
      </c>
      <c r="AU544" s="12" t="s">
        <v>74</v>
      </c>
      <c r="AY544" s="13" t="s">
        <v>130</v>
      </c>
      <c r="BE544" s="14">
        <f>IF(N544="základní",J544,0)</f>
        <v>0</v>
      </c>
      <c r="BF544" s="14">
        <f>IF(N544="snížená",J544,0)</f>
        <v>0</v>
      </c>
      <c r="BG544" s="14">
        <f>IF(N544="zákl. přenesená",J544,0)</f>
        <v>0</v>
      </c>
      <c r="BH544" s="14">
        <f>IF(N544="sníž. přenesená",J544,0)</f>
        <v>0</v>
      </c>
      <c r="BI544" s="14">
        <f>IF(N544="nulová",J544,0)</f>
        <v>0</v>
      </c>
      <c r="BJ544" s="13" t="s">
        <v>74</v>
      </c>
      <c r="BK544" s="14">
        <f>ROUND(I544*H544,2)</f>
        <v>0</v>
      </c>
      <c r="BL544" s="13" t="s">
        <v>135</v>
      </c>
      <c r="BM544" s="12" t="s">
        <v>884</v>
      </c>
    </row>
    <row r="545" spans="1:65" s="5" customFormat="1" ht="19.5" x14ac:dyDescent="0.2">
      <c r="A545" s="105"/>
      <c r="B545" s="140"/>
      <c r="C545" s="17"/>
      <c r="D545" s="141" t="s">
        <v>148</v>
      </c>
      <c r="E545" s="17"/>
      <c r="F545" s="142" t="s">
        <v>885</v>
      </c>
      <c r="G545" s="17"/>
      <c r="H545" s="17"/>
      <c r="I545" s="17"/>
      <c r="J545" s="17"/>
      <c r="K545" s="143"/>
      <c r="L545" s="17"/>
      <c r="M545" s="15"/>
      <c r="N545" s="16"/>
      <c r="O545" s="17"/>
      <c r="P545" s="17"/>
      <c r="Q545" s="17"/>
      <c r="R545" s="17"/>
      <c r="S545" s="17"/>
      <c r="T545" s="18"/>
      <c r="U545" s="105"/>
      <c r="V545" s="17"/>
      <c r="W545" s="17"/>
      <c r="X545" s="17"/>
      <c r="Y545" s="17"/>
      <c r="Z545" s="17"/>
      <c r="AA545" s="17"/>
      <c r="AB545" s="17"/>
      <c r="AC545" s="105"/>
      <c r="AD545" s="105"/>
      <c r="AE545" s="105"/>
      <c r="AT545" s="13" t="s">
        <v>148</v>
      </c>
      <c r="AU545" s="13" t="s">
        <v>74</v>
      </c>
    </row>
    <row r="546" spans="1:65" s="5" customFormat="1" ht="21.75" customHeight="1" x14ac:dyDescent="0.2">
      <c r="A546" s="105"/>
      <c r="B546" s="140"/>
      <c r="C546" s="33" t="s">
        <v>539</v>
      </c>
      <c r="D546" s="33" t="s">
        <v>131</v>
      </c>
      <c r="E546" s="34" t="s">
        <v>748</v>
      </c>
      <c r="F546" s="7" t="s">
        <v>749</v>
      </c>
      <c r="G546" s="35" t="s">
        <v>134</v>
      </c>
      <c r="H546" s="36">
        <v>49.774999999999999</v>
      </c>
      <c r="I546" s="1"/>
      <c r="J546" s="6">
        <f>ROUND(I546*H546,2)</f>
        <v>0</v>
      </c>
      <c r="K546" s="151" t="s">
        <v>1</v>
      </c>
      <c r="L546" s="17"/>
      <c r="M546" s="8" t="s">
        <v>1</v>
      </c>
      <c r="N546" s="9" t="s">
        <v>33</v>
      </c>
      <c r="O546" s="10">
        <v>0</v>
      </c>
      <c r="P546" s="10">
        <f>O546*H546</f>
        <v>0</v>
      </c>
      <c r="Q546" s="10">
        <v>0</v>
      </c>
      <c r="R546" s="10">
        <f>Q546*H546</f>
        <v>0</v>
      </c>
      <c r="S546" s="10">
        <v>0</v>
      </c>
      <c r="T546" s="11">
        <f>S546*H546</f>
        <v>0</v>
      </c>
      <c r="U546" s="105"/>
      <c r="V546" s="17"/>
      <c r="W546" s="17"/>
      <c r="X546" s="17"/>
      <c r="Y546" s="17"/>
      <c r="Z546" s="17"/>
      <c r="AA546" s="17"/>
      <c r="AB546" s="17"/>
      <c r="AC546" s="105"/>
      <c r="AD546" s="105"/>
      <c r="AE546" s="105"/>
      <c r="AR546" s="12" t="s">
        <v>135</v>
      </c>
      <c r="AT546" s="12" t="s">
        <v>131</v>
      </c>
      <c r="AU546" s="12" t="s">
        <v>74</v>
      </c>
      <c r="AY546" s="13" t="s">
        <v>130</v>
      </c>
      <c r="BE546" s="14">
        <f>IF(N546="základní",J546,0)</f>
        <v>0</v>
      </c>
      <c r="BF546" s="14">
        <f>IF(N546="snížená",J546,0)</f>
        <v>0</v>
      </c>
      <c r="BG546" s="14">
        <f>IF(N546="zákl. přenesená",J546,0)</f>
        <v>0</v>
      </c>
      <c r="BH546" s="14">
        <f>IF(N546="sníž. přenesená",J546,0)</f>
        <v>0</v>
      </c>
      <c r="BI546" s="14">
        <f>IF(N546="nulová",J546,0)</f>
        <v>0</v>
      </c>
      <c r="BJ546" s="13" t="s">
        <v>74</v>
      </c>
      <c r="BK546" s="14">
        <f>ROUND(I546*H546,2)</f>
        <v>0</v>
      </c>
      <c r="BL546" s="13" t="s">
        <v>135</v>
      </c>
      <c r="BM546" s="12" t="s">
        <v>886</v>
      </c>
    </row>
    <row r="547" spans="1:65" s="152" customFormat="1" x14ac:dyDescent="0.2">
      <c r="B547" s="153"/>
      <c r="C547" s="154"/>
      <c r="D547" s="141" t="s">
        <v>340</v>
      </c>
      <c r="E547" s="155" t="s">
        <v>1</v>
      </c>
      <c r="F547" s="156" t="s">
        <v>887</v>
      </c>
      <c r="G547" s="154"/>
      <c r="H547" s="157"/>
      <c r="I547" s="154"/>
      <c r="J547" s="154"/>
      <c r="K547" s="158"/>
      <c r="L547" s="154"/>
      <c r="M547" s="159"/>
      <c r="N547" s="154"/>
      <c r="O547" s="154"/>
      <c r="P547" s="154"/>
      <c r="Q547" s="154"/>
      <c r="R547" s="154"/>
      <c r="S547" s="154"/>
      <c r="T547" s="160"/>
      <c r="V547" s="154"/>
      <c r="W547" s="154"/>
      <c r="X547" s="154"/>
      <c r="Y547" s="154"/>
      <c r="Z547" s="154"/>
      <c r="AA547" s="154"/>
      <c r="AB547" s="154"/>
      <c r="AT547" s="161" t="s">
        <v>340</v>
      </c>
      <c r="AU547" s="161" t="s">
        <v>74</v>
      </c>
      <c r="AV547" s="152" t="s">
        <v>76</v>
      </c>
      <c r="AW547" s="152" t="s">
        <v>25</v>
      </c>
      <c r="AX547" s="152" t="s">
        <v>68</v>
      </c>
      <c r="AY547" s="161" t="s">
        <v>130</v>
      </c>
    </row>
    <row r="548" spans="1:65" s="162" customFormat="1" x14ac:dyDescent="0.2">
      <c r="B548" s="163"/>
      <c r="C548" s="164"/>
      <c r="D548" s="141" t="s">
        <v>340</v>
      </c>
      <c r="E548" s="165" t="s">
        <v>1</v>
      </c>
      <c r="F548" s="166" t="s">
        <v>342</v>
      </c>
      <c r="G548" s="164"/>
      <c r="H548" s="167">
        <v>49.774999999999999</v>
      </c>
      <c r="I548" s="164"/>
      <c r="J548" s="164"/>
      <c r="K548" s="168"/>
      <c r="L548" s="164"/>
      <c r="M548" s="169"/>
      <c r="N548" s="164"/>
      <c r="O548" s="164"/>
      <c r="P548" s="164"/>
      <c r="Q548" s="164"/>
      <c r="R548" s="164"/>
      <c r="S548" s="164"/>
      <c r="T548" s="170"/>
      <c r="V548" s="164"/>
      <c r="W548" s="164"/>
      <c r="X548" s="164"/>
      <c r="Y548" s="164"/>
      <c r="Z548" s="164"/>
      <c r="AA548" s="164"/>
      <c r="AB548" s="164"/>
      <c r="AT548" s="171" t="s">
        <v>340</v>
      </c>
      <c r="AU548" s="171" t="s">
        <v>74</v>
      </c>
      <c r="AV548" s="162" t="s">
        <v>135</v>
      </c>
      <c r="AW548" s="162" t="s">
        <v>25</v>
      </c>
      <c r="AX548" s="162" t="s">
        <v>74</v>
      </c>
      <c r="AY548" s="171" t="s">
        <v>130</v>
      </c>
    </row>
    <row r="549" spans="1:65" s="20" customFormat="1" ht="25.9" customHeight="1" x14ac:dyDescent="0.2">
      <c r="B549" s="172"/>
      <c r="C549" s="23"/>
      <c r="D549" s="173" t="s">
        <v>67</v>
      </c>
      <c r="E549" s="174" t="s">
        <v>293</v>
      </c>
      <c r="F549" s="174" t="s">
        <v>888</v>
      </c>
      <c r="G549" s="23"/>
      <c r="H549" s="23"/>
      <c r="I549" s="23"/>
      <c r="J549" s="175">
        <f>BK549</f>
        <v>0</v>
      </c>
      <c r="K549" s="176"/>
      <c r="L549" s="23"/>
      <c r="M549" s="22"/>
      <c r="N549" s="23"/>
      <c r="O549" s="23"/>
      <c r="P549" s="24">
        <f>SUM(P552:P574)</f>
        <v>0</v>
      </c>
      <c r="Q549" s="23"/>
      <c r="R549" s="24">
        <f>SUM(R552:R574)</f>
        <v>0</v>
      </c>
      <c r="S549" s="23"/>
      <c r="T549" s="25">
        <f>SUM(T552:T574)</f>
        <v>0</v>
      </c>
      <c r="V549" s="23"/>
      <c r="W549" s="23"/>
      <c r="X549" s="23"/>
      <c r="Y549" s="23"/>
      <c r="Z549" s="23"/>
      <c r="AA549" s="23"/>
      <c r="AB549" s="23"/>
      <c r="AR549" s="26" t="s">
        <v>74</v>
      </c>
      <c r="AT549" s="27" t="s">
        <v>67</v>
      </c>
      <c r="AU549" s="27" t="s">
        <v>68</v>
      </c>
      <c r="AY549" s="26" t="s">
        <v>130</v>
      </c>
      <c r="BK549" s="28">
        <f>SUM(BK552:BK574)</f>
        <v>0</v>
      </c>
    </row>
    <row r="550" spans="1:65" s="5" customFormat="1" ht="10.15" customHeight="1" x14ac:dyDescent="0.2">
      <c r="B550" s="177"/>
      <c r="C550" s="16"/>
      <c r="D550" s="178" t="s">
        <v>340</v>
      </c>
      <c r="E550" s="16"/>
      <c r="F550" s="200" t="s">
        <v>1273</v>
      </c>
      <c r="G550" s="16"/>
      <c r="H550" s="180">
        <f>((2.32+2.32)*3.5)-(1.02*1.26)-(1.12*2.43)+(2*(1.02+1.26)*0.46)</f>
        <v>14.330799999999998</v>
      </c>
      <c r="I550" s="16"/>
      <c r="J550" s="16"/>
      <c r="K550" s="181"/>
      <c r="L550" s="52"/>
      <c r="M550" s="52"/>
      <c r="N550" s="52"/>
      <c r="O550" s="52"/>
      <c r="P550" s="52"/>
      <c r="Q550" s="52"/>
      <c r="R550" s="52"/>
      <c r="S550" s="128"/>
      <c r="V550" s="16"/>
      <c r="W550" s="16"/>
      <c r="X550" s="16"/>
      <c r="Y550" s="16"/>
      <c r="Z550" s="16"/>
      <c r="AA550" s="16"/>
      <c r="AB550" s="16"/>
      <c r="AZ550" s="126" t="s">
        <v>148</v>
      </c>
      <c r="BA550" s="126" t="s">
        <v>74</v>
      </c>
    </row>
    <row r="551" spans="1:65" s="5" customFormat="1" ht="10.15" customHeight="1" x14ac:dyDescent="0.2">
      <c r="B551" s="177"/>
      <c r="C551" s="16"/>
      <c r="D551" s="178" t="s">
        <v>340</v>
      </c>
      <c r="E551" s="16"/>
      <c r="F551" s="200" t="s">
        <v>1274</v>
      </c>
      <c r="G551" s="16"/>
      <c r="H551" s="180">
        <f>2.32*1.82</f>
        <v>4.2223999999999995</v>
      </c>
      <c r="I551" s="16"/>
      <c r="J551" s="16"/>
      <c r="K551" s="181"/>
      <c r="L551" s="52"/>
      <c r="M551" s="52"/>
      <c r="N551" s="52"/>
      <c r="O551" s="52"/>
      <c r="P551" s="52"/>
      <c r="Q551" s="52"/>
      <c r="R551" s="52"/>
      <c r="S551" s="128"/>
      <c r="V551" s="16"/>
      <c r="W551" s="16"/>
      <c r="X551" s="16"/>
      <c r="Y551" s="16"/>
      <c r="Z551" s="16"/>
      <c r="AA551" s="16"/>
      <c r="AB551" s="16"/>
      <c r="AZ551" s="126" t="s">
        <v>148</v>
      </c>
      <c r="BA551" s="126" t="s">
        <v>74</v>
      </c>
    </row>
    <row r="552" spans="1:65" s="5" customFormat="1" ht="16.5" customHeight="1" x14ac:dyDescent="0.2">
      <c r="A552" s="105"/>
      <c r="B552" s="140"/>
      <c r="C552" s="33" t="s">
        <v>889</v>
      </c>
      <c r="D552" s="33" t="s">
        <v>131</v>
      </c>
      <c r="E552" s="34" t="s">
        <v>713</v>
      </c>
      <c r="F552" s="7" t="s">
        <v>714</v>
      </c>
      <c r="G552" s="35" t="s">
        <v>134</v>
      </c>
      <c r="H552" s="36">
        <v>18.553000000000001</v>
      </c>
      <c r="I552" s="1"/>
      <c r="J552" s="6">
        <f>ROUND(I552*H552,2)</f>
        <v>0</v>
      </c>
      <c r="K552" s="151" t="s">
        <v>1</v>
      </c>
      <c r="L552" s="17"/>
      <c r="M552" s="8" t="s">
        <v>1</v>
      </c>
      <c r="N552" s="9" t="s">
        <v>33</v>
      </c>
      <c r="O552" s="10">
        <v>0</v>
      </c>
      <c r="P552" s="10">
        <f>O552*H552</f>
        <v>0</v>
      </c>
      <c r="Q552" s="10">
        <v>0</v>
      </c>
      <c r="R552" s="10">
        <f>Q552*H552</f>
        <v>0</v>
      </c>
      <c r="S552" s="10">
        <v>0</v>
      </c>
      <c r="T552" s="11">
        <f>S552*H552</f>
        <v>0</v>
      </c>
      <c r="U552" s="105"/>
      <c r="V552" s="17"/>
      <c r="W552" s="17"/>
      <c r="X552" s="17"/>
      <c r="Y552" s="17"/>
      <c r="Z552" s="17"/>
      <c r="AA552" s="17"/>
      <c r="AB552" s="17"/>
      <c r="AC552" s="105"/>
      <c r="AD552" s="105"/>
      <c r="AE552" s="105"/>
      <c r="AR552" s="12" t="s">
        <v>135</v>
      </c>
      <c r="AT552" s="12" t="s">
        <v>131</v>
      </c>
      <c r="AU552" s="12" t="s">
        <v>74</v>
      </c>
      <c r="AY552" s="13" t="s">
        <v>130</v>
      </c>
      <c r="BE552" s="14">
        <f>IF(N552="základní",J552,0)</f>
        <v>0</v>
      </c>
      <c r="BF552" s="14">
        <f>IF(N552="snížená",J552,0)</f>
        <v>0</v>
      </c>
      <c r="BG552" s="14">
        <f>IF(N552="zákl. přenesená",J552,0)</f>
        <v>0</v>
      </c>
      <c r="BH552" s="14">
        <f>IF(N552="sníž. přenesená",J552,0)</f>
        <v>0</v>
      </c>
      <c r="BI552" s="14">
        <f>IF(N552="nulová",J552,0)</f>
        <v>0</v>
      </c>
      <c r="BJ552" s="13" t="s">
        <v>74</v>
      </c>
      <c r="BK552" s="14">
        <f>ROUND(I552*H552,2)</f>
        <v>0</v>
      </c>
      <c r="BL552" s="13" t="s">
        <v>135</v>
      </c>
      <c r="BM552" s="12" t="s">
        <v>890</v>
      </c>
    </row>
    <row r="553" spans="1:65" s="152" customFormat="1" x14ac:dyDescent="0.2">
      <c r="B553" s="153"/>
      <c r="C553" s="154"/>
      <c r="D553" s="141" t="s">
        <v>340</v>
      </c>
      <c r="E553" s="155" t="s">
        <v>1</v>
      </c>
      <c r="F553" s="156" t="s">
        <v>891</v>
      </c>
      <c r="G553" s="154"/>
      <c r="H553" s="157"/>
      <c r="I553" s="154"/>
      <c r="J553" s="154"/>
      <c r="K553" s="158"/>
      <c r="L553" s="154"/>
      <c r="M553" s="159"/>
      <c r="N553" s="154"/>
      <c r="O553" s="154"/>
      <c r="P553" s="154"/>
      <c r="Q553" s="154"/>
      <c r="R553" s="154"/>
      <c r="S553" s="154"/>
      <c r="T553" s="160"/>
      <c r="V553" s="154"/>
      <c r="W553" s="154"/>
      <c r="X553" s="154"/>
      <c r="Y553" s="154"/>
      <c r="Z553" s="154"/>
      <c r="AA553" s="154"/>
      <c r="AB553" s="154"/>
      <c r="AT553" s="161" t="s">
        <v>340</v>
      </c>
      <c r="AU553" s="161" t="s">
        <v>74</v>
      </c>
      <c r="AV553" s="152" t="s">
        <v>76</v>
      </c>
      <c r="AW553" s="152" t="s">
        <v>25</v>
      </c>
      <c r="AX553" s="152" t="s">
        <v>68</v>
      </c>
      <c r="AY553" s="161" t="s">
        <v>130</v>
      </c>
    </row>
    <row r="554" spans="1:65" s="162" customFormat="1" x14ac:dyDescent="0.2">
      <c r="B554" s="163"/>
      <c r="C554" s="164"/>
      <c r="D554" s="141" t="s">
        <v>340</v>
      </c>
      <c r="E554" s="165" t="s">
        <v>1</v>
      </c>
      <c r="F554" s="166" t="s">
        <v>342</v>
      </c>
      <c r="G554" s="164"/>
      <c r="H554" s="167">
        <v>18.553000000000001</v>
      </c>
      <c r="I554" s="164"/>
      <c r="J554" s="164"/>
      <c r="K554" s="168"/>
      <c r="L554" s="164"/>
      <c r="M554" s="169"/>
      <c r="N554" s="164"/>
      <c r="O554" s="164"/>
      <c r="P554" s="164"/>
      <c r="Q554" s="164"/>
      <c r="R554" s="164"/>
      <c r="S554" s="164"/>
      <c r="T554" s="170"/>
      <c r="V554" s="164"/>
      <c r="W554" s="164"/>
      <c r="X554" s="164"/>
      <c r="Y554" s="164"/>
      <c r="Z554" s="164"/>
      <c r="AA554" s="164"/>
      <c r="AB554" s="164"/>
      <c r="AT554" s="171" t="s">
        <v>340</v>
      </c>
      <c r="AU554" s="171" t="s">
        <v>74</v>
      </c>
      <c r="AV554" s="162" t="s">
        <v>135</v>
      </c>
      <c r="AW554" s="162" t="s">
        <v>25</v>
      </c>
      <c r="AX554" s="162" t="s">
        <v>74</v>
      </c>
      <c r="AY554" s="171" t="s">
        <v>130</v>
      </c>
    </row>
    <row r="555" spans="1:65" s="5" customFormat="1" ht="16.5" customHeight="1" x14ac:dyDescent="0.2">
      <c r="A555" s="105"/>
      <c r="B555" s="140"/>
      <c r="C555" s="33" t="s">
        <v>542</v>
      </c>
      <c r="D555" s="33" t="s">
        <v>131</v>
      </c>
      <c r="E555" s="34" t="s">
        <v>716</v>
      </c>
      <c r="F555" s="7" t="s">
        <v>717</v>
      </c>
      <c r="G555" s="35" t="s">
        <v>134</v>
      </c>
      <c r="H555" s="36">
        <v>3.7109999999999999</v>
      </c>
      <c r="I555" s="1"/>
      <c r="J555" s="6">
        <f>ROUND(I555*H555,2)</f>
        <v>0</v>
      </c>
      <c r="K555" s="151" t="s">
        <v>1</v>
      </c>
      <c r="L555" s="17"/>
      <c r="M555" s="8" t="s">
        <v>1</v>
      </c>
      <c r="N555" s="9" t="s">
        <v>33</v>
      </c>
      <c r="O555" s="10">
        <v>0</v>
      </c>
      <c r="P555" s="10">
        <f>O555*H555</f>
        <v>0</v>
      </c>
      <c r="Q555" s="10">
        <v>0</v>
      </c>
      <c r="R555" s="10">
        <f>Q555*H555</f>
        <v>0</v>
      </c>
      <c r="S555" s="10">
        <v>0</v>
      </c>
      <c r="T555" s="11">
        <f>S555*H555</f>
        <v>0</v>
      </c>
      <c r="U555" s="105"/>
      <c r="V555" s="17"/>
      <c r="W555" s="17"/>
      <c r="X555" s="17"/>
      <c r="Y555" s="17"/>
      <c r="Z555" s="17"/>
      <c r="AA555" s="17"/>
      <c r="AB555" s="17"/>
      <c r="AC555" s="105"/>
      <c r="AD555" s="105"/>
      <c r="AE555" s="105"/>
      <c r="AR555" s="12" t="s">
        <v>135</v>
      </c>
      <c r="AT555" s="12" t="s">
        <v>131</v>
      </c>
      <c r="AU555" s="12" t="s">
        <v>74</v>
      </c>
      <c r="AY555" s="13" t="s">
        <v>130</v>
      </c>
      <c r="BE555" s="14">
        <f>IF(N555="základní",J555,0)</f>
        <v>0</v>
      </c>
      <c r="BF555" s="14">
        <f>IF(N555="snížená",J555,0)</f>
        <v>0</v>
      </c>
      <c r="BG555" s="14">
        <f>IF(N555="zákl. přenesená",J555,0)</f>
        <v>0</v>
      </c>
      <c r="BH555" s="14">
        <f>IF(N555="sníž. přenesená",J555,0)</f>
        <v>0</v>
      </c>
      <c r="BI555" s="14">
        <f>IF(N555="nulová",J555,0)</f>
        <v>0</v>
      </c>
      <c r="BJ555" s="13" t="s">
        <v>74</v>
      </c>
      <c r="BK555" s="14">
        <f>ROUND(I555*H555,2)</f>
        <v>0</v>
      </c>
      <c r="BL555" s="13" t="s">
        <v>135</v>
      </c>
      <c r="BM555" s="12" t="s">
        <v>892</v>
      </c>
    </row>
    <row r="556" spans="1:65" s="5" customFormat="1" ht="19.5" x14ac:dyDescent="0.2">
      <c r="A556" s="105"/>
      <c r="B556" s="140"/>
      <c r="C556" s="17"/>
      <c r="D556" s="141" t="s">
        <v>148</v>
      </c>
      <c r="E556" s="17"/>
      <c r="F556" s="142" t="s">
        <v>718</v>
      </c>
      <c r="G556" s="17"/>
      <c r="H556" s="17"/>
      <c r="I556" s="17"/>
      <c r="J556" s="17"/>
      <c r="K556" s="143"/>
      <c r="L556" s="17"/>
      <c r="M556" s="15"/>
      <c r="N556" s="16"/>
      <c r="O556" s="17"/>
      <c r="P556" s="17"/>
      <c r="Q556" s="17"/>
      <c r="R556" s="17"/>
      <c r="S556" s="17"/>
      <c r="T556" s="18"/>
      <c r="U556" s="105"/>
      <c r="V556" s="17"/>
      <c r="W556" s="17"/>
      <c r="X556" s="17"/>
      <c r="Y556" s="17"/>
      <c r="Z556" s="17"/>
      <c r="AA556" s="17"/>
      <c r="AB556" s="17"/>
      <c r="AC556" s="105"/>
      <c r="AD556" s="105"/>
      <c r="AE556" s="105"/>
      <c r="AT556" s="13" t="s">
        <v>148</v>
      </c>
      <c r="AU556" s="13" t="s">
        <v>74</v>
      </c>
    </row>
    <row r="557" spans="1:65" s="5" customFormat="1" ht="16.5" customHeight="1" x14ac:dyDescent="0.2">
      <c r="A557" s="105"/>
      <c r="B557" s="140"/>
      <c r="C557" s="33" t="s">
        <v>893</v>
      </c>
      <c r="D557" s="33" t="s">
        <v>131</v>
      </c>
      <c r="E557" s="34" t="s">
        <v>232</v>
      </c>
      <c r="F557" s="7" t="s">
        <v>722</v>
      </c>
      <c r="G557" s="35" t="s">
        <v>723</v>
      </c>
      <c r="H557" s="36">
        <v>2.9000000000000001E-2</v>
      </c>
      <c r="I557" s="1"/>
      <c r="J557" s="6">
        <f>ROUND(I557*H557,2)</f>
        <v>0</v>
      </c>
      <c r="K557" s="151" t="s">
        <v>1</v>
      </c>
      <c r="L557" s="17"/>
      <c r="M557" s="8" t="s">
        <v>1</v>
      </c>
      <c r="N557" s="9" t="s">
        <v>33</v>
      </c>
      <c r="O557" s="10">
        <v>0</v>
      </c>
      <c r="P557" s="10">
        <f>O557*H557</f>
        <v>0</v>
      </c>
      <c r="Q557" s="10">
        <v>0</v>
      </c>
      <c r="R557" s="10">
        <f>Q557*H557</f>
        <v>0</v>
      </c>
      <c r="S557" s="10">
        <v>0</v>
      </c>
      <c r="T557" s="11">
        <f>S557*H557</f>
        <v>0</v>
      </c>
      <c r="U557" s="105"/>
      <c r="V557" s="17"/>
      <c r="W557" s="17"/>
      <c r="X557" s="17"/>
      <c r="Y557" s="17"/>
      <c r="Z557" s="17"/>
      <c r="AA557" s="17"/>
      <c r="AB557" s="17"/>
      <c r="AC557" s="105"/>
      <c r="AD557" s="105"/>
      <c r="AE557" s="105"/>
      <c r="AR557" s="12" t="s">
        <v>135</v>
      </c>
      <c r="AT557" s="12" t="s">
        <v>131</v>
      </c>
      <c r="AU557" s="12" t="s">
        <v>74</v>
      </c>
      <c r="AY557" s="13" t="s">
        <v>130</v>
      </c>
      <c r="BE557" s="14">
        <f>IF(N557="základní",J557,0)</f>
        <v>0</v>
      </c>
      <c r="BF557" s="14">
        <f>IF(N557="snížená",J557,0)</f>
        <v>0</v>
      </c>
      <c r="BG557" s="14">
        <f>IF(N557="zákl. přenesená",J557,0)</f>
        <v>0</v>
      </c>
      <c r="BH557" s="14">
        <f>IF(N557="sníž. přenesená",J557,0)</f>
        <v>0</v>
      </c>
      <c r="BI557" s="14">
        <f>IF(N557="nulová",J557,0)</f>
        <v>0</v>
      </c>
      <c r="BJ557" s="13" t="s">
        <v>74</v>
      </c>
      <c r="BK557" s="14">
        <f>ROUND(I557*H557,2)</f>
        <v>0</v>
      </c>
      <c r="BL557" s="13" t="s">
        <v>135</v>
      </c>
      <c r="BM557" s="12" t="s">
        <v>894</v>
      </c>
    </row>
    <row r="558" spans="1:65" s="5" customFormat="1" ht="16.5" customHeight="1" x14ac:dyDescent="0.2">
      <c r="A558" s="105"/>
      <c r="B558" s="140"/>
      <c r="C558" s="33" t="s">
        <v>543</v>
      </c>
      <c r="D558" s="33" t="s">
        <v>131</v>
      </c>
      <c r="E558" s="34" t="s">
        <v>246</v>
      </c>
      <c r="F558" s="7" t="s">
        <v>724</v>
      </c>
      <c r="G558" s="35" t="s">
        <v>723</v>
      </c>
      <c r="H558" s="36">
        <v>2.9000000000000001E-2</v>
      </c>
      <c r="I558" s="1"/>
      <c r="J558" s="6">
        <f>ROUND(I558*H558,2)</f>
        <v>0</v>
      </c>
      <c r="K558" s="151" t="s">
        <v>1</v>
      </c>
      <c r="L558" s="17"/>
      <c r="M558" s="8" t="s">
        <v>1</v>
      </c>
      <c r="N558" s="9" t="s">
        <v>33</v>
      </c>
      <c r="O558" s="10">
        <v>0</v>
      </c>
      <c r="P558" s="10">
        <f>O558*H558</f>
        <v>0</v>
      </c>
      <c r="Q558" s="10">
        <v>0</v>
      </c>
      <c r="R558" s="10">
        <f>Q558*H558</f>
        <v>0</v>
      </c>
      <c r="S558" s="10">
        <v>0</v>
      </c>
      <c r="T558" s="11">
        <f>S558*H558</f>
        <v>0</v>
      </c>
      <c r="U558" s="105"/>
      <c r="V558" s="17"/>
      <c r="W558" s="17"/>
      <c r="X558" s="17"/>
      <c r="Y558" s="17"/>
      <c r="Z558" s="17"/>
      <c r="AA558" s="17"/>
      <c r="AB558" s="17"/>
      <c r="AC558" s="105"/>
      <c r="AD558" s="105"/>
      <c r="AE558" s="105"/>
      <c r="AR558" s="12" t="s">
        <v>135</v>
      </c>
      <c r="AT558" s="12" t="s">
        <v>131</v>
      </c>
      <c r="AU558" s="12" t="s">
        <v>74</v>
      </c>
      <c r="AY558" s="13" t="s">
        <v>130</v>
      </c>
      <c r="BE558" s="14">
        <f>IF(N558="základní",J558,0)</f>
        <v>0</v>
      </c>
      <c r="BF558" s="14">
        <f>IF(N558="snížená",J558,0)</f>
        <v>0</v>
      </c>
      <c r="BG558" s="14">
        <f>IF(N558="zákl. přenesená",J558,0)</f>
        <v>0</v>
      </c>
      <c r="BH558" s="14">
        <f>IF(N558="sníž. přenesená",J558,0)</f>
        <v>0</v>
      </c>
      <c r="BI558" s="14">
        <f>IF(N558="nulová",J558,0)</f>
        <v>0</v>
      </c>
      <c r="BJ558" s="13" t="s">
        <v>74</v>
      </c>
      <c r="BK558" s="14">
        <f>ROUND(I558*H558,2)</f>
        <v>0</v>
      </c>
      <c r="BL558" s="13" t="s">
        <v>135</v>
      </c>
      <c r="BM558" s="12" t="s">
        <v>895</v>
      </c>
    </row>
    <row r="559" spans="1:65" s="5" customFormat="1" ht="16.5" customHeight="1" x14ac:dyDescent="0.2">
      <c r="A559" s="105"/>
      <c r="B559" s="140"/>
      <c r="C559" s="33" t="s">
        <v>896</v>
      </c>
      <c r="D559" s="33" t="s">
        <v>131</v>
      </c>
      <c r="E559" s="34" t="s">
        <v>897</v>
      </c>
      <c r="F559" s="7" t="s">
        <v>898</v>
      </c>
      <c r="G559" s="35" t="s">
        <v>134</v>
      </c>
      <c r="H559" s="36">
        <v>18.553000000000001</v>
      </c>
      <c r="I559" s="1"/>
      <c r="J559" s="6">
        <f>ROUND(I559*H559,2)</f>
        <v>0</v>
      </c>
      <c r="K559" s="151" t="s">
        <v>1</v>
      </c>
      <c r="L559" s="17"/>
      <c r="M559" s="8" t="s">
        <v>1</v>
      </c>
      <c r="N559" s="9" t="s">
        <v>33</v>
      </c>
      <c r="O559" s="10">
        <v>0</v>
      </c>
      <c r="P559" s="10">
        <f>O559*H559</f>
        <v>0</v>
      </c>
      <c r="Q559" s="10">
        <v>0</v>
      </c>
      <c r="R559" s="10">
        <f>Q559*H559</f>
        <v>0</v>
      </c>
      <c r="S559" s="10">
        <v>0</v>
      </c>
      <c r="T559" s="11">
        <f>S559*H559</f>
        <v>0</v>
      </c>
      <c r="U559" s="105"/>
      <c r="V559" s="17"/>
      <c r="W559" s="17"/>
      <c r="X559" s="17"/>
      <c r="Y559" s="17"/>
      <c r="Z559" s="17"/>
      <c r="AA559" s="17"/>
      <c r="AB559" s="17"/>
      <c r="AC559" s="105"/>
      <c r="AD559" s="105"/>
      <c r="AE559" s="105"/>
      <c r="AR559" s="12" t="s">
        <v>135</v>
      </c>
      <c r="AT559" s="12" t="s">
        <v>131</v>
      </c>
      <c r="AU559" s="12" t="s">
        <v>74</v>
      </c>
      <c r="AY559" s="13" t="s">
        <v>130</v>
      </c>
      <c r="BE559" s="14">
        <f>IF(N559="základní",J559,0)</f>
        <v>0</v>
      </c>
      <c r="BF559" s="14">
        <f>IF(N559="snížená",J559,0)</f>
        <v>0</v>
      </c>
      <c r="BG559" s="14">
        <f>IF(N559="zákl. přenesená",J559,0)</f>
        <v>0</v>
      </c>
      <c r="BH559" s="14">
        <f>IF(N559="sníž. přenesená",J559,0)</f>
        <v>0</v>
      </c>
      <c r="BI559" s="14">
        <f>IF(N559="nulová",J559,0)</f>
        <v>0</v>
      </c>
      <c r="BJ559" s="13" t="s">
        <v>74</v>
      </c>
      <c r="BK559" s="14">
        <f>ROUND(I559*H559,2)</f>
        <v>0</v>
      </c>
      <c r="BL559" s="13" t="s">
        <v>135</v>
      </c>
      <c r="BM559" s="12" t="s">
        <v>899</v>
      </c>
    </row>
    <row r="560" spans="1:65" s="5" customFormat="1" ht="16.5" customHeight="1" x14ac:dyDescent="0.2">
      <c r="A560" s="105"/>
      <c r="B560" s="140"/>
      <c r="C560" s="33" t="s">
        <v>545</v>
      </c>
      <c r="D560" s="33" t="s">
        <v>131</v>
      </c>
      <c r="E560" s="34" t="s">
        <v>735</v>
      </c>
      <c r="F560" s="7" t="s">
        <v>736</v>
      </c>
      <c r="G560" s="35" t="s">
        <v>134</v>
      </c>
      <c r="H560" s="36">
        <v>2</v>
      </c>
      <c r="I560" s="1"/>
      <c r="J560" s="6">
        <f>ROUND(I560*H560,2)</f>
        <v>0</v>
      </c>
      <c r="K560" s="151" t="s">
        <v>1</v>
      </c>
      <c r="L560" s="17"/>
      <c r="M560" s="8" t="s">
        <v>1</v>
      </c>
      <c r="N560" s="9" t="s">
        <v>33</v>
      </c>
      <c r="O560" s="10">
        <v>0</v>
      </c>
      <c r="P560" s="10">
        <f>O560*H560</f>
        <v>0</v>
      </c>
      <c r="Q560" s="10">
        <v>0</v>
      </c>
      <c r="R560" s="10">
        <f>Q560*H560</f>
        <v>0</v>
      </c>
      <c r="S560" s="10">
        <v>0</v>
      </c>
      <c r="T560" s="11">
        <f>S560*H560</f>
        <v>0</v>
      </c>
      <c r="U560" s="105"/>
      <c r="V560" s="17"/>
      <c r="W560" s="17"/>
      <c r="X560" s="17"/>
      <c r="Y560" s="17"/>
      <c r="Z560" s="17"/>
      <c r="AA560" s="17"/>
      <c r="AB560" s="17"/>
      <c r="AC560" s="105"/>
      <c r="AD560" s="105"/>
      <c r="AE560" s="105"/>
      <c r="AR560" s="12" t="s">
        <v>135</v>
      </c>
      <c r="AT560" s="12" t="s">
        <v>131</v>
      </c>
      <c r="AU560" s="12" t="s">
        <v>74</v>
      </c>
      <c r="AY560" s="13" t="s">
        <v>130</v>
      </c>
      <c r="BE560" s="14">
        <f>IF(N560="základní",J560,0)</f>
        <v>0</v>
      </c>
      <c r="BF560" s="14">
        <f>IF(N560="snížená",J560,0)</f>
        <v>0</v>
      </c>
      <c r="BG560" s="14">
        <f>IF(N560="zákl. přenesená",J560,0)</f>
        <v>0</v>
      </c>
      <c r="BH560" s="14">
        <f>IF(N560="sníž. přenesená",J560,0)</f>
        <v>0</v>
      </c>
      <c r="BI560" s="14">
        <f>IF(N560="nulová",J560,0)</f>
        <v>0</v>
      </c>
      <c r="BJ560" s="13" t="s">
        <v>74</v>
      </c>
      <c r="BK560" s="14">
        <f>ROUND(I560*H560,2)</f>
        <v>0</v>
      </c>
      <c r="BL560" s="13" t="s">
        <v>135</v>
      </c>
      <c r="BM560" s="12" t="s">
        <v>900</v>
      </c>
    </row>
    <row r="561" spans="1:65" s="5" customFormat="1" ht="19.5" x14ac:dyDescent="0.2">
      <c r="A561" s="105"/>
      <c r="B561" s="140"/>
      <c r="C561" s="17"/>
      <c r="D561" s="141" t="s">
        <v>148</v>
      </c>
      <c r="E561" s="17"/>
      <c r="F561" s="142" t="s">
        <v>737</v>
      </c>
      <c r="G561" s="17"/>
      <c r="H561" s="17"/>
      <c r="I561" s="17"/>
      <c r="J561" s="17"/>
      <c r="K561" s="143"/>
      <c r="L561" s="17"/>
      <c r="M561" s="15"/>
      <c r="N561" s="16"/>
      <c r="O561" s="17"/>
      <c r="P561" s="17"/>
      <c r="Q561" s="17"/>
      <c r="R561" s="17"/>
      <c r="S561" s="17"/>
      <c r="T561" s="18"/>
      <c r="U561" s="105"/>
      <c r="V561" s="17"/>
      <c r="W561" s="17"/>
      <c r="X561" s="17"/>
      <c r="Y561" s="17"/>
      <c r="Z561" s="17"/>
      <c r="AA561" s="17"/>
      <c r="AB561" s="17"/>
      <c r="AC561" s="105"/>
      <c r="AD561" s="105"/>
      <c r="AE561" s="105"/>
      <c r="AT561" s="13" t="s">
        <v>148</v>
      </c>
      <c r="AU561" s="13" t="s">
        <v>74</v>
      </c>
    </row>
    <row r="562" spans="1:65" s="5" customFormat="1" ht="16.5" customHeight="1" x14ac:dyDescent="0.2">
      <c r="A562" s="105"/>
      <c r="B562" s="140"/>
      <c r="C562" s="33" t="s">
        <v>901</v>
      </c>
      <c r="D562" s="33" t="s">
        <v>131</v>
      </c>
      <c r="E562" s="34" t="s">
        <v>741</v>
      </c>
      <c r="F562" s="7" t="s">
        <v>742</v>
      </c>
      <c r="G562" s="35" t="s">
        <v>134</v>
      </c>
      <c r="H562" s="36">
        <v>2</v>
      </c>
      <c r="I562" s="1"/>
      <c r="J562" s="6">
        <f>ROUND(I562*H562,2)</f>
        <v>0</v>
      </c>
      <c r="K562" s="151" t="s">
        <v>1</v>
      </c>
      <c r="L562" s="17"/>
      <c r="M562" s="8" t="s">
        <v>1</v>
      </c>
      <c r="N562" s="9" t="s">
        <v>33</v>
      </c>
      <c r="O562" s="10">
        <v>0</v>
      </c>
      <c r="P562" s="10">
        <f>O562*H562</f>
        <v>0</v>
      </c>
      <c r="Q562" s="10">
        <v>0</v>
      </c>
      <c r="R562" s="10">
        <f>Q562*H562</f>
        <v>0</v>
      </c>
      <c r="S562" s="10">
        <v>0</v>
      </c>
      <c r="T562" s="11">
        <f>S562*H562</f>
        <v>0</v>
      </c>
      <c r="U562" s="105"/>
      <c r="V562" s="17"/>
      <c r="W562" s="17"/>
      <c r="X562" s="17"/>
      <c r="Y562" s="17"/>
      <c r="Z562" s="17"/>
      <c r="AA562" s="17"/>
      <c r="AB562" s="17"/>
      <c r="AC562" s="105"/>
      <c r="AD562" s="105"/>
      <c r="AE562" s="105"/>
      <c r="AR562" s="12" t="s">
        <v>135</v>
      </c>
      <c r="AT562" s="12" t="s">
        <v>131</v>
      </c>
      <c r="AU562" s="12" t="s">
        <v>74</v>
      </c>
      <c r="AY562" s="13" t="s">
        <v>130</v>
      </c>
      <c r="BE562" s="14">
        <f>IF(N562="základní",J562,0)</f>
        <v>0</v>
      </c>
      <c r="BF562" s="14">
        <f>IF(N562="snížená",J562,0)</f>
        <v>0</v>
      </c>
      <c r="BG562" s="14">
        <f>IF(N562="zákl. přenesená",J562,0)</f>
        <v>0</v>
      </c>
      <c r="BH562" s="14">
        <f>IF(N562="sníž. přenesená",J562,0)</f>
        <v>0</v>
      </c>
      <c r="BI562" s="14">
        <f>IF(N562="nulová",J562,0)</f>
        <v>0</v>
      </c>
      <c r="BJ562" s="13" t="s">
        <v>74</v>
      </c>
      <c r="BK562" s="14">
        <f>ROUND(I562*H562,2)</f>
        <v>0</v>
      </c>
      <c r="BL562" s="13" t="s">
        <v>135</v>
      </c>
      <c r="BM562" s="12" t="s">
        <v>902</v>
      </c>
    </row>
    <row r="563" spans="1:65" s="5" customFormat="1" ht="39" x14ac:dyDescent="0.2">
      <c r="A563" s="105"/>
      <c r="B563" s="140"/>
      <c r="C563" s="17"/>
      <c r="D563" s="141" t="s">
        <v>148</v>
      </c>
      <c r="E563" s="17"/>
      <c r="F563" s="142" t="s">
        <v>743</v>
      </c>
      <c r="G563" s="17"/>
      <c r="H563" s="17"/>
      <c r="I563" s="17"/>
      <c r="J563" s="17"/>
      <c r="K563" s="143"/>
      <c r="L563" s="17"/>
      <c r="M563" s="15"/>
      <c r="N563" s="16"/>
      <c r="O563" s="17"/>
      <c r="P563" s="17"/>
      <c r="Q563" s="17"/>
      <c r="R563" s="17"/>
      <c r="S563" s="17"/>
      <c r="T563" s="18"/>
      <c r="U563" s="105"/>
      <c r="V563" s="17"/>
      <c r="W563" s="17"/>
      <c r="X563" s="17"/>
      <c r="Y563" s="17"/>
      <c r="Z563" s="17"/>
      <c r="AA563" s="17"/>
      <c r="AB563" s="17"/>
      <c r="AC563" s="105"/>
      <c r="AD563" s="105"/>
      <c r="AE563" s="105"/>
      <c r="AT563" s="13" t="s">
        <v>148</v>
      </c>
      <c r="AU563" s="13" t="s">
        <v>74</v>
      </c>
    </row>
    <row r="564" spans="1:65" s="5" customFormat="1" ht="16.5" customHeight="1" x14ac:dyDescent="0.2">
      <c r="A564" s="105"/>
      <c r="B564" s="140"/>
      <c r="C564" s="33" t="s">
        <v>548</v>
      </c>
      <c r="D564" s="33" t="s">
        <v>131</v>
      </c>
      <c r="E564" s="34" t="s">
        <v>744</v>
      </c>
      <c r="F564" s="7" t="s">
        <v>745</v>
      </c>
      <c r="G564" s="35" t="s">
        <v>134</v>
      </c>
      <c r="H564" s="36">
        <v>2</v>
      </c>
      <c r="I564" s="1"/>
      <c r="J564" s="6">
        <f>ROUND(I564*H564,2)</f>
        <v>0</v>
      </c>
      <c r="K564" s="151" t="s">
        <v>1</v>
      </c>
      <c r="L564" s="17"/>
      <c r="M564" s="8" t="s">
        <v>1</v>
      </c>
      <c r="N564" s="9" t="s">
        <v>33</v>
      </c>
      <c r="O564" s="10">
        <v>0</v>
      </c>
      <c r="P564" s="10">
        <f>O564*H564</f>
        <v>0</v>
      </c>
      <c r="Q564" s="10">
        <v>0</v>
      </c>
      <c r="R564" s="10">
        <f>Q564*H564</f>
        <v>0</v>
      </c>
      <c r="S564" s="10">
        <v>0</v>
      </c>
      <c r="T564" s="11">
        <f>S564*H564</f>
        <v>0</v>
      </c>
      <c r="U564" s="105"/>
      <c r="V564" s="17"/>
      <c r="W564" s="17"/>
      <c r="X564" s="17"/>
      <c r="Y564" s="17"/>
      <c r="Z564" s="17"/>
      <c r="AA564" s="17"/>
      <c r="AB564" s="17"/>
      <c r="AC564" s="105"/>
      <c r="AD564" s="105"/>
      <c r="AE564" s="105"/>
      <c r="AR564" s="12" t="s">
        <v>135</v>
      </c>
      <c r="AT564" s="12" t="s">
        <v>131</v>
      </c>
      <c r="AU564" s="12" t="s">
        <v>74</v>
      </c>
      <c r="AY564" s="13" t="s">
        <v>130</v>
      </c>
      <c r="BE564" s="14">
        <f>IF(N564="základní",J564,0)</f>
        <v>0</v>
      </c>
      <c r="BF564" s="14">
        <f>IF(N564="snížená",J564,0)</f>
        <v>0</v>
      </c>
      <c r="BG564" s="14">
        <f>IF(N564="zákl. přenesená",J564,0)</f>
        <v>0</v>
      </c>
      <c r="BH564" s="14">
        <f>IF(N564="sníž. přenesená",J564,0)</f>
        <v>0</v>
      </c>
      <c r="BI564" s="14">
        <f>IF(N564="nulová",J564,0)</f>
        <v>0</v>
      </c>
      <c r="BJ564" s="13" t="s">
        <v>74</v>
      </c>
      <c r="BK564" s="14">
        <f>ROUND(I564*H564,2)</f>
        <v>0</v>
      </c>
      <c r="BL564" s="13" t="s">
        <v>135</v>
      </c>
      <c r="BM564" s="12" t="s">
        <v>903</v>
      </c>
    </row>
    <row r="565" spans="1:65" s="5" customFormat="1" ht="16.5" customHeight="1" x14ac:dyDescent="0.2">
      <c r="A565" s="105"/>
      <c r="B565" s="140"/>
      <c r="C565" s="33" t="s">
        <v>904</v>
      </c>
      <c r="D565" s="33" t="s">
        <v>131</v>
      </c>
      <c r="E565" s="34" t="s">
        <v>784</v>
      </c>
      <c r="F565" s="7" t="s">
        <v>785</v>
      </c>
      <c r="G565" s="35" t="s">
        <v>134</v>
      </c>
      <c r="H565" s="36">
        <v>1</v>
      </c>
      <c r="I565" s="1"/>
      <c r="J565" s="6">
        <f>ROUND(I565*H565,2)</f>
        <v>0</v>
      </c>
      <c r="K565" s="151" t="s">
        <v>1</v>
      </c>
      <c r="L565" s="17"/>
      <c r="M565" s="8" t="s">
        <v>1</v>
      </c>
      <c r="N565" s="9" t="s">
        <v>33</v>
      </c>
      <c r="O565" s="10">
        <v>0</v>
      </c>
      <c r="P565" s="10">
        <f>O565*H565</f>
        <v>0</v>
      </c>
      <c r="Q565" s="10">
        <v>0</v>
      </c>
      <c r="R565" s="10">
        <f>Q565*H565</f>
        <v>0</v>
      </c>
      <c r="S565" s="10">
        <v>0</v>
      </c>
      <c r="T565" s="11">
        <f>S565*H565</f>
        <v>0</v>
      </c>
      <c r="U565" s="105"/>
      <c r="V565" s="17"/>
      <c r="W565" s="17"/>
      <c r="X565" s="17"/>
      <c r="Y565" s="17"/>
      <c r="Z565" s="17"/>
      <c r="AA565" s="17"/>
      <c r="AB565" s="17"/>
      <c r="AC565" s="105"/>
      <c r="AD565" s="105"/>
      <c r="AE565" s="105"/>
      <c r="AR565" s="12" t="s">
        <v>135</v>
      </c>
      <c r="AT565" s="12" t="s">
        <v>131</v>
      </c>
      <c r="AU565" s="12" t="s">
        <v>74</v>
      </c>
      <c r="AY565" s="13" t="s">
        <v>130</v>
      </c>
      <c r="BE565" s="14">
        <f>IF(N565="základní",J565,0)</f>
        <v>0</v>
      </c>
      <c r="BF565" s="14">
        <f>IF(N565="snížená",J565,0)</f>
        <v>0</v>
      </c>
      <c r="BG565" s="14">
        <f>IF(N565="zákl. přenesená",J565,0)</f>
        <v>0</v>
      </c>
      <c r="BH565" s="14">
        <f>IF(N565="sníž. přenesená",J565,0)</f>
        <v>0</v>
      </c>
      <c r="BI565" s="14">
        <f>IF(N565="nulová",J565,0)</f>
        <v>0</v>
      </c>
      <c r="BJ565" s="13" t="s">
        <v>74</v>
      </c>
      <c r="BK565" s="14">
        <f>ROUND(I565*H565,2)</f>
        <v>0</v>
      </c>
      <c r="BL565" s="13" t="s">
        <v>135</v>
      </c>
      <c r="BM565" s="12" t="s">
        <v>905</v>
      </c>
    </row>
    <row r="566" spans="1:65" s="5" customFormat="1" ht="16.5" customHeight="1" x14ac:dyDescent="0.2">
      <c r="A566" s="105"/>
      <c r="B566" s="140"/>
      <c r="C566" s="33" t="s">
        <v>553</v>
      </c>
      <c r="D566" s="33" t="s">
        <v>131</v>
      </c>
      <c r="E566" s="34" t="s">
        <v>906</v>
      </c>
      <c r="F566" s="7" t="s">
        <v>907</v>
      </c>
      <c r="G566" s="35" t="s">
        <v>134</v>
      </c>
      <c r="H566" s="36">
        <v>14.331</v>
      </c>
      <c r="I566" s="1"/>
      <c r="J566" s="6">
        <f>ROUND(I566*H566,2)</f>
        <v>0</v>
      </c>
      <c r="K566" s="151" t="s">
        <v>1</v>
      </c>
      <c r="L566" s="17"/>
      <c r="M566" s="8" t="s">
        <v>1</v>
      </c>
      <c r="N566" s="9" t="s">
        <v>33</v>
      </c>
      <c r="O566" s="10">
        <v>0</v>
      </c>
      <c r="P566" s="10">
        <f>O566*H566</f>
        <v>0</v>
      </c>
      <c r="Q566" s="10">
        <v>0</v>
      </c>
      <c r="R566" s="10">
        <f>Q566*H566</f>
        <v>0</v>
      </c>
      <c r="S566" s="10">
        <v>0</v>
      </c>
      <c r="T566" s="11">
        <f>S566*H566</f>
        <v>0</v>
      </c>
      <c r="U566" s="105"/>
      <c r="V566" s="17"/>
      <c r="W566" s="17"/>
      <c r="X566" s="17"/>
      <c r="Y566" s="17"/>
      <c r="Z566" s="17"/>
      <c r="AA566" s="17"/>
      <c r="AB566" s="17"/>
      <c r="AC566" s="105"/>
      <c r="AD566" s="105"/>
      <c r="AE566" s="105"/>
      <c r="AR566" s="12" t="s">
        <v>135</v>
      </c>
      <c r="AT566" s="12" t="s">
        <v>131</v>
      </c>
      <c r="AU566" s="12" t="s">
        <v>74</v>
      </c>
      <c r="AY566" s="13" t="s">
        <v>130</v>
      </c>
      <c r="BE566" s="14">
        <f>IF(N566="základní",J566,0)</f>
        <v>0</v>
      </c>
      <c r="BF566" s="14">
        <f>IF(N566="snížená",J566,0)</f>
        <v>0</v>
      </c>
      <c r="BG566" s="14">
        <f>IF(N566="zákl. přenesená",J566,0)</f>
        <v>0</v>
      </c>
      <c r="BH566" s="14">
        <f>IF(N566="sníž. přenesená",J566,0)</f>
        <v>0</v>
      </c>
      <c r="BI566" s="14">
        <f>IF(N566="nulová",J566,0)</f>
        <v>0</v>
      </c>
      <c r="BJ566" s="13" t="s">
        <v>74</v>
      </c>
      <c r="BK566" s="14">
        <f>ROUND(I566*H566,2)</f>
        <v>0</v>
      </c>
      <c r="BL566" s="13" t="s">
        <v>135</v>
      </c>
      <c r="BM566" s="12" t="s">
        <v>908</v>
      </c>
    </row>
    <row r="567" spans="1:65" s="5" customFormat="1" ht="19.5" x14ac:dyDescent="0.2">
      <c r="A567" s="105"/>
      <c r="B567" s="140"/>
      <c r="C567" s="17"/>
      <c r="D567" s="141" t="s">
        <v>148</v>
      </c>
      <c r="E567" s="17"/>
      <c r="F567" s="142" t="s">
        <v>909</v>
      </c>
      <c r="G567" s="17"/>
      <c r="H567" s="17"/>
      <c r="I567" s="17"/>
      <c r="J567" s="17"/>
      <c r="K567" s="143"/>
      <c r="L567" s="17"/>
      <c r="M567" s="15"/>
      <c r="N567" s="16"/>
      <c r="O567" s="17"/>
      <c r="P567" s="17"/>
      <c r="Q567" s="17"/>
      <c r="R567" s="17"/>
      <c r="S567" s="17"/>
      <c r="T567" s="18"/>
      <c r="U567" s="105"/>
      <c r="V567" s="17"/>
      <c r="W567" s="17"/>
      <c r="X567" s="17"/>
      <c r="Y567" s="17"/>
      <c r="Z567" s="17"/>
      <c r="AA567" s="17"/>
      <c r="AB567" s="17"/>
      <c r="AC567" s="105"/>
      <c r="AD567" s="105"/>
      <c r="AE567" s="105"/>
      <c r="AT567" s="13" t="s">
        <v>148</v>
      </c>
      <c r="AU567" s="13" t="s">
        <v>74</v>
      </c>
    </row>
    <row r="568" spans="1:65" s="5" customFormat="1" ht="16.5" customHeight="1" x14ac:dyDescent="0.2">
      <c r="A568" s="105"/>
      <c r="B568" s="140"/>
      <c r="C568" s="33" t="s">
        <v>910</v>
      </c>
      <c r="D568" s="33" t="s">
        <v>131</v>
      </c>
      <c r="E568" s="34" t="s">
        <v>776</v>
      </c>
      <c r="F568" s="7" t="s">
        <v>777</v>
      </c>
      <c r="G568" s="35" t="s">
        <v>134</v>
      </c>
      <c r="H568" s="36">
        <v>4.2220000000000004</v>
      </c>
      <c r="I568" s="1"/>
      <c r="J568" s="6">
        <f>ROUND(I568*H568,2)</f>
        <v>0</v>
      </c>
      <c r="K568" s="151" t="s">
        <v>1</v>
      </c>
      <c r="L568" s="17"/>
      <c r="M568" s="8" t="s">
        <v>1</v>
      </c>
      <c r="N568" s="9" t="s">
        <v>33</v>
      </c>
      <c r="O568" s="10">
        <v>0</v>
      </c>
      <c r="P568" s="10">
        <f>O568*H568</f>
        <v>0</v>
      </c>
      <c r="Q568" s="10">
        <v>0</v>
      </c>
      <c r="R568" s="10">
        <f>Q568*H568</f>
        <v>0</v>
      </c>
      <c r="S568" s="10">
        <v>0</v>
      </c>
      <c r="T568" s="11">
        <f>S568*H568</f>
        <v>0</v>
      </c>
      <c r="U568" s="105"/>
      <c r="V568" s="17"/>
      <c r="W568" s="17"/>
      <c r="X568" s="17"/>
      <c r="Y568" s="17"/>
      <c r="Z568" s="17"/>
      <c r="AA568" s="17"/>
      <c r="AB568" s="17"/>
      <c r="AC568" s="105"/>
      <c r="AD568" s="105"/>
      <c r="AE568" s="105"/>
      <c r="AR568" s="12" t="s">
        <v>135</v>
      </c>
      <c r="AT568" s="12" t="s">
        <v>131</v>
      </c>
      <c r="AU568" s="12" t="s">
        <v>74</v>
      </c>
      <c r="AY568" s="13" t="s">
        <v>130</v>
      </c>
      <c r="BE568" s="14">
        <f>IF(N568="základní",J568,0)</f>
        <v>0</v>
      </c>
      <c r="BF568" s="14">
        <f>IF(N568="snížená",J568,0)</f>
        <v>0</v>
      </c>
      <c r="BG568" s="14">
        <f>IF(N568="zákl. přenesená",J568,0)</f>
        <v>0</v>
      </c>
      <c r="BH568" s="14">
        <f>IF(N568="sníž. přenesená",J568,0)</f>
        <v>0</v>
      </c>
      <c r="BI568" s="14">
        <f>IF(N568="nulová",J568,0)</f>
        <v>0</v>
      </c>
      <c r="BJ568" s="13" t="s">
        <v>74</v>
      </c>
      <c r="BK568" s="14">
        <f>ROUND(I568*H568,2)</f>
        <v>0</v>
      </c>
      <c r="BL568" s="13" t="s">
        <v>135</v>
      </c>
      <c r="BM568" s="12" t="s">
        <v>911</v>
      </c>
    </row>
    <row r="569" spans="1:65" s="5" customFormat="1" ht="19.5" x14ac:dyDescent="0.2">
      <c r="A569" s="105"/>
      <c r="B569" s="140"/>
      <c r="C569" s="17"/>
      <c r="D569" s="141" t="s">
        <v>148</v>
      </c>
      <c r="E569" s="17"/>
      <c r="F569" s="142" t="s">
        <v>885</v>
      </c>
      <c r="G569" s="17"/>
      <c r="H569" s="17"/>
      <c r="I569" s="17"/>
      <c r="J569" s="17"/>
      <c r="K569" s="143"/>
      <c r="L569" s="17"/>
      <c r="M569" s="15"/>
      <c r="N569" s="16"/>
      <c r="O569" s="17"/>
      <c r="P569" s="17"/>
      <c r="Q569" s="17"/>
      <c r="R569" s="17"/>
      <c r="S569" s="17"/>
      <c r="T569" s="18"/>
      <c r="U569" s="105"/>
      <c r="V569" s="17"/>
      <c r="W569" s="17"/>
      <c r="X569" s="17"/>
      <c r="Y569" s="17"/>
      <c r="Z569" s="17"/>
      <c r="AA569" s="17"/>
      <c r="AB569" s="17"/>
      <c r="AC569" s="105"/>
      <c r="AD569" s="105"/>
      <c r="AE569" s="105"/>
      <c r="AT569" s="13" t="s">
        <v>148</v>
      </c>
      <c r="AU569" s="13" t="s">
        <v>74</v>
      </c>
    </row>
    <row r="570" spans="1:65" s="5" customFormat="1" ht="16.5" customHeight="1" x14ac:dyDescent="0.2">
      <c r="A570" s="105"/>
      <c r="B570" s="140"/>
      <c r="C570" s="33" t="s">
        <v>554</v>
      </c>
      <c r="D570" s="33" t="s">
        <v>131</v>
      </c>
      <c r="E570" s="34" t="s">
        <v>758</v>
      </c>
      <c r="F570" s="7" t="s">
        <v>759</v>
      </c>
      <c r="G570" s="35" t="s">
        <v>134</v>
      </c>
      <c r="H570" s="36">
        <v>6.4960000000000004</v>
      </c>
      <c r="I570" s="1"/>
      <c r="J570" s="6">
        <f>ROUND(I570*H570,2)</f>
        <v>0</v>
      </c>
      <c r="K570" s="151" t="s">
        <v>1</v>
      </c>
      <c r="L570" s="17"/>
      <c r="M570" s="8" t="s">
        <v>1</v>
      </c>
      <c r="N570" s="9" t="s">
        <v>33</v>
      </c>
      <c r="O570" s="10">
        <v>0</v>
      </c>
      <c r="P570" s="10">
        <f>O570*H570</f>
        <v>0</v>
      </c>
      <c r="Q570" s="10">
        <v>0</v>
      </c>
      <c r="R570" s="10">
        <f>Q570*H570</f>
        <v>0</v>
      </c>
      <c r="S570" s="10">
        <v>0</v>
      </c>
      <c r="T570" s="11">
        <f>S570*H570</f>
        <v>0</v>
      </c>
      <c r="U570" s="105"/>
      <c r="V570" s="17"/>
      <c r="W570" s="17"/>
      <c r="X570" s="17"/>
      <c r="Y570" s="17"/>
      <c r="Z570" s="17"/>
      <c r="AA570" s="17"/>
      <c r="AB570" s="17"/>
      <c r="AC570" s="105"/>
      <c r="AD570" s="105"/>
      <c r="AE570" s="105"/>
      <c r="AR570" s="12" t="s">
        <v>135</v>
      </c>
      <c r="AT570" s="12" t="s">
        <v>131</v>
      </c>
      <c r="AU570" s="12" t="s">
        <v>74</v>
      </c>
      <c r="AY570" s="13" t="s">
        <v>130</v>
      </c>
      <c r="BE570" s="14">
        <f>IF(N570="základní",J570,0)</f>
        <v>0</v>
      </c>
      <c r="BF570" s="14">
        <f>IF(N570="snížená",J570,0)</f>
        <v>0</v>
      </c>
      <c r="BG570" s="14">
        <f>IF(N570="zákl. přenesená",J570,0)</f>
        <v>0</v>
      </c>
      <c r="BH570" s="14">
        <f>IF(N570="sníž. přenesená",J570,0)</f>
        <v>0</v>
      </c>
      <c r="BI570" s="14">
        <f>IF(N570="nulová",J570,0)</f>
        <v>0</v>
      </c>
      <c r="BJ570" s="13" t="s">
        <v>74</v>
      </c>
      <c r="BK570" s="14">
        <f>ROUND(I570*H570,2)</f>
        <v>0</v>
      </c>
      <c r="BL570" s="13" t="s">
        <v>135</v>
      </c>
      <c r="BM570" s="12" t="s">
        <v>912</v>
      </c>
    </row>
    <row r="571" spans="1:65" s="5" customFormat="1" x14ac:dyDescent="0.2">
      <c r="B571" s="177"/>
      <c r="C571" s="16"/>
      <c r="D571" s="178" t="s">
        <v>340</v>
      </c>
      <c r="E571" s="16"/>
      <c r="F571" s="200" t="s">
        <v>1275</v>
      </c>
      <c r="G571" s="16"/>
      <c r="H571" s="16">
        <f>(2.32+2.32)*1.4</f>
        <v>6.4959999999999996</v>
      </c>
      <c r="I571" s="16"/>
      <c r="J571" s="16"/>
      <c r="K571" s="181"/>
      <c r="L571" s="52"/>
      <c r="M571" s="52"/>
      <c r="N571" s="52"/>
      <c r="O571" s="52"/>
      <c r="P571" s="52"/>
      <c r="Q571" s="52"/>
      <c r="R571" s="52"/>
      <c r="S571" s="128"/>
      <c r="V571" s="16"/>
      <c r="W571" s="16"/>
      <c r="X571" s="16"/>
      <c r="Y571" s="16"/>
      <c r="Z571" s="16"/>
      <c r="AA571" s="16"/>
      <c r="AB571" s="16"/>
      <c r="AZ571" s="126" t="s">
        <v>148</v>
      </c>
      <c r="BA571" s="126" t="s">
        <v>74</v>
      </c>
    </row>
    <row r="572" spans="1:65" s="5" customFormat="1" ht="21.75" customHeight="1" x14ac:dyDescent="0.2">
      <c r="A572" s="105"/>
      <c r="B572" s="140"/>
      <c r="C572" s="33" t="s">
        <v>913</v>
      </c>
      <c r="D572" s="33" t="s">
        <v>131</v>
      </c>
      <c r="E572" s="34" t="s">
        <v>748</v>
      </c>
      <c r="F572" s="7" t="s">
        <v>749</v>
      </c>
      <c r="G572" s="35" t="s">
        <v>134</v>
      </c>
      <c r="H572" s="36">
        <v>11.6</v>
      </c>
      <c r="I572" s="1"/>
      <c r="J572" s="6">
        <f>ROUND(I572*H572,2)</f>
        <v>0</v>
      </c>
      <c r="K572" s="151" t="s">
        <v>1</v>
      </c>
      <c r="L572" s="17"/>
      <c r="M572" s="8" t="s">
        <v>1</v>
      </c>
      <c r="N572" s="9" t="s">
        <v>33</v>
      </c>
      <c r="O572" s="10">
        <v>0</v>
      </c>
      <c r="P572" s="10">
        <f>O572*H572</f>
        <v>0</v>
      </c>
      <c r="Q572" s="10">
        <v>0</v>
      </c>
      <c r="R572" s="10">
        <f>Q572*H572</f>
        <v>0</v>
      </c>
      <c r="S572" s="10">
        <v>0</v>
      </c>
      <c r="T572" s="11">
        <f>S572*H572</f>
        <v>0</v>
      </c>
      <c r="U572" s="105"/>
      <c r="V572" s="17"/>
      <c r="W572" s="17"/>
      <c r="X572" s="17"/>
      <c r="Y572" s="17"/>
      <c r="Z572" s="17"/>
      <c r="AA572" s="17"/>
      <c r="AB572" s="17"/>
      <c r="AC572" s="105"/>
      <c r="AD572" s="105"/>
      <c r="AE572" s="105"/>
      <c r="AR572" s="12" t="s">
        <v>135</v>
      </c>
      <c r="AT572" s="12" t="s">
        <v>131</v>
      </c>
      <c r="AU572" s="12" t="s">
        <v>74</v>
      </c>
      <c r="AY572" s="13" t="s">
        <v>130</v>
      </c>
      <c r="BE572" s="14">
        <f>IF(N572="základní",J572,0)</f>
        <v>0</v>
      </c>
      <c r="BF572" s="14">
        <f>IF(N572="snížená",J572,0)</f>
        <v>0</v>
      </c>
      <c r="BG572" s="14">
        <f>IF(N572="zákl. přenesená",J572,0)</f>
        <v>0</v>
      </c>
      <c r="BH572" s="14">
        <f>IF(N572="sníž. přenesená",J572,0)</f>
        <v>0</v>
      </c>
      <c r="BI572" s="14">
        <f>IF(N572="nulová",J572,0)</f>
        <v>0</v>
      </c>
      <c r="BJ572" s="13" t="s">
        <v>74</v>
      </c>
      <c r="BK572" s="14">
        <f>ROUND(I572*H572,2)</f>
        <v>0</v>
      </c>
      <c r="BL572" s="13" t="s">
        <v>135</v>
      </c>
      <c r="BM572" s="12" t="s">
        <v>914</v>
      </c>
    </row>
    <row r="573" spans="1:65" s="152" customFormat="1" x14ac:dyDescent="0.2">
      <c r="B573" s="153"/>
      <c r="C573" s="154"/>
      <c r="D573" s="141" t="s">
        <v>340</v>
      </c>
      <c r="E573" s="155" t="s">
        <v>1</v>
      </c>
      <c r="F573" s="156" t="s">
        <v>915</v>
      </c>
      <c r="G573" s="154"/>
      <c r="H573" s="157"/>
      <c r="I573" s="154"/>
      <c r="J573" s="154"/>
      <c r="K573" s="158"/>
      <c r="L573" s="154"/>
      <c r="M573" s="159"/>
      <c r="N573" s="154"/>
      <c r="O573" s="154"/>
      <c r="P573" s="154"/>
      <c r="Q573" s="154"/>
      <c r="R573" s="154"/>
      <c r="S573" s="154"/>
      <c r="T573" s="160"/>
      <c r="V573" s="154"/>
      <c r="W573" s="154"/>
      <c r="X573" s="154"/>
      <c r="Y573" s="154"/>
      <c r="Z573" s="154"/>
      <c r="AA573" s="154"/>
      <c r="AB573" s="154"/>
      <c r="AT573" s="161" t="s">
        <v>340</v>
      </c>
      <c r="AU573" s="161" t="s">
        <v>74</v>
      </c>
      <c r="AV573" s="152" t="s">
        <v>76</v>
      </c>
      <c r="AW573" s="152" t="s">
        <v>25</v>
      </c>
      <c r="AX573" s="152" t="s">
        <v>68</v>
      </c>
      <c r="AY573" s="161" t="s">
        <v>130</v>
      </c>
    </row>
    <row r="574" spans="1:65" s="162" customFormat="1" x14ac:dyDescent="0.2">
      <c r="B574" s="163"/>
      <c r="C574" s="164"/>
      <c r="D574" s="141" t="s">
        <v>340</v>
      </c>
      <c r="E574" s="165" t="s">
        <v>1</v>
      </c>
      <c r="F574" s="166" t="s">
        <v>342</v>
      </c>
      <c r="G574" s="164"/>
      <c r="H574" s="167">
        <v>11.6</v>
      </c>
      <c r="I574" s="164"/>
      <c r="J574" s="164"/>
      <c r="K574" s="168"/>
      <c r="L574" s="164"/>
      <c r="M574" s="169"/>
      <c r="N574" s="164"/>
      <c r="O574" s="164"/>
      <c r="P574" s="164"/>
      <c r="Q574" s="164"/>
      <c r="R574" s="164"/>
      <c r="S574" s="164"/>
      <c r="T574" s="170"/>
      <c r="V574" s="164"/>
      <c r="W574" s="164"/>
      <c r="X574" s="164"/>
      <c r="Y574" s="164"/>
      <c r="Z574" s="164"/>
      <c r="AA574" s="164"/>
      <c r="AB574" s="164"/>
      <c r="AT574" s="171" t="s">
        <v>340</v>
      </c>
      <c r="AU574" s="171" t="s">
        <v>74</v>
      </c>
      <c r="AV574" s="162" t="s">
        <v>135</v>
      </c>
      <c r="AW574" s="162" t="s">
        <v>25</v>
      </c>
      <c r="AX574" s="162" t="s">
        <v>74</v>
      </c>
      <c r="AY574" s="171" t="s">
        <v>130</v>
      </c>
    </row>
    <row r="575" spans="1:65" s="20" customFormat="1" ht="25.9" customHeight="1" x14ac:dyDescent="0.2">
      <c r="B575" s="172"/>
      <c r="C575" s="23"/>
      <c r="D575" s="173" t="s">
        <v>67</v>
      </c>
      <c r="E575" s="174" t="s">
        <v>558</v>
      </c>
      <c r="F575" s="174" t="s">
        <v>916</v>
      </c>
      <c r="G575" s="23"/>
      <c r="H575" s="23"/>
      <c r="I575" s="23"/>
      <c r="J575" s="175">
        <f>BK575</f>
        <v>0</v>
      </c>
      <c r="K575" s="176"/>
      <c r="L575" s="23"/>
      <c r="M575" s="22"/>
      <c r="N575" s="23"/>
      <c r="O575" s="23"/>
      <c r="P575" s="24">
        <f>SUM(P578:P598)</f>
        <v>0</v>
      </c>
      <c r="Q575" s="23"/>
      <c r="R575" s="24">
        <f>SUM(R578:R598)</f>
        <v>0</v>
      </c>
      <c r="S575" s="23"/>
      <c r="T575" s="25">
        <f>SUM(T578:T598)</f>
        <v>0</v>
      </c>
      <c r="V575" s="23"/>
      <c r="W575" s="23"/>
      <c r="X575" s="23"/>
      <c r="Y575" s="23"/>
      <c r="Z575" s="23"/>
      <c r="AA575" s="23"/>
      <c r="AB575" s="23"/>
      <c r="AR575" s="26" t="s">
        <v>74</v>
      </c>
      <c r="AT575" s="27" t="s">
        <v>67</v>
      </c>
      <c r="AU575" s="27" t="s">
        <v>68</v>
      </c>
      <c r="AY575" s="26" t="s">
        <v>130</v>
      </c>
      <c r="BK575" s="28">
        <f>SUM(BK578:BK598)</f>
        <v>0</v>
      </c>
    </row>
    <row r="576" spans="1:65" s="5" customFormat="1" x14ac:dyDescent="0.2">
      <c r="B576" s="177"/>
      <c r="C576" s="16"/>
      <c r="D576" s="178" t="s">
        <v>340</v>
      </c>
      <c r="E576" s="16"/>
      <c r="F576" s="200" t="s">
        <v>1276</v>
      </c>
      <c r="G576" s="16"/>
      <c r="H576" s="180">
        <f>((0.32+0.51+3.5+0.64+0.18)*3.5)-(2.53*2.5)-(3.19*2.43)+((2.5+2.53+2.5)*0.37)</f>
        <v>6.7343999999999991</v>
      </c>
      <c r="I576" s="16"/>
      <c r="J576" s="16"/>
      <c r="K576" s="181"/>
      <c r="L576" s="52"/>
      <c r="M576" s="52"/>
      <c r="N576" s="52"/>
      <c r="O576" s="52"/>
      <c r="P576" s="52"/>
      <c r="Q576" s="52"/>
      <c r="R576" s="52"/>
      <c r="S576" s="128"/>
      <c r="V576" s="16"/>
      <c r="W576" s="16"/>
      <c r="X576" s="16"/>
      <c r="Y576" s="16"/>
      <c r="Z576" s="16"/>
      <c r="AA576" s="16"/>
      <c r="AB576" s="16"/>
      <c r="AZ576" s="126" t="s">
        <v>148</v>
      </c>
      <c r="BA576" s="126" t="s">
        <v>74</v>
      </c>
    </row>
    <row r="577" spans="1:65" s="5" customFormat="1" x14ac:dyDescent="0.2">
      <c r="B577" s="177"/>
      <c r="C577" s="16"/>
      <c r="D577" s="178" t="s">
        <v>340</v>
      </c>
      <c r="E577" s="16"/>
      <c r="F577" s="200" t="s">
        <v>1277</v>
      </c>
      <c r="G577" s="16"/>
      <c r="H577" s="180">
        <f>(3.57*1.82)+(3.23*0.45)</f>
        <v>7.9508999999999999</v>
      </c>
      <c r="I577" s="16"/>
      <c r="J577" s="16"/>
      <c r="K577" s="181"/>
      <c r="L577" s="52"/>
      <c r="M577" s="52"/>
      <c r="N577" s="52"/>
      <c r="O577" s="52"/>
      <c r="P577" s="52"/>
      <c r="Q577" s="52"/>
      <c r="R577" s="52"/>
      <c r="S577" s="128"/>
      <c r="V577" s="16"/>
      <c r="W577" s="16"/>
      <c r="X577" s="16"/>
      <c r="Y577" s="16"/>
      <c r="Z577" s="16"/>
      <c r="AA577" s="16"/>
      <c r="AB577" s="16"/>
      <c r="AZ577" s="126" t="s">
        <v>148</v>
      </c>
      <c r="BA577" s="126" t="s">
        <v>74</v>
      </c>
    </row>
    <row r="578" spans="1:65" s="5" customFormat="1" ht="16.5" customHeight="1" x14ac:dyDescent="0.2">
      <c r="A578" s="105"/>
      <c r="B578" s="140"/>
      <c r="C578" s="33" t="s">
        <v>557</v>
      </c>
      <c r="D578" s="33" t="s">
        <v>131</v>
      </c>
      <c r="E578" s="34" t="s">
        <v>713</v>
      </c>
      <c r="F578" s="7" t="s">
        <v>714</v>
      </c>
      <c r="G578" s="35" t="s">
        <v>134</v>
      </c>
      <c r="H578" s="36">
        <v>14.685</v>
      </c>
      <c r="I578" s="1"/>
      <c r="J578" s="6">
        <f>ROUND(I578*H578,2)</f>
        <v>0</v>
      </c>
      <c r="K578" s="151" t="s">
        <v>1</v>
      </c>
      <c r="L578" s="17"/>
      <c r="M578" s="8" t="s">
        <v>1</v>
      </c>
      <c r="N578" s="9" t="s">
        <v>33</v>
      </c>
      <c r="O578" s="10">
        <v>0</v>
      </c>
      <c r="P578" s="10">
        <f>O578*H578</f>
        <v>0</v>
      </c>
      <c r="Q578" s="10">
        <v>0</v>
      </c>
      <c r="R578" s="10">
        <f>Q578*H578</f>
        <v>0</v>
      </c>
      <c r="S578" s="10">
        <v>0</v>
      </c>
      <c r="T578" s="11">
        <f>S578*H578</f>
        <v>0</v>
      </c>
      <c r="U578" s="105"/>
      <c r="V578" s="17"/>
      <c r="W578" s="17"/>
      <c r="X578" s="17"/>
      <c r="Y578" s="17"/>
      <c r="Z578" s="17"/>
      <c r="AA578" s="17"/>
      <c r="AB578" s="17"/>
      <c r="AC578" s="105"/>
      <c r="AD578" s="105"/>
      <c r="AE578" s="105"/>
      <c r="AR578" s="12" t="s">
        <v>135</v>
      </c>
      <c r="AT578" s="12" t="s">
        <v>131</v>
      </c>
      <c r="AU578" s="12" t="s">
        <v>74</v>
      </c>
      <c r="AY578" s="13" t="s">
        <v>130</v>
      </c>
      <c r="BE578" s="14">
        <f>IF(N578="základní",J578,0)</f>
        <v>0</v>
      </c>
      <c r="BF578" s="14">
        <f>IF(N578="snížená",J578,0)</f>
        <v>0</v>
      </c>
      <c r="BG578" s="14">
        <f>IF(N578="zákl. přenesená",J578,0)</f>
        <v>0</v>
      </c>
      <c r="BH578" s="14">
        <f>IF(N578="sníž. přenesená",J578,0)</f>
        <v>0</v>
      </c>
      <c r="BI578" s="14">
        <f>IF(N578="nulová",J578,0)</f>
        <v>0</v>
      </c>
      <c r="BJ578" s="13" t="s">
        <v>74</v>
      </c>
      <c r="BK578" s="14">
        <f>ROUND(I578*H578,2)</f>
        <v>0</v>
      </c>
      <c r="BL578" s="13" t="s">
        <v>135</v>
      </c>
      <c r="BM578" s="12" t="s">
        <v>917</v>
      </c>
    </row>
    <row r="579" spans="1:65" s="152" customFormat="1" x14ac:dyDescent="0.2">
      <c r="B579" s="153"/>
      <c r="C579" s="154"/>
      <c r="D579" s="141" t="s">
        <v>340</v>
      </c>
      <c r="E579" s="155" t="s">
        <v>1</v>
      </c>
      <c r="F579" s="156" t="s">
        <v>918</v>
      </c>
      <c r="G579" s="154"/>
      <c r="H579" s="157"/>
      <c r="I579" s="154"/>
      <c r="J579" s="154"/>
      <c r="K579" s="158"/>
      <c r="L579" s="154"/>
      <c r="M579" s="159"/>
      <c r="N579" s="154"/>
      <c r="O579" s="154"/>
      <c r="P579" s="154"/>
      <c r="Q579" s="154"/>
      <c r="R579" s="154"/>
      <c r="S579" s="154"/>
      <c r="T579" s="160"/>
      <c r="V579" s="154"/>
      <c r="W579" s="154"/>
      <c r="X579" s="154"/>
      <c r="Y579" s="154"/>
      <c r="Z579" s="154"/>
      <c r="AA579" s="154"/>
      <c r="AB579" s="154"/>
      <c r="AT579" s="161" t="s">
        <v>340</v>
      </c>
      <c r="AU579" s="161" t="s">
        <v>74</v>
      </c>
      <c r="AV579" s="152" t="s">
        <v>76</v>
      </c>
      <c r="AW579" s="152" t="s">
        <v>25</v>
      </c>
      <c r="AX579" s="152" t="s">
        <v>68</v>
      </c>
      <c r="AY579" s="161" t="s">
        <v>130</v>
      </c>
    </row>
    <row r="580" spans="1:65" s="162" customFormat="1" x14ac:dyDescent="0.2">
      <c r="B580" s="163"/>
      <c r="C580" s="164"/>
      <c r="D580" s="141" t="s">
        <v>340</v>
      </c>
      <c r="E580" s="165" t="s">
        <v>1</v>
      </c>
      <c r="F580" s="166" t="s">
        <v>342</v>
      </c>
      <c r="G580" s="164"/>
      <c r="H580" s="167">
        <v>14.685</v>
      </c>
      <c r="I580" s="164"/>
      <c r="J580" s="164"/>
      <c r="K580" s="168"/>
      <c r="L580" s="164"/>
      <c r="M580" s="169"/>
      <c r="N580" s="164"/>
      <c r="O580" s="164"/>
      <c r="P580" s="164"/>
      <c r="Q580" s="164"/>
      <c r="R580" s="164"/>
      <c r="S580" s="164"/>
      <c r="T580" s="170"/>
      <c r="V580" s="164"/>
      <c r="W580" s="164"/>
      <c r="X580" s="164"/>
      <c r="Y580" s="164"/>
      <c r="Z580" s="164"/>
      <c r="AA580" s="164"/>
      <c r="AB580" s="164"/>
      <c r="AT580" s="171" t="s">
        <v>340</v>
      </c>
      <c r="AU580" s="171" t="s">
        <v>74</v>
      </c>
      <c r="AV580" s="162" t="s">
        <v>135</v>
      </c>
      <c r="AW580" s="162" t="s">
        <v>25</v>
      </c>
      <c r="AX580" s="162" t="s">
        <v>74</v>
      </c>
      <c r="AY580" s="171" t="s">
        <v>130</v>
      </c>
    </row>
    <row r="581" spans="1:65" s="5" customFormat="1" ht="16.5" customHeight="1" x14ac:dyDescent="0.2">
      <c r="A581" s="105"/>
      <c r="B581" s="140"/>
      <c r="C581" s="33" t="s">
        <v>919</v>
      </c>
      <c r="D581" s="33" t="s">
        <v>131</v>
      </c>
      <c r="E581" s="34" t="s">
        <v>716</v>
      </c>
      <c r="F581" s="7" t="s">
        <v>717</v>
      </c>
      <c r="G581" s="35" t="s">
        <v>134</v>
      </c>
      <c r="H581" s="36">
        <v>2.9369999999999998</v>
      </c>
      <c r="I581" s="1"/>
      <c r="J581" s="6">
        <f>ROUND(I581*H581,2)</f>
        <v>0</v>
      </c>
      <c r="K581" s="151" t="s">
        <v>1</v>
      </c>
      <c r="L581" s="17"/>
      <c r="M581" s="8" t="s">
        <v>1</v>
      </c>
      <c r="N581" s="9" t="s">
        <v>33</v>
      </c>
      <c r="O581" s="10">
        <v>0</v>
      </c>
      <c r="P581" s="10">
        <f>O581*H581</f>
        <v>0</v>
      </c>
      <c r="Q581" s="10">
        <v>0</v>
      </c>
      <c r="R581" s="10">
        <f>Q581*H581</f>
        <v>0</v>
      </c>
      <c r="S581" s="10">
        <v>0</v>
      </c>
      <c r="T581" s="11">
        <f>S581*H581</f>
        <v>0</v>
      </c>
      <c r="U581" s="105"/>
      <c r="V581" s="17"/>
      <c r="W581" s="17"/>
      <c r="X581" s="17"/>
      <c r="Y581" s="17"/>
      <c r="Z581" s="17"/>
      <c r="AA581" s="17"/>
      <c r="AB581" s="17"/>
      <c r="AC581" s="105"/>
      <c r="AD581" s="105"/>
      <c r="AE581" s="105"/>
      <c r="AR581" s="12" t="s">
        <v>135</v>
      </c>
      <c r="AT581" s="12" t="s">
        <v>131</v>
      </c>
      <c r="AU581" s="12" t="s">
        <v>74</v>
      </c>
      <c r="AY581" s="13" t="s">
        <v>130</v>
      </c>
      <c r="BE581" s="14">
        <f>IF(N581="základní",J581,0)</f>
        <v>0</v>
      </c>
      <c r="BF581" s="14">
        <f>IF(N581="snížená",J581,0)</f>
        <v>0</v>
      </c>
      <c r="BG581" s="14">
        <f>IF(N581="zákl. přenesená",J581,0)</f>
        <v>0</v>
      </c>
      <c r="BH581" s="14">
        <f>IF(N581="sníž. přenesená",J581,0)</f>
        <v>0</v>
      </c>
      <c r="BI581" s="14">
        <f>IF(N581="nulová",J581,0)</f>
        <v>0</v>
      </c>
      <c r="BJ581" s="13" t="s">
        <v>74</v>
      </c>
      <c r="BK581" s="14">
        <f>ROUND(I581*H581,2)</f>
        <v>0</v>
      </c>
      <c r="BL581" s="13" t="s">
        <v>135</v>
      </c>
      <c r="BM581" s="12" t="s">
        <v>920</v>
      </c>
    </row>
    <row r="582" spans="1:65" s="5" customFormat="1" ht="19.5" x14ac:dyDescent="0.2">
      <c r="A582" s="105"/>
      <c r="B582" s="140"/>
      <c r="C582" s="17"/>
      <c r="D582" s="141" t="s">
        <v>148</v>
      </c>
      <c r="E582" s="17"/>
      <c r="F582" s="142" t="s">
        <v>718</v>
      </c>
      <c r="G582" s="17"/>
      <c r="H582" s="17"/>
      <c r="I582" s="17"/>
      <c r="J582" s="17"/>
      <c r="K582" s="143"/>
      <c r="L582" s="17"/>
      <c r="M582" s="15"/>
      <c r="N582" s="16"/>
      <c r="O582" s="17"/>
      <c r="P582" s="17"/>
      <c r="Q582" s="17"/>
      <c r="R582" s="17"/>
      <c r="S582" s="17"/>
      <c r="T582" s="18"/>
      <c r="U582" s="105"/>
      <c r="V582" s="17"/>
      <c r="W582" s="17"/>
      <c r="X582" s="17"/>
      <c r="Y582" s="17"/>
      <c r="Z582" s="17"/>
      <c r="AA582" s="17"/>
      <c r="AB582" s="17"/>
      <c r="AC582" s="105"/>
      <c r="AD582" s="105"/>
      <c r="AE582" s="105"/>
      <c r="AT582" s="13" t="s">
        <v>148</v>
      </c>
      <c r="AU582" s="13" t="s">
        <v>74</v>
      </c>
    </row>
    <row r="583" spans="1:65" s="5" customFormat="1" ht="16.5" customHeight="1" x14ac:dyDescent="0.2">
      <c r="A583" s="105"/>
      <c r="B583" s="140"/>
      <c r="C583" s="33" t="s">
        <v>561</v>
      </c>
      <c r="D583" s="33" t="s">
        <v>131</v>
      </c>
      <c r="E583" s="34" t="s">
        <v>232</v>
      </c>
      <c r="F583" s="7" t="s">
        <v>722</v>
      </c>
      <c r="G583" s="35" t="s">
        <v>723</v>
      </c>
      <c r="H583" s="36">
        <v>2.3E-2</v>
      </c>
      <c r="I583" s="1"/>
      <c r="J583" s="6">
        <f>ROUND(I583*H583,2)</f>
        <v>0</v>
      </c>
      <c r="K583" s="151" t="s">
        <v>1</v>
      </c>
      <c r="L583" s="17"/>
      <c r="M583" s="8" t="s">
        <v>1</v>
      </c>
      <c r="N583" s="9" t="s">
        <v>33</v>
      </c>
      <c r="O583" s="10">
        <v>0</v>
      </c>
      <c r="P583" s="10">
        <f>O583*H583</f>
        <v>0</v>
      </c>
      <c r="Q583" s="10">
        <v>0</v>
      </c>
      <c r="R583" s="10">
        <f>Q583*H583</f>
        <v>0</v>
      </c>
      <c r="S583" s="10">
        <v>0</v>
      </c>
      <c r="T583" s="11">
        <f>S583*H583</f>
        <v>0</v>
      </c>
      <c r="U583" s="105"/>
      <c r="V583" s="17"/>
      <c r="W583" s="17"/>
      <c r="X583" s="17"/>
      <c r="Y583" s="17"/>
      <c r="Z583" s="17"/>
      <c r="AA583" s="17"/>
      <c r="AB583" s="17"/>
      <c r="AC583" s="105"/>
      <c r="AD583" s="105"/>
      <c r="AE583" s="105"/>
      <c r="AR583" s="12" t="s">
        <v>135</v>
      </c>
      <c r="AT583" s="12" t="s">
        <v>131</v>
      </c>
      <c r="AU583" s="12" t="s">
        <v>74</v>
      </c>
      <c r="AY583" s="13" t="s">
        <v>130</v>
      </c>
      <c r="BE583" s="14">
        <f>IF(N583="základní",J583,0)</f>
        <v>0</v>
      </c>
      <c r="BF583" s="14">
        <f>IF(N583="snížená",J583,0)</f>
        <v>0</v>
      </c>
      <c r="BG583" s="14">
        <f>IF(N583="zákl. přenesená",J583,0)</f>
        <v>0</v>
      </c>
      <c r="BH583" s="14">
        <f>IF(N583="sníž. přenesená",J583,0)</f>
        <v>0</v>
      </c>
      <c r="BI583" s="14">
        <f>IF(N583="nulová",J583,0)</f>
        <v>0</v>
      </c>
      <c r="BJ583" s="13" t="s">
        <v>74</v>
      </c>
      <c r="BK583" s="14">
        <f>ROUND(I583*H583,2)</f>
        <v>0</v>
      </c>
      <c r="BL583" s="13" t="s">
        <v>135</v>
      </c>
      <c r="BM583" s="12" t="s">
        <v>921</v>
      </c>
    </row>
    <row r="584" spans="1:65" s="5" customFormat="1" ht="16.5" customHeight="1" x14ac:dyDescent="0.2">
      <c r="A584" s="105"/>
      <c r="B584" s="140"/>
      <c r="C584" s="33" t="s">
        <v>922</v>
      </c>
      <c r="D584" s="33" t="s">
        <v>131</v>
      </c>
      <c r="E584" s="34" t="s">
        <v>246</v>
      </c>
      <c r="F584" s="7" t="s">
        <v>724</v>
      </c>
      <c r="G584" s="35" t="s">
        <v>723</v>
      </c>
      <c r="H584" s="36">
        <v>2.3E-2</v>
      </c>
      <c r="I584" s="1"/>
      <c r="J584" s="6">
        <f>ROUND(I584*H584,2)</f>
        <v>0</v>
      </c>
      <c r="K584" s="151" t="s">
        <v>1</v>
      </c>
      <c r="L584" s="17"/>
      <c r="M584" s="8" t="s">
        <v>1</v>
      </c>
      <c r="N584" s="9" t="s">
        <v>33</v>
      </c>
      <c r="O584" s="10">
        <v>0</v>
      </c>
      <c r="P584" s="10">
        <f>O584*H584</f>
        <v>0</v>
      </c>
      <c r="Q584" s="10">
        <v>0</v>
      </c>
      <c r="R584" s="10">
        <f>Q584*H584</f>
        <v>0</v>
      </c>
      <c r="S584" s="10">
        <v>0</v>
      </c>
      <c r="T584" s="11">
        <f>S584*H584</f>
        <v>0</v>
      </c>
      <c r="U584" s="105"/>
      <c r="V584" s="17"/>
      <c r="W584" s="17"/>
      <c r="X584" s="17"/>
      <c r="Y584" s="17"/>
      <c r="Z584" s="17"/>
      <c r="AA584" s="17"/>
      <c r="AB584" s="17"/>
      <c r="AC584" s="105"/>
      <c r="AD584" s="105"/>
      <c r="AE584" s="105"/>
      <c r="AR584" s="12" t="s">
        <v>135</v>
      </c>
      <c r="AT584" s="12" t="s">
        <v>131</v>
      </c>
      <c r="AU584" s="12" t="s">
        <v>74</v>
      </c>
      <c r="AY584" s="13" t="s">
        <v>130</v>
      </c>
      <c r="BE584" s="14">
        <f>IF(N584="základní",J584,0)</f>
        <v>0</v>
      </c>
      <c r="BF584" s="14">
        <f>IF(N584="snížená",J584,0)</f>
        <v>0</v>
      </c>
      <c r="BG584" s="14">
        <f>IF(N584="zákl. přenesená",J584,0)</f>
        <v>0</v>
      </c>
      <c r="BH584" s="14">
        <f>IF(N584="sníž. přenesená",J584,0)</f>
        <v>0</v>
      </c>
      <c r="BI584" s="14">
        <f>IF(N584="nulová",J584,0)</f>
        <v>0</v>
      </c>
      <c r="BJ584" s="13" t="s">
        <v>74</v>
      </c>
      <c r="BK584" s="14">
        <f>ROUND(I584*H584,2)</f>
        <v>0</v>
      </c>
      <c r="BL584" s="13" t="s">
        <v>135</v>
      </c>
      <c r="BM584" s="12" t="s">
        <v>923</v>
      </c>
    </row>
    <row r="585" spans="1:65" s="5" customFormat="1" ht="16.5" customHeight="1" x14ac:dyDescent="0.2">
      <c r="A585" s="105"/>
      <c r="B585" s="140"/>
      <c r="C585" s="33" t="s">
        <v>565</v>
      </c>
      <c r="D585" s="33" t="s">
        <v>131</v>
      </c>
      <c r="E585" s="34" t="s">
        <v>897</v>
      </c>
      <c r="F585" s="7" t="s">
        <v>898</v>
      </c>
      <c r="G585" s="35" t="s">
        <v>134</v>
      </c>
      <c r="H585" s="36">
        <v>14.685</v>
      </c>
      <c r="I585" s="1"/>
      <c r="J585" s="6">
        <f>ROUND(I585*H585,2)</f>
        <v>0</v>
      </c>
      <c r="K585" s="151" t="s">
        <v>1</v>
      </c>
      <c r="L585" s="17"/>
      <c r="M585" s="8" t="s">
        <v>1</v>
      </c>
      <c r="N585" s="9" t="s">
        <v>33</v>
      </c>
      <c r="O585" s="10">
        <v>0</v>
      </c>
      <c r="P585" s="10">
        <f>O585*H585</f>
        <v>0</v>
      </c>
      <c r="Q585" s="10">
        <v>0</v>
      </c>
      <c r="R585" s="10">
        <f>Q585*H585</f>
        <v>0</v>
      </c>
      <c r="S585" s="10">
        <v>0</v>
      </c>
      <c r="T585" s="11">
        <f>S585*H585</f>
        <v>0</v>
      </c>
      <c r="U585" s="105"/>
      <c r="V585" s="17"/>
      <c r="W585" s="17"/>
      <c r="X585" s="17"/>
      <c r="Y585" s="17"/>
      <c r="Z585" s="17"/>
      <c r="AA585" s="17"/>
      <c r="AB585" s="17"/>
      <c r="AC585" s="105"/>
      <c r="AD585" s="105"/>
      <c r="AE585" s="105"/>
      <c r="AR585" s="12" t="s">
        <v>135</v>
      </c>
      <c r="AT585" s="12" t="s">
        <v>131</v>
      </c>
      <c r="AU585" s="12" t="s">
        <v>74</v>
      </c>
      <c r="AY585" s="13" t="s">
        <v>130</v>
      </c>
      <c r="BE585" s="14">
        <f>IF(N585="základní",J585,0)</f>
        <v>0</v>
      </c>
      <c r="BF585" s="14">
        <f>IF(N585="snížená",J585,0)</f>
        <v>0</v>
      </c>
      <c r="BG585" s="14">
        <f>IF(N585="zákl. přenesená",J585,0)</f>
        <v>0</v>
      </c>
      <c r="BH585" s="14">
        <f>IF(N585="sníž. přenesená",J585,0)</f>
        <v>0</v>
      </c>
      <c r="BI585" s="14">
        <f>IF(N585="nulová",J585,0)</f>
        <v>0</v>
      </c>
      <c r="BJ585" s="13" t="s">
        <v>74</v>
      </c>
      <c r="BK585" s="14">
        <f>ROUND(I585*H585,2)</f>
        <v>0</v>
      </c>
      <c r="BL585" s="13" t="s">
        <v>135</v>
      </c>
      <c r="BM585" s="12" t="s">
        <v>924</v>
      </c>
    </row>
    <row r="586" spans="1:65" s="5" customFormat="1" ht="16.5" customHeight="1" x14ac:dyDescent="0.2">
      <c r="A586" s="105"/>
      <c r="B586" s="140"/>
      <c r="C586" s="33" t="s">
        <v>925</v>
      </c>
      <c r="D586" s="33" t="s">
        <v>131</v>
      </c>
      <c r="E586" s="34" t="s">
        <v>735</v>
      </c>
      <c r="F586" s="7" t="s">
        <v>736</v>
      </c>
      <c r="G586" s="35" t="s">
        <v>134</v>
      </c>
      <c r="H586" s="36">
        <v>2</v>
      </c>
      <c r="I586" s="1"/>
      <c r="J586" s="6">
        <f>ROUND(I586*H586,2)</f>
        <v>0</v>
      </c>
      <c r="K586" s="151" t="s">
        <v>1</v>
      </c>
      <c r="L586" s="17"/>
      <c r="M586" s="8" t="s">
        <v>1</v>
      </c>
      <c r="N586" s="9" t="s">
        <v>33</v>
      </c>
      <c r="O586" s="10">
        <v>0</v>
      </c>
      <c r="P586" s="10">
        <f>O586*H586</f>
        <v>0</v>
      </c>
      <c r="Q586" s="10">
        <v>0</v>
      </c>
      <c r="R586" s="10">
        <f>Q586*H586</f>
        <v>0</v>
      </c>
      <c r="S586" s="10">
        <v>0</v>
      </c>
      <c r="T586" s="11">
        <f>S586*H586</f>
        <v>0</v>
      </c>
      <c r="U586" s="105"/>
      <c r="V586" s="17"/>
      <c r="W586" s="17"/>
      <c r="X586" s="17"/>
      <c r="Y586" s="17"/>
      <c r="Z586" s="17"/>
      <c r="AA586" s="17"/>
      <c r="AB586" s="17"/>
      <c r="AC586" s="105"/>
      <c r="AD586" s="105"/>
      <c r="AE586" s="105"/>
      <c r="AR586" s="12" t="s">
        <v>135</v>
      </c>
      <c r="AT586" s="12" t="s">
        <v>131</v>
      </c>
      <c r="AU586" s="12" t="s">
        <v>74</v>
      </c>
      <c r="AY586" s="13" t="s">
        <v>130</v>
      </c>
      <c r="BE586" s="14">
        <f>IF(N586="základní",J586,0)</f>
        <v>0</v>
      </c>
      <c r="BF586" s="14">
        <f>IF(N586="snížená",J586,0)</f>
        <v>0</v>
      </c>
      <c r="BG586" s="14">
        <f>IF(N586="zákl. přenesená",J586,0)</f>
        <v>0</v>
      </c>
      <c r="BH586" s="14">
        <f>IF(N586="sníž. přenesená",J586,0)</f>
        <v>0</v>
      </c>
      <c r="BI586" s="14">
        <f>IF(N586="nulová",J586,0)</f>
        <v>0</v>
      </c>
      <c r="BJ586" s="13" t="s">
        <v>74</v>
      </c>
      <c r="BK586" s="14">
        <f>ROUND(I586*H586,2)</f>
        <v>0</v>
      </c>
      <c r="BL586" s="13" t="s">
        <v>135</v>
      </c>
      <c r="BM586" s="12" t="s">
        <v>926</v>
      </c>
    </row>
    <row r="587" spans="1:65" s="5" customFormat="1" ht="19.5" x14ac:dyDescent="0.2">
      <c r="A587" s="105"/>
      <c r="B587" s="140"/>
      <c r="C587" s="17"/>
      <c r="D587" s="141" t="s">
        <v>148</v>
      </c>
      <c r="E587" s="17"/>
      <c r="F587" s="142" t="s">
        <v>737</v>
      </c>
      <c r="G587" s="17"/>
      <c r="H587" s="17"/>
      <c r="I587" s="17"/>
      <c r="J587" s="17"/>
      <c r="K587" s="143"/>
      <c r="L587" s="17"/>
      <c r="M587" s="15"/>
      <c r="N587" s="16"/>
      <c r="O587" s="17"/>
      <c r="P587" s="17"/>
      <c r="Q587" s="17"/>
      <c r="R587" s="17"/>
      <c r="S587" s="17"/>
      <c r="T587" s="18"/>
      <c r="U587" s="105"/>
      <c r="V587" s="17"/>
      <c r="W587" s="17"/>
      <c r="X587" s="17"/>
      <c r="Y587" s="17"/>
      <c r="Z587" s="17"/>
      <c r="AA587" s="17"/>
      <c r="AB587" s="17"/>
      <c r="AC587" s="105"/>
      <c r="AD587" s="105"/>
      <c r="AE587" s="105"/>
      <c r="AT587" s="13" t="s">
        <v>148</v>
      </c>
      <c r="AU587" s="13" t="s">
        <v>74</v>
      </c>
    </row>
    <row r="588" spans="1:65" s="5" customFormat="1" ht="16.5" customHeight="1" x14ac:dyDescent="0.2">
      <c r="A588" s="105"/>
      <c r="B588" s="140"/>
      <c r="C588" s="33" t="s">
        <v>567</v>
      </c>
      <c r="D588" s="33" t="s">
        <v>131</v>
      </c>
      <c r="E588" s="34" t="s">
        <v>741</v>
      </c>
      <c r="F588" s="7" t="s">
        <v>742</v>
      </c>
      <c r="G588" s="35" t="s">
        <v>134</v>
      </c>
      <c r="H588" s="36">
        <v>2</v>
      </c>
      <c r="I588" s="1"/>
      <c r="J588" s="6">
        <f>ROUND(I588*H588,2)</f>
        <v>0</v>
      </c>
      <c r="K588" s="151" t="s">
        <v>1</v>
      </c>
      <c r="L588" s="17"/>
      <c r="M588" s="8" t="s">
        <v>1</v>
      </c>
      <c r="N588" s="9" t="s">
        <v>33</v>
      </c>
      <c r="O588" s="10">
        <v>0</v>
      </c>
      <c r="P588" s="10">
        <f>O588*H588</f>
        <v>0</v>
      </c>
      <c r="Q588" s="10">
        <v>0</v>
      </c>
      <c r="R588" s="10">
        <f>Q588*H588</f>
        <v>0</v>
      </c>
      <c r="S588" s="10">
        <v>0</v>
      </c>
      <c r="T588" s="11">
        <f>S588*H588</f>
        <v>0</v>
      </c>
      <c r="U588" s="105"/>
      <c r="V588" s="17"/>
      <c r="W588" s="17"/>
      <c r="X588" s="17"/>
      <c r="Y588" s="17"/>
      <c r="Z588" s="17"/>
      <c r="AA588" s="17"/>
      <c r="AB588" s="17"/>
      <c r="AC588" s="105"/>
      <c r="AD588" s="105"/>
      <c r="AE588" s="105"/>
      <c r="AR588" s="12" t="s">
        <v>135</v>
      </c>
      <c r="AT588" s="12" t="s">
        <v>131</v>
      </c>
      <c r="AU588" s="12" t="s">
        <v>74</v>
      </c>
      <c r="AY588" s="13" t="s">
        <v>130</v>
      </c>
      <c r="BE588" s="14">
        <f>IF(N588="základní",J588,0)</f>
        <v>0</v>
      </c>
      <c r="BF588" s="14">
        <f>IF(N588="snížená",J588,0)</f>
        <v>0</v>
      </c>
      <c r="BG588" s="14">
        <f>IF(N588="zákl. přenesená",J588,0)</f>
        <v>0</v>
      </c>
      <c r="BH588" s="14">
        <f>IF(N588="sníž. přenesená",J588,0)</f>
        <v>0</v>
      </c>
      <c r="BI588" s="14">
        <f>IF(N588="nulová",J588,0)</f>
        <v>0</v>
      </c>
      <c r="BJ588" s="13" t="s">
        <v>74</v>
      </c>
      <c r="BK588" s="14">
        <f>ROUND(I588*H588,2)</f>
        <v>0</v>
      </c>
      <c r="BL588" s="13" t="s">
        <v>135</v>
      </c>
      <c r="BM588" s="12" t="s">
        <v>927</v>
      </c>
    </row>
    <row r="589" spans="1:65" s="5" customFormat="1" ht="39" x14ac:dyDescent="0.2">
      <c r="A589" s="105"/>
      <c r="B589" s="140"/>
      <c r="C589" s="17"/>
      <c r="D589" s="141" t="s">
        <v>148</v>
      </c>
      <c r="E589" s="17"/>
      <c r="F589" s="142" t="s">
        <v>743</v>
      </c>
      <c r="G589" s="17"/>
      <c r="H589" s="17"/>
      <c r="I589" s="17"/>
      <c r="J589" s="17"/>
      <c r="K589" s="143"/>
      <c r="L589" s="17"/>
      <c r="M589" s="15"/>
      <c r="N589" s="16"/>
      <c r="O589" s="17"/>
      <c r="P589" s="17"/>
      <c r="Q589" s="17"/>
      <c r="R589" s="17"/>
      <c r="S589" s="17"/>
      <c r="T589" s="18"/>
      <c r="U589" s="105"/>
      <c r="V589" s="17"/>
      <c r="W589" s="17"/>
      <c r="X589" s="17"/>
      <c r="Y589" s="17"/>
      <c r="Z589" s="17"/>
      <c r="AA589" s="17"/>
      <c r="AB589" s="17"/>
      <c r="AC589" s="105"/>
      <c r="AD589" s="105"/>
      <c r="AE589" s="105"/>
      <c r="AT589" s="13" t="s">
        <v>148</v>
      </c>
      <c r="AU589" s="13" t="s">
        <v>74</v>
      </c>
    </row>
    <row r="590" spans="1:65" s="5" customFormat="1" ht="16.5" customHeight="1" x14ac:dyDescent="0.2">
      <c r="A590" s="105"/>
      <c r="B590" s="140"/>
      <c r="C590" s="33" t="s">
        <v>928</v>
      </c>
      <c r="D590" s="33" t="s">
        <v>131</v>
      </c>
      <c r="E590" s="34" t="s">
        <v>744</v>
      </c>
      <c r="F590" s="7" t="s">
        <v>745</v>
      </c>
      <c r="G590" s="35" t="s">
        <v>134</v>
      </c>
      <c r="H590" s="36">
        <v>2</v>
      </c>
      <c r="I590" s="1"/>
      <c r="J590" s="6">
        <f>ROUND(I590*H590,2)</f>
        <v>0</v>
      </c>
      <c r="K590" s="151" t="s">
        <v>1</v>
      </c>
      <c r="L590" s="17"/>
      <c r="M590" s="8" t="s">
        <v>1</v>
      </c>
      <c r="N590" s="9" t="s">
        <v>33</v>
      </c>
      <c r="O590" s="10">
        <v>0</v>
      </c>
      <c r="P590" s="10">
        <f>O590*H590</f>
        <v>0</v>
      </c>
      <c r="Q590" s="10">
        <v>0</v>
      </c>
      <c r="R590" s="10">
        <f>Q590*H590</f>
        <v>0</v>
      </c>
      <c r="S590" s="10">
        <v>0</v>
      </c>
      <c r="T590" s="11">
        <f>S590*H590</f>
        <v>0</v>
      </c>
      <c r="U590" s="105"/>
      <c r="V590" s="17"/>
      <c r="W590" s="17"/>
      <c r="X590" s="17"/>
      <c r="Y590" s="17"/>
      <c r="Z590" s="17"/>
      <c r="AA590" s="17"/>
      <c r="AB590" s="17"/>
      <c r="AC590" s="105"/>
      <c r="AD590" s="105"/>
      <c r="AE590" s="105"/>
      <c r="AR590" s="12" t="s">
        <v>135</v>
      </c>
      <c r="AT590" s="12" t="s">
        <v>131</v>
      </c>
      <c r="AU590" s="12" t="s">
        <v>74</v>
      </c>
      <c r="AY590" s="13" t="s">
        <v>130</v>
      </c>
      <c r="BE590" s="14">
        <f>IF(N590="základní",J590,0)</f>
        <v>0</v>
      </c>
      <c r="BF590" s="14">
        <f>IF(N590="snížená",J590,0)</f>
        <v>0</v>
      </c>
      <c r="BG590" s="14">
        <f>IF(N590="zákl. přenesená",J590,0)</f>
        <v>0</v>
      </c>
      <c r="BH590" s="14">
        <f>IF(N590="sníž. přenesená",J590,0)</f>
        <v>0</v>
      </c>
      <c r="BI590" s="14">
        <f>IF(N590="nulová",J590,0)</f>
        <v>0</v>
      </c>
      <c r="BJ590" s="13" t="s">
        <v>74</v>
      </c>
      <c r="BK590" s="14">
        <f>ROUND(I590*H590,2)</f>
        <v>0</v>
      </c>
      <c r="BL590" s="13" t="s">
        <v>135</v>
      </c>
      <c r="BM590" s="12" t="s">
        <v>929</v>
      </c>
    </row>
    <row r="591" spans="1:65" s="5" customFormat="1" ht="16.5" customHeight="1" x14ac:dyDescent="0.2">
      <c r="A591" s="105"/>
      <c r="B591" s="140"/>
      <c r="C591" s="33" t="s">
        <v>570</v>
      </c>
      <c r="D591" s="33" t="s">
        <v>131</v>
      </c>
      <c r="E591" s="34" t="s">
        <v>784</v>
      </c>
      <c r="F591" s="7" t="s">
        <v>785</v>
      </c>
      <c r="G591" s="35" t="s">
        <v>134</v>
      </c>
      <c r="H591" s="36">
        <v>1</v>
      </c>
      <c r="I591" s="1"/>
      <c r="J591" s="6">
        <f>ROUND(I591*H591,2)</f>
        <v>0</v>
      </c>
      <c r="K591" s="151" t="s">
        <v>1</v>
      </c>
      <c r="L591" s="17"/>
      <c r="M591" s="8" t="s">
        <v>1</v>
      </c>
      <c r="N591" s="9" t="s">
        <v>33</v>
      </c>
      <c r="O591" s="10">
        <v>0</v>
      </c>
      <c r="P591" s="10">
        <f>O591*H591</f>
        <v>0</v>
      </c>
      <c r="Q591" s="10">
        <v>0</v>
      </c>
      <c r="R591" s="10">
        <f>Q591*H591</f>
        <v>0</v>
      </c>
      <c r="S591" s="10">
        <v>0</v>
      </c>
      <c r="T591" s="11">
        <f>S591*H591</f>
        <v>0</v>
      </c>
      <c r="U591" s="105"/>
      <c r="V591" s="17"/>
      <c r="W591" s="17"/>
      <c r="X591" s="17"/>
      <c r="Y591" s="17"/>
      <c r="Z591" s="17"/>
      <c r="AA591" s="17"/>
      <c r="AB591" s="17"/>
      <c r="AC591" s="105"/>
      <c r="AD591" s="105"/>
      <c r="AE591" s="105"/>
      <c r="AR591" s="12" t="s">
        <v>135</v>
      </c>
      <c r="AT591" s="12" t="s">
        <v>131</v>
      </c>
      <c r="AU591" s="12" t="s">
        <v>74</v>
      </c>
      <c r="AY591" s="13" t="s">
        <v>130</v>
      </c>
      <c r="BE591" s="14">
        <f>IF(N591="základní",J591,0)</f>
        <v>0</v>
      </c>
      <c r="BF591" s="14">
        <f>IF(N591="snížená",J591,0)</f>
        <v>0</v>
      </c>
      <c r="BG591" s="14">
        <f>IF(N591="zákl. přenesená",J591,0)</f>
        <v>0</v>
      </c>
      <c r="BH591" s="14">
        <f>IF(N591="sníž. přenesená",J591,0)</f>
        <v>0</v>
      </c>
      <c r="BI591" s="14">
        <f>IF(N591="nulová",J591,0)</f>
        <v>0</v>
      </c>
      <c r="BJ591" s="13" t="s">
        <v>74</v>
      </c>
      <c r="BK591" s="14">
        <f>ROUND(I591*H591,2)</f>
        <v>0</v>
      </c>
      <c r="BL591" s="13" t="s">
        <v>135</v>
      </c>
      <c r="BM591" s="12" t="s">
        <v>930</v>
      </c>
    </row>
    <row r="592" spans="1:65" s="5" customFormat="1" ht="16.5" customHeight="1" x14ac:dyDescent="0.2">
      <c r="A592" s="105"/>
      <c r="B592" s="140"/>
      <c r="C592" s="33" t="s">
        <v>931</v>
      </c>
      <c r="D592" s="33" t="s">
        <v>131</v>
      </c>
      <c r="E592" s="34" t="s">
        <v>906</v>
      </c>
      <c r="F592" s="7" t="s">
        <v>907</v>
      </c>
      <c r="G592" s="35" t="s">
        <v>134</v>
      </c>
      <c r="H592" s="36">
        <v>6.734</v>
      </c>
      <c r="I592" s="1"/>
      <c r="J592" s="6">
        <f>ROUND(I592*H592,2)</f>
        <v>0</v>
      </c>
      <c r="K592" s="151" t="s">
        <v>1</v>
      </c>
      <c r="L592" s="17"/>
      <c r="M592" s="8" t="s">
        <v>1</v>
      </c>
      <c r="N592" s="9" t="s">
        <v>33</v>
      </c>
      <c r="O592" s="10">
        <v>0</v>
      </c>
      <c r="P592" s="10">
        <f>O592*H592</f>
        <v>0</v>
      </c>
      <c r="Q592" s="10">
        <v>0</v>
      </c>
      <c r="R592" s="10">
        <f>Q592*H592</f>
        <v>0</v>
      </c>
      <c r="S592" s="10">
        <v>0</v>
      </c>
      <c r="T592" s="11">
        <f>S592*H592</f>
        <v>0</v>
      </c>
      <c r="U592" s="105"/>
      <c r="V592" s="17"/>
      <c r="W592" s="17"/>
      <c r="X592" s="17"/>
      <c r="Y592" s="17"/>
      <c r="Z592" s="17"/>
      <c r="AA592" s="17"/>
      <c r="AB592" s="17"/>
      <c r="AC592" s="105"/>
      <c r="AD592" s="105"/>
      <c r="AE592" s="105"/>
      <c r="AR592" s="12" t="s">
        <v>135</v>
      </c>
      <c r="AT592" s="12" t="s">
        <v>131</v>
      </c>
      <c r="AU592" s="12" t="s">
        <v>74</v>
      </c>
      <c r="AY592" s="13" t="s">
        <v>130</v>
      </c>
      <c r="BE592" s="14">
        <f>IF(N592="základní",J592,0)</f>
        <v>0</v>
      </c>
      <c r="BF592" s="14">
        <f>IF(N592="snížená",J592,0)</f>
        <v>0</v>
      </c>
      <c r="BG592" s="14">
        <f>IF(N592="zákl. přenesená",J592,0)</f>
        <v>0</v>
      </c>
      <c r="BH592" s="14">
        <f>IF(N592="sníž. přenesená",J592,0)</f>
        <v>0</v>
      </c>
      <c r="BI592" s="14">
        <f>IF(N592="nulová",J592,0)</f>
        <v>0</v>
      </c>
      <c r="BJ592" s="13" t="s">
        <v>74</v>
      </c>
      <c r="BK592" s="14">
        <f>ROUND(I592*H592,2)</f>
        <v>0</v>
      </c>
      <c r="BL592" s="13" t="s">
        <v>135</v>
      </c>
      <c r="BM592" s="12" t="s">
        <v>932</v>
      </c>
    </row>
    <row r="593" spans="1:65" s="5" customFormat="1" ht="19.5" x14ac:dyDescent="0.2">
      <c r="A593" s="105"/>
      <c r="B593" s="140"/>
      <c r="C593" s="17"/>
      <c r="D593" s="141" t="s">
        <v>148</v>
      </c>
      <c r="E593" s="17"/>
      <c r="F593" s="142" t="s">
        <v>909</v>
      </c>
      <c r="G593" s="17"/>
      <c r="H593" s="17"/>
      <c r="I593" s="17"/>
      <c r="J593" s="17"/>
      <c r="K593" s="143"/>
      <c r="L593" s="17"/>
      <c r="M593" s="15"/>
      <c r="N593" s="16"/>
      <c r="O593" s="17"/>
      <c r="P593" s="17"/>
      <c r="Q593" s="17"/>
      <c r="R593" s="17"/>
      <c r="S593" s="17"/>
      <c r="T593" s="18"/>
      <c r="U593" s="105"/>
      <c r="V593" s="17"/>
      <c r="W593" s="17"/>
      <c r="X593" s="17"/>
      <c r="Y593" s="17"/>
      <c r="Z593" s="17"/>
      <c r="AA593" s="17"/>
      <c r="AB593" s="17"/>
      <c r="AC593" s="105"/>
      <c r="AD593" s="105"/>
      <c r="AE593" s="105"/>
      <c r="AT593" s="13" t="s">
        <v>148</v>
      </c>
      <c r="AU593" s="13" t="s">
        <v>74</v>
      </c>
    </row>
    <row r="594" spans="1:65" s="5" customFormat="1" ht="16.5" customHeight="1" x14ac:dyDescent="0.2">
      <c r="A594" s="105"/>
      <c r="B594" s="140"/>
      <c r="C594" s="33" t="s">
        <v>571</v>
      </c>
      <c r="D594" s="33" t="s">
        <v>131</v>
      </c>
      <c r="E594" s="34" t="s">
        <v>776</v>
      </c>
      <c r="F594" s="7" t="s">
        <v>777</v>
      </c>
      <c r="G594" s="35" t="s">
        <v>134</v>
      </c>
      <c r="H594" s="36">
        <v>7.9509999999999996</v>
      </c>
      <c r="I594" s="1"/>
      <c r="J594" s="6">
        <f>ROUND(I594*H594,2)</f>
        <v>0</v>
      </c>
      <c r="K594" s="151" t="s">
        <v>1</v>
      </c>
      <c r="L594" s="17"/>
      <c r="M594" s="8" t="s">
        <v>1</v>
      </c>
      <c r="N594" s="9" t="s">
        <v>33</v>
      </c>
      <c r="O594" s="10">
        <v>0</v>
      </c>
      <c r="P594" s="10">
        <f>O594*H594</f>
        <v>0</v>
      </c>
      <c r="Q594" s="10">
        <v>0</v>
      </c>
      <c r="R594" s="10">
        <f>Q594*H594</f>
        <v>0</v>
      </c>
      <c r="S594" s="10">
        <v>0</v>
      </c>
      <c r="T594" s="11">
        <f>S594*H594</f>
        <v>0</v>
      </c>
      <c r="U594" s="105"/>
      <c r="V594" s="17"/>
      <c r="W594" s="17"/>
      <c r="X594" s="17"/>
      <c r="Y594" s="17"/>
      <c r="Z594" s="17"/>
      <c r="AA594" s="17"/>
      <c r="AB594" s="17"/>
      <c r="AC594" s="105"/>
      <c r="AD594" s="105"/>
      <c r="AE594" s="105"/>
      <c r="AR594" s="12" t="s">
        <v>135</v>
      </c>
      <c r="AT594" s="12" t="s">
        <v>131</v>
      </c>
      <c r="AU594" s="12" t="s">
        <v>74</v>
      </c>
      <c r="AY594" s="13" t="s">
        <v>130</v>
      </c>
      <c r="BE594" s="14">
        <f>IF(N594="základní",J594,0)</f>
        <v>0</v>
      </c>
      <c r="BF594" s="14">
        <f>IF(N594="snížená",J594,0)</f>
        <v>0</v>
      </c>
      <c r="BG594" s="14">
        <f>IF(N594="zákl. přenesená",J594,0)</f>
        <v>0</v>
      </c>
      <c r="BH594" s="14">
        <f>IF(N594="sníž. přenesená",J594,0)</f>
        <v>0</v>
      </c>
      <c r="BI594" s="14">
        <f>IF(N594="nulová",J594,0)</f>
        <v>0</v>
      </c>
      <c r="BJ594" s="13" t="s">
        <v>74</v>
      </c>
      <c r="BK594" s="14">
        <f>ROUND(I594*H594,2)</f>
        <v>0</v>
      </c>
      <c r="BL594" s="13" t="s">
        <v>135</v>
      </c>
      <c r="BM594" s="12" t="s">
        <v>933</v>
      </c>
    </row>
    <row r="595" spans="1:65" s="5" customFormat="1" ht="19.5" x14ac:dyDescent="0.2">
      <c r="A595" s="105"/>
      <c r="B595" s="140"/>
      <c r="C595" s="17"/>
      <c r="D595" s="141" t="s">
        <v>148</v>
      </c>
      <c r="E595" s="17"/>
      <c r="F595" s="142" t="s">
        <v>885</v>
      </c>
      <c r="G595" s="17"/>
      <c r="H595" s="17"/>
      <c r="I595" s="17"/>
      <c r="J595" s="17"/>
      <c r="K595" s="143"/>
      <c r="L595" s="17"/>
      <c r="M595" s="15"/>
      <c r="N595" s="16"/>
      <c r="O595" s="17"/>
      <c r="P595" s="17"/>
      <c r="Q595" s="17"/>
      <c r="R595" s="17"/>
      <c r="S595" s="17"/>
      <c r="T595" s="18"/>
      <c r="U595" s="105"/>
      <c r="V595" s="17"/>
      <c r="W595" s="17"/>
      <c r="X595" s="17"/>
      <c r="Y595" s="17"/>
      <c r="Z595" s="17"/>
      <c r="AA595" s="17"/>
      <c r="AB595" s="17"/>
      <c r="AC595" s="105"/>
      <c r="AD595" s="105"/>
      <c r="AE595" s="105"/>
      <c r="AT595" s="13" t="s">
        <v>148</v>
      </c>
      <c r="AU595" s="13" t="s">
        <v>74</v>
      </c>
    </row>
    <row r="596" spans="1:65" s="5" customFormat="1" ht="16.5" customHeight="1" x14ac:dyDescent="0.2">
      <c r="A596" s="105"/>
      <c r="B596" s="140"/>
      <c r="C596" s="33" t="s">
        <v>934</v>
      </c>
      <c r="D596" s="33" t="s">
        <v>131</v>
      </c>
      <c r="E596" s="34" t="s">
        <v>758</v>
      </c>
      <c r="F596" s="7" t="s">
        <v>759</v>
      </c>
      <c r="G596" s="35" t="s">
        <v>134</v>
      </c>
      <c r="H596" s="36">
        <v>7.21</v>
      </c>
      <c r="I596" s="1"/>
      <c r="J596" s="6">
        <f>ROUND(I596*H596,2)</f>
        <v>0</v>
      </c>
      <c r="K596" s="151" t="s">
        <v>1</v>
      </c>
      <c r="L596" s="17"/>
      <c r="M596" s="8" t="s">
        <v>1</v>
      </c>
      <c r="N596" s="9" t="s">
        <v>33</v>
      </c>
      <c r="O596" s="10">
        <v>0</v>
      </c>
      <c r="P596" s="10">
        <f>O596*H596</f>
        <v>0</v>
      </c>
      <c r="Q596" s="10">
        <v>0</v>
      </c>
      <c r="R596" s="10">
        <f>Q596*H596</f>
        <v>0</v>
      </c>
      <c r="S596" s="10">
        <v>0</v>
      </c>
      <c r="T596" s="11">
        <f>S596*H596</f>
        <v>0</v>
      </c>
      <c r="U596" s="105"/>
      <c r="V596" s="17"/>
      <c r="W596" s="17"/>
      <c r="X596" s="17"/>
      <c r="Y596" s="17"/>
      <c r="Z596" s="17"/>
      <c r="AA596" s="17"/>
      <c r="AB596" s="17"/>
      <c r="AC596" s="105"/>
      <c r="AD596" s="105"/>
      <c r="AE596" s="105"/>
      <c r="AR596" s="12" t="s">
        <v>135</v>
      </c>
      <c r="AT596" s="12" t="s">
        <v>131</v>
      </c>
      <c r="AU596" s="12" t="s">
        <v>74</v>
      </c>
      <c r="AY596" s="13" t="s">
        <v>130</v>
      </c>
      <c r="BE596" s="14">
        <f>IF(N596="základní",J596,0)</f>
        <v>0</v>
      </c>
      <c r="BF596" s="14">
        <f>IF(N596="snížená",J596,0)</f>
        <v>0</v>
      </c>
      <c r="BG596" s="14">
        <f>IF(N596="zákl. přenesená",J596,0)</f>
        <v>0</v>
      </c>
      <c r="BH596" s="14">
        <f>IF(N596="sníž. přenesená",J596,0)</f>
        <v>0</v>
      </c>
      <c r="BI596" s="14">
        <f>IF(N596="nulová",J596,0)</f>
        <v>0</v>
      </c>
      <c r="BJ596" s="13" t="s">
        <v>74</v>
      </c>
      <c r="BK596" s="14">
        <f>ROUND(I596*H596,2)</f>
        <v>0</v>
      </c>
      <c r="BL596" s="13" t="s">
        <v>135</v>
      </c>
      <c r="BM596" s="12" t="s">
        <v>935</v>
      </c>
    </row>
    <row r="597" spans="1:65" s="5" customFormat="1" x14ac:dyDescent="0.2">
      <c r="B597" s="177"/>
      <c r="C597" s="16"/>
      <c r="D597" s="178" t="s">
        <v>340</v>
      </c>
      <c r="E597" s="16"/>
      <c r="F597" s="200" t="s">
        <v>1278</v>
      </c>
      <c r="G597" s="16"/>
      <c r="H597" s="16">
        <f>((0.32+0.51+3.5+0.64+0.18)*1.4)</f>
        <v>7.2099999999999991</v>
      </c>
      <c r="I597" s="16"/>
      <c r="J597" s="16"/>
      <c r="K597" s="181"/>
      <c r="L597" s="52"/>
      <c r="M597" s="52"/>
      <c r="N597" s="52"/>
      <c r="O597" s="52"/>
      <c r="P597" s="52"/>
      <c r="Q597" s="52"/>
      <c r="R597" s="52"/>
      <c r="S597" s="128"/>
      <c r="V597" s="16"/>
      <c r="W597" s="16"/>
      <c r="X597" s="16"/>
      <c r="Y597" s="16"/>
      <c r="Z597" s="16"/>
      <c r="AA597" s="16"/>
      <c r="AB597" s="16"/>
      <c r="AZ597" s="126" t="s">
        <v>148</v>
      </c>
      <c r="BA597" s="126" t="s">
        <v>74</v>
      </c>
    </row>
    <row r="598" spans="1:65" s="5" customFormat="1" ht="21.75" customHeight="1" x14ac:dyDescent="0.2">
      <c r="A598" s="105"/>
      <c r="B598" s="140"/>
      <c r="C598" s="33" t="s">
        <v>573</v>
      </c>
      <c r="D598" s="33" t="s">
        <v>131</v>
      </c>
      <c r="E598" s="34" t="s">
        <v>748</v>
      </c>
      <c r="F598" s="7" t="s">
        <v>749</v>
      </c>
      <c r="G598" s="35" t="s">
        <v>134</v>
      </c>
      <c r="H598" s="36">
        <v>14.2</v>
      </c>
      <c r="I598" s="1"/>
      <c r="J598" s="6">
        <f>ROUND(I598*H598,2)</f>
        <v>0</v>
      </c>
      <c r="K598" s="151" t="s">
        <v>1</v>
      </c>
      <c r="L598" s="17"/>
      <c r="M598" s="8" t="s">
        <v>1</v>
      </c>
      <c r="N598" s="9" t="s">
        <v>33</v>
      </c>
      <c r="O598" s="10">
        <v>0</v>
      </c>
      <c r="P598" s="10">
        <f>O598*H598</f>
        <v>0</v>
      </c>
      <c r="Q598" s="10">
        <v>0</v>
      </c>
      <c r="R598" s="10">
        <f>Q598*H598</f>
        <v>0</v>
      </c>
      <c r="S598" s="10">
        <v>0</v>
      </c>
      <c r="T598" s="11">
        <f>S598*H598</f>
        <v>0</v>
      </c>
      <c r="U598" s="105"/>
      <c r="V598" s="17"/>
      <c r="W598" s="17"/>
      <c r="X598" s="17"/>
      <c r="Y598" s="17"/>
      <c r="Z598" s="17"/>
      <c r="AA598" s="17"/>
      <c r="AB598" s="17"/>
      <c r="AC598" s="105"/>
      <c r="AD598" s="105"/>
      <c r="AE598" s="105"/>
      <c r="AR598" s="12" t="s">
        <v>135</v>
      </c>
      <c r="AT598" s="12" t="s">
        <v>131</v>
      </c>
      <c r="AU598" s="12" t="s">
        <v>74</v>
      </c>
      <c r="AY598" s="13" t="s">
        <v>130</v>
      </c>
      <c r="BE598" s="14">
        <f>IF(N598="základní",J598,0)</f>
        <v>0</v>
      </c>
      <c r="BF598" s="14">
        <f>IF(N598="snížená",J598,0)</f>
        <v>0</v>
      </c>
      <c r="BG598" s="14">
        <f>IF(N598="zákl. přenesená",J598,0)</f>
        <v>0</v>
      </c>
      <c r="BH598" s="14">
        <f>IF(N598="sníž. přenesená",J598,0)</f>
        <v>0</v>
      </c>
      <c r="BI598" s="14">
        <f>IF(N598="nulová",J598,0)</f>
        <v>0</v>
      </c>
      <c r="BJ598" s="13" t="s">
        <v>74</v>
      </c>
      <c r="BK598" s="14">
        <f>ROUND(I598*H598,2)</f>
        <v>0</v>
      </c>
      <c r="BL598" s="13" t="s">
        <v>135</v>
      </c>
      <c r="BM598" s="12" t="s">
        <v>936</v>
      </c>
    </row>
    <row r="599" spans="1:65" s="5" customFormat="1" x14ac:dyDescent="0.2">
      <c r="B599" s="177"/>
      <c r="C599" s="16"/>
      <c r="D599" s="178" t="s">
        <v>340</v>
      </c>
      <c r="E599" s="16"/>
      <c r="F599" s="200" t="s">
        <v>1279</v>
      </c>
      <c r="G599" s="16"/>
      <c r="H599" s="180">
        <f>(0.61+0.18+0.37+0.29+0.18+0.2+0.35+3.5)*2.5</f>
        <v>14.2</v>
      </c>
      <c r="I599" s="16"/>
      <c r="J599" s="16"/>
      <c r="K599" s="181"/>
      <c r="L599" s="52"/>
      <c r="M599" s="52"/>
      <c r="N599" s="52"/>
      <c r="O599" s="52"/>
      <c r="P599" s="52"/>
      <c r="Q599" s="52"/>
      <c r="R599" s="52"/>
      <c r="S599" s="128"/>
      <c r="V599" s="16"/>
      <c r="W599" s="16"/>
      <c r="X599" s="16"/>
      <c r="Y599" s="16"/>
      <c r="Z599" s="16"/>
      <c r="AA599" s="16"/>
      <c r="AB599" s="16"/>
      <c r="AZ599" s="126" t="s">
        <v>148</v>
      </c>
      <c r="BA599" s="126" t="s">
        <v>74</v>
      </c>
    </row>
    <row r="600" spans="1:65" s="20" customFormat="1" ht="25.9" customHeight="1" x14ac:dyDescent="0.2">
      <c r="B600" s="172"/>
      <c r="C600" s="23"/>
      <c r="D600" s="173" t="s">
        <v>67</v>
      </c>
      <c r="E600" s="174" t="s">
        <v>575</v>
      </c>
      <c r="F600" s="174" t="s">
        <v>937</v>
      </c>
      <c r="G600" s="23"/>
      <c r="H600" s="23"/>
      <c r="I600" s="23"/>
      <c r="J600" s="175">
        <f>BK600</f>
        <v>0</v>
      </c>
      <c r="K600" s="176"/>
      <c r="L600" s="23"/>
      <c r="M600" s="22"/>
      <c r="N600" s="23"/>
      <c r="O600" s="23"/>
      <c r="P600" s="24">
        <f>SUM(P603:P625)</f>
        <v>0</v>
      </c>
      <c r="Q600" s="23"/>
      <c r="R600" s="24">
        <f>SUM(R603:R625)</f>
        <v>0</v>
      </c>
      <c r="S600" s="23"/>
      <c r="T600" s="25">
        <f>SUM(T603:T625)</f>
        <v>0</v>
      </c>
      <c r="V600" s="23"/>
      <c r="W600" s="23"/>
      <c r="X600" s="23"/>
      <c r="Y600" s="23"/>
      <c r="Z600" s="23"/>
      <c r="AA600" s="23"/>
      <c r="AB600" s="23"/>
      <c r="AR600" s="26" t="s">
        <v>74</v>
      </c>
      <c r="AT600" s="27" t="s">
        <v>67</v>
      </c>
      <c r="AU600" s="27" t="s">
        <v>68</v>
      </c>
      <c r="AY600" s="26" t="s">
        <v>130</v>
      </c>
      <c r="BK600" s="28">
        <f>SUM(BK603:BK625)</f>
        <v>0</v>
      </c>
    </row>
    <row r="601" spans="1:65" s="5" customFormat="1" x14ac:dyDescent="0.2">
      <c r="B601" s="177"/>
      <c r="C601" s="16"/>
      <c r="D601" s="178" t="s">
        <v>340</v>
      </c>
      <c r="E601" s="16"/>
      <c r="F601" s="200" t="s">
        <v>1280</v>
      </c>
      <c r="G601" s="16"/>
      <c r="H601" s="180">
        <f>((2.36+1.44+0.29+0.27+2)*3.5)-(1.01*1.26)-(0.76*1.97)+(2*(1.01+1.26)*0.45)</f>
        <v>21.533199999999997</v>
      </c>
      <c r="I601" s="16"/>
      <c r="J601" s="16"/>
      <c r="K601" s="181"/>
      <c r="L601" s="52"/>
      <c r="M601" s="52"/>
      <c r="N601" s="52"/>
      <c r="O601" s="52"/>
      <c r="P601" s="52"/>
      <c r="Q601" s="52"/>
      <c r="R601" s="52"/>
      <c r="S601" s="128"/>
      <c r="V601" s="16"/>
      <c r="W601" s="16"/>
      <c r="X601" s="16"/>
      <c r="Y601" s="16"/>
      <c r="Z601" s="16"/>
      <c r="AA601" s="16"/>
      <c r="AB601" s="16"/>
      <c r="AZ601" s="126" t="s">
        <v>148</v>
      </c>
      <c r="BA601" s="126" t="s">
        <v>74</v>
      </c>
    </row>
    <row r="602" spans="1:65" s="5" customFormat="1" x14ac:dyDescent="0.2">
      <c r="B602" s="177"/>
      <c r="C602" s="16"/>
      <c r="D602" s="178" t="s">
        <v>340</v>
      </c>
      <c r="E602" s="16"/>
      <c r="F602" s="200" t="s">
        <v>1281</v>
      </c>
      <c r="G602" s="16"/>
      <c r="H602" s="180">
        <f>(2.01*1.82)+(1.44*0.3)</f>
        <v>4.0902000000000003</v>
      </c>
      <c r="I602" s="16"/>
      <c r="J602" s="16"/>
      <c r="K602" s="181"/>
      <c r="L602" s="52"/>
      <c r="M602" s="52"/>
      <c r="N602" s="52"/>
      <c r="O602" s="52"/>
      <c r="P602" s="52"/>
      <c r="Q602" s="52"/>
      <c r="R602" s="52"/>
      <c r="S602" s="128"/>
      <c r="V602" s="16"/>
      <c r="W602" s="16"/>
      <c r="X602" s="16"/>
      <c r="Y602" s="16"/>
      <c r="Z602" s="16"/>
      <c r="AA602" s="16"/>
      <c r="AB602" s="16"/>
      <c r="AZ602" s="126" t="s">
        <v>148</v>
      </c>
      <c r="BA602" s="126" t="s">
        <v>74</v>
      </c>
    </row>
    <row r="603" spans="1:65" s="5" customFormat="1" ht="16.5" customHeight="1" x14ac:dyDescent="0.2">
      <c r="A603" s="105"/>
      <c r="B603" s="140"/>
      <c r="C603" s="33" t="s">
        <v>938</v>
      </c>
      <c r="D603" s="33" t="s">
        <v>131</v>
      </c>
      <c r="E603" s="34" t="s">
        <v>713</v>
      </c>
      <c r="F603" s="7" t="s">
        <v>714</v>
      </c>
      <c r="G603" s="35" t="s">
        <v>134</v>
      </c>
      <c r="H603" s="36">
        <v>25.623000000000001</v>
      </c>
      <c r="I603" s="1"/>
      <c r="J603" s="6">
        <f>ROUND(I603*H603,2)</f>
        <v>0</v>
      </c>
      <c r="K603" s="151" t="s">
        <v>1</v>
      </c>
      <c r="L603" s="17"/>
      <c r="M603" s="8" t="s">
        <v>1</v>
      </c>
      <c r="N603" s="9" t="s">
        <v>33</v>
      </c>
      <c r="O603" s="10">
        <v>0</v>
      </c>
      <c r="P603" s="10">
        <f>O603*H603</f>
        <v>0</v>
      </c>
      <c r="Q603" s="10">
        <v>0</v>
      </c>
      <c r="R603" s="10">
        <f>Q603*H603</f>
        <v>0</v>
      </c>
      <c r="S603" s="10">
        <v>0</v>
      </c>
      <c r="T603" s="11">
        <f>S603*H603</f>
        <v>0</v>
      </c>
      <c r="U603" s="105"/>
      <c r="V603" s="17"/>
      <c r="W603" s="17"/>
      <c r="X603" s="17"/>
      <c r="Y603" s="17"/>
      <c r="Z603" s="17"/>
      <c r="AA603" s="17"/>
      <c r="AB603" s="17"/>
      <c r="AC603" s="105"/>
      <c r="AD603" s="105"/>
      <c r="AE603" s="105"/>
      <c r="AR603" s="12" t="s">
        <v>135</v>
      </c>
      <c r="AT603" s="12" t="s">
        <v>131</v>
      </c>
      <c r="AU603" s="12" t="s">
        <v>74</v>
      </c>
      <c r="AY603" s="13" t="s">
        <v>130</v>
      </c>
      <c r="BE603" s="14">
        <f>IF(N603="základní",J603,0)</f>
        <v>0</v>
      </c>
      <c r="BF603" s="14">
        <f>IF(N603="snížená",J603,0)</f>
        <v>0</v>
      </c>
      <c r="BG603" s="14">
        <f>IF(N603="zákl. přenesená",J603,0)</f>
        <v>0</v>
      </c>
      <c r="BH603" s="14">
        <f>IF(N603="sníž. přenesená",J603,0)</f>
        <v>0</v>
      </c>
      <c r="BI603" s="14">
        <f>IF(N603="nulová",J603,0)</f>
        <v>0</v>
      </c>
      <c r="BJ603" s="13" t="s">
        <v>74</v>
      </c>
      <c r="BK603" s="14">
        <f>ROUND(I603*H603,2)</f>
        <v>0</v>
      </c>
      <c r="BL603" s="13" t="s">
        <v>135</v>
      </c>
      <c r="BM603" s="12" t="s">
        <v>939</v>
      </c>
    </row>
    <row r="604" spans="1:65" s="152" customFormat="1" x14ac:dyDescent="0.2">
      <c r="B604" s="153"/>
      <c r="C604" s="154"/>
      <c r="D604" s="141" t="s">
        <v>340</v>
      </c>
      <c r="E604" s="155" t="s">
        <v>1</v>
      </c>
      <c r="F604" s="156" t="s">
        <v>940</v>
      </c>
      <c r="G604" s="154"/>
      <c r="H604" s="157"/>
      <c r="I604" s="154"/>
      <c r="J604" s="154"/>
      <c r="K604" s="158"/>
      <c r="L604" s="154"/>
      <c r="M604" s="159"/>
      <c r="N604" s="154"/>
      <c r="O604" s="154"/>
      <c r="P604" s="154"/>
      <c r="Q604" s="154"/>
      <c r="R604" s="154"/>
      <c r="S604" s="154"/>
      <c r="T604" s="160"/>
      <c r="V604" s="154"/>
      <c r="W604" s="154"/>
      <c r="X604" s="154"/>
      <c r="Y604" s="154"/>
      <c r="Z604" s="154"/>
      <c r="AA604" s="154"/>
      <c r="AB604" s="154"/>
      <c r="AT604" s="161" t="s">
        <v>340</v>
      </c>
      <c r="AU604" s="161" t="s">
        <v>74</v>
      </c>
      <c r="AV604" s="152" t="s">
        <v>76</v>
      </c>
      <c r="AW604" s="152" t="s">
        <v>25</v>
      </c>
      <c r="AX604" s="152" t="s">
        <v>68</v>
      </c>
      <c r="AY604" s="161" t="s">
        <v>130</v>
      </c>
    </row>
    <row r="605" spans="1:65" s="162" customFormat="1" x14ac:dyDescent="0.2">
      <c r="B605" s="163"/>
      <c r="C605" s="164"/>
      <c r="D605" s="141" t="s">
        <v>340</v>
      </c>
      <c r="E605" s="165" t="s">
        <v>1</v>
      </c>
      <c r="F605" s="166" t="s">
        <v>342</v>
      </c>
      <c r="G605" s="164"/>
      <c r="H605" s="167">
        <v>25.623000000000001</v>
      </c>
      <c r="I605" s="164"/>
      <c r="J605" s="164"/>
      <c r="K605" s="168"/>
      <c r="L605" s="164"/>
      <c r="M605" s="169"/>
      <c r="N605" s="164"/>
      <c r="O605" s="164"/>
      <c r="P605" s="164"/>
      <c r="Q605" s="164"/>
      <c r="R605" s="164"/>
      <c r="S605" s="164"/>
      <c r="T605" s="170"/>
      <c r="V605" s="164"/>
      <c r="W605" s="164"/>
      <c r="X605" s="164"/>
      <c r="Y605" s="164"/>
      <c r="Z605" s="164"/>
      <c r="AA605" s="164"/>
      <c r="AB605" s="164"/>
      <c r="AT605" s="171" t="s">
        <v>340</v>
      </c>
      <c r="AU605" s="171" t="s">
        <v>74</v>
      </c>
      <c r="AV605" s="162" t="s">
        <v>135</v>
      </c>
      <c r="AW605" s="162" t="s">
        <v>25</v>
      </c>
      <c r="AX605" s="162" t="s">
        <v>74</v>
      </c>
      <c r="AY605" s="171" t="s">
        <v>130</v>
      </c>
    </row>
    <row r="606" spans="1:65" s="5" customFormat="1" ht="16.5" customHeight="1" x14ac:dyDescent="0.2">
      <c r="A606" s="105"/>
      <c r="B606" s="140"/>
      <c r="C606" s="33" t="s">
        <v>574</v>
      </c>
      <c r="D606" s="33" t="s">
        <v>131</v>
      </c>
      <c r="E606" s="34" t="s">
        <v>716</v>
      </c>
      <c r="F606" s="7" t="s">
        <v>717</v>
      </c>
      <c r="G606" s="35" t="s">
        <v>134</v>
      </c>
      <c r="H606" s="36">
        <v>5.125</v>
      </c>
      <c r="I606" s="1"/>
      <c r="J606" s="6">
        <f>ROUND(I606*H606,2)</f>
        <v>0</v>
      </c>
      <c r="K606" s="151" t="s">
        <v>1</v>
      </c>
      <c r="L606" s="17"/>
      <c r="M606" s="8" t="s">
        <v>1</v>
      </c>
      <c r="N606" s="9" t="s">
        <v>33</v>
      </c>
      <c r="O606" s="10">
        <v>0</v>
      </c>
      <c r="P606" s="10">
        <f>O606*H606</f>
        <v>0</v>
      </c>
      <c r="Q606" s="10">
        <v>0</v>
      </c>
      <c r="R606" s="10">
        <f>Q606*H606</f>
        <v>0</v>
      </c>
      <c r="S606" s="10">
        <v>0</v>
      </c>
      <c r="T606" s="11">
        <f>S606*H606</f>
        <v>0</v>
      </c>
      <c r="U606" s="105"/>
      <c r="V606" s="17"/>
      <c r="W606" s="17"/>
      <c r="X606" s="17"/>
      <c r="Y606" s="17"/>
      <c r="Z606" s="17"/>
      <c r="AA606" s="17"/>
      <c r="AB606" s="17"/>
      <c r="AC606" s="105"/>
      <c r="AD606" s="105"/>
      <c r="AE606" s="105"/>
      <c r="AR606" s="12" t="s">
        <v>135</v>
      </c>
      <c r="AT606" s="12" t="s">
        <v>131</v>
      </c>
      <c r="AU606" s="12" t="s">
        <v>74</v>
      </c>
      <c r="AY606" s="13" t="s">
        <v>130</v>
      </c>
      <c r="BE606" s="14">
        <f>IF(N606="základní",J606,0)</f>
        <v>0</v>
      </c>
      <c r="BF606" s="14">
        <f>IF(N606="snížená",J606,0)</f>
        <v>0</v>
      </c>
      <c r="BG606" s="14">
        <f>IF(N606="zákl. přenesená",J606,0)</f>
        <v>0</v>
      </c>
      <c r="BH606" s="14">
        <f>IF(N606="sníž. přenesená",J606,0)</f>
        <v>0</v>
      </c>
      <c r="BI606" s="14">
        <f>IF(N606="nulová",J606,0)</f>
        <v>0</v>
      </c>
      <c r="BJ606" s="13" t="s">
        <v>74</v>
      </c>
      <c r="BK606" s="14">
        <f>ROUND(I606*H606,2)</f>
        <v>0</v>
      </c>
      <c r="BL606" s="13" t="s">
        <v>135</v>
      </c>
      <c r="BM606" s="12" t="s">
        <v>941</v>
      </c>
    </row>
    <row r="607" spans="1:65" s="5" customFormat="1" ht="19.5" x14ac:dyDescent="0.2">
      <c r="A607" s="105"/>
      <c r="B607" s="140"/>
      <c r="C607" s="17"/>
      <c r="D607" s="141" t="s">
        <v>148</v>
      </c>
      <c r="E607" s="17"/>
      <c r="F607" s="142" t="s">
        <v>718</v>
      </c>
      <c r="G607" s="17"/>
      <c r="H607" s="17"/>
      <c r="I607" s="17"/>
      <c r="J607" s="17"/>
      <c r="K607" s="143"/>
      <c r="L607" s="17"/>
      <c r="M607" s="15"/>
      <c r="N607" s="16"/>
      <c r="O607" s="17"/>
      <c r="P607" s="17"/>
      <c r="Q607" s="17"/>
      <c r="R607" s="17"/>
      <c r="S607" s="17"/>
      <c r="T607" s="18"/>
      <c r="U607" s="105"/>
      <c r="V607" s="17"/>
      <c r="W607" s="17"/>
      <c r="X607" s="17"/>
      <c r="Y607" s="17"/>
      <c r="Z607" s="17"/>
      <c r="AA607" s="17"/>
      <c r="AB607" s="17"/>
      <c r="AC607" s="105"/>
      <c r="AD607" s="105"/>
      <c r="AE607" s="105"/>
      <c r="AT607" s="13" t="s">
        <v>148</v>
      </c>
      <c r="AU607" s="13" t="s">
        <v>74</v>
      </c>
    </row>
    <row r="608" spans="1:65" s="5" customFormat="1" ht="16.5" customHeight="1" x14ac:dyDescent="0.2">
      <c r="A608" s="105"/>
      <c r="B608" s="140"/>
      <c r="C608" s="33" t="s">
        <v>942</v>
      </c>
      <c r="D608" s="33" t="s">
        <v>131</v>
      </c>
      <c r="E608" s="34" t="s">
        <v>232</v>
      </c>
      <c r="F608" s="7" t="s">
        <v>722</v>
      </c>
      <c r="G608" s="35" t="s">
        <v>723</v>
      </c>
      <c r="H608" s="36">
        <v>4.1000000000000002E-2</v>
      </c>
      <c r="I608" s="1"/>
      <c r="J608" s="6">
        <f>ROUND(I608*H608,2)</f>
        <v>0</v>
      </c>
      <c r="K608" s="151" t="s">
        <v>1</v>
      </c>
      <c r="L608" s="17"/>
      <c r="M608" s="8" t="s">
        <v>1</v>
      </c>
      <c r="N608" s="9" t="s">
        <v>33</v>
      </c>
      <c r="O608" s="10">
        <v>0</v>
      </c>
      <c r="P608" s="10">
        <f>O608*H608</f>
        <v>0</v>
      </c>
      <c r="Q608" s="10">
        <v>0</v>
      </c>
      <c r="R608" s="10">
        <f>Q608*H608</f>
        <v>0</v>
      </c>
      <c r="S608" s="10">
        <v>0</v>
      </c>
      <c r="T608" s="11">
        <f>S608*H608</f>
        <v>0</v>
      </c>
      <c r="U608" s="105"/>
      <c r="V608" s="17"/>
      <c r="W608" s="17"/>
      <c r="X608" s="17"/>
      <c r="Y608" s="17"/>
      <c r="Z608" s="17"/>
      <c r="AA608" s="17"/>
      <c r="AB608" s="17"/>
      <c r="AC608" s="105"/>
      <c r="AD608" s="105"/>
      <c r="AE608" s="105"/>
      <c r="AR608" s="12" t="s">
        <v>135</v>
      </c>
      <c r="AT608" s="12" t="s">
        <v>131</v>
      </c>
      <c r="AU608" s="12" t="s">
        <v>74</v>
      </c>
      <c r="AY608" s="13" t="s">
        <v>130</v>
      </c>
      <c r="BE608" s="14">
        <f>IF(N608="základní",J608,0)</f>
        <v>0</v>
      </c>
      <c r="BF608" s="14">
        <f>IF(N608="snížená",J608,0)</f>
        <v>0</v>
      </c>
      <c r="BG608" s="14">
        <f>IF(N608="zákl. přenesená",J608,0)</f>
        <v>0</v>
      </c>
      <c r="BH608" s="14">
        <f>IF(N608="sníž. přenesená",J608,0)</f>
        <v>0</v>
      </c>
      <c r="BI608" s="14">
        <f>IF(N608="nulová",J608,0)</f>
        <v>0</v>
      </c>
      <c r="BJ608" s="13" t="s">
        <v>74</v>
      </c>
      <c r="BK608" s="14">
        <f>ROUND(I608*H608,2)</f>
        <v>0</v>
      </c>
      <c r="BL608" s="13" t="s">
        <v>135</v>
      </c>
      <c r="BM608" s="12" t="s">
        <v>943</v>
      </c>
    </row>
    <row r="609" spans="1:65" s="5" customFormat="1" ht="16.5" customHeight="1" x14ac:dyDescent="0.2">
      <c r="A609" s="105"/>
      <c r="B609" s="140"/>
      <c r="C609" s="33" t="s">
        <v>578</v>
      </c>
      <c r="D609" s="33" t="s">
        <v>131</v>
      </c>
      <c r="E609" s="34" t="s">
        <v>246</v>
      </c>
      <c r="F609" s="7" t="s">
        <v>724</v>
      </c>
      <c r="G609" s="35" t="s">
        <v>723</v>
      </c>
      <c r="H609" s="36">
        <v>4.1000000000000002E-2</v>
      </c>
      <c r="I609" s="1"/>
      <c r="J609" s="6">
        <f>ROUND(I609*H609,2)</f>
        <v>0</v>
      </c>
      <c r="K609" s="151" t="s">
        <v>1</v>
      </c>
      <c r="L609" s="17"/>
      <c r="M609" s="8" t="s">
        <v>1</v>
      </c>
      <c r="N609" s="9" t="s">
        <v>33</v>
      </c>
      <c r="O609" s="10">
        <v>0</v>
      </c>
      <c r="P609" s="10">
        <f>O609*H609</f>
        <v>0</v>
      </c>
      <c r="Q609" s="10">
        <v>0</v>
      </c>
      <c r="R609" s="10">
        <f>Q609*H609</f>
        <v>0</v>
      </c>
      <c r="S609" s="10">
        <v>0</v>
      </c>
      <c r="T609" s="11">
        <f>S609*H609</f>
        <v>0</v>
      </c>
      <c r="U609" s="105"/>
      <c r="V609" s="17"/>
      <c r="W609" s="17"/>
      <c r="X609" s="17"/>
      <c r="Y609" s="17"/>
      <c r="Z609" s="17"/>
      <c r="AA609" s="17"/>
      <c r="AB609" s="17"/>
      <c r="AC609" s="105"/>
      <c r="AD609" s="105"/>
      <c r="AE609" s="105"/>
      <c r="AR609" s="12" t="s">
        <v>135</v>
      </c>
      <c r="AT609" s="12" t="s">
        <v>131</v>
      </c>
      <c r="AU609" s="12" t="s">
        <v>74</v>
      </c>
      <c r="AY609" s="13" t="s">
        <v>130</v>
      </c>
      <c r="BE609" s="14">
        <f>IF(N609="základní",J609,0)</f>
        <v>0</v>
      </c>
      <c r="BF609" s="14">
        <f>IF(N609="snížená",J609,0)</f>
        <v>0</v>
      </c>
      <c r="BG609" s="14">
        <f>IF(N609="zákl. přenesená",J609,0)</f>
        <v>0</v>
      </c>
      <c r="BH609" s="14">
        <f>IF(N609="sníž. přenesená",J609,0)</f>
        <v>0</v>
      </c>
      <c r="BI609" s="14">
        <f>IF(N609="nulová",J609,0)</f>
        <v>0</v>
      </c>
      <c r="BJ609" s="13" t="s">
        <v>74</v>
      </c>
      <c r="BK609" s="14">
        <f>ROUND(I609*H609,2)</f>
        <v>0</v>
      </c>
      <c r="BL609" s="13" t="s">
        <v>135</v>
      </c>
      <c r="BM609" s="12" t="s">
        <v>944</v>
      </c>
    </row>
    <row r="610" spans="1:65" s="5" customFormat="1" ht="16.5" customHeight="1" x14ac:dyDescent="0.2">
      <c r="A610" s="105"/>
      <c r="B610" s="140"/>
      <c r="C610" s="33" t="s">
        <v>945</v>
      </c>
      <c r="D610" s="33" t="s">
        <v>131</v>
      </c>
      <c r="E610" s="34" t="s">
        <v>897</v>
      </c>
      <c r="F610" s="7" t="s">
        <v>898</v>
      </c>
      <c r="G610" s="35" t="s">
        <v>134</v>
      </c>
      <c r="H610" s="36">
        <v>25.623000000000001</v>
      </c>
      <c r="I610" s="1"/>
      <c r="J610" s="6">
        <f>ROUND(I610*H610,2)</f>
        <v>0</v>
      </c>
      <c r="K610" s="151" t="s">
        <v>1</v>
      </c>
      <c r="L610" s="17"/>
      <c r="M610" s="8" t="s">
        <v>1</v>
      </c>
      <c r="N610" s="9" t="s">
        <v>33</v>
      </c>
      <c r="O610" s="10">
        <v>0</v>
      </c>
      <c r="P610" s="10">
        <f>O610*H610</f>
        <v>0</v>
      </c>
      <c r="Q610" s="10">
        <v>0</v>
      </c>
      <c r="R610" s="10">
        <f>Q610*H610</f>
        <v>0</v>
      </c>
      <c r="S610" s="10">
        <v>0</v>
      </c>
      <c r="T610" s="11">
        <f>S610*H610</f>
        <v>0</v>
      </c>
      <c r="U610" s="105"/>
      <c r="V610" s="17"/>
      <c r="W610" s="17"/>
      <c r="X610" s="17"/>
      <c r="Y610" s="17"/>
      <c r="Z610" s="17"/>
      <c r="AA610" s="17"/>
      <c r="AB610" s="17"/>
      <c r="AC610" s="105"/>
      <c r="AD610" s="105"/>
      <c r="AE610" s="105"/>
      <c r="AR610" s="12" t="s">
        <v>135</v>
      </c>
      <c r="AT610" s="12" t="s">
        <v>131</v>
      </c>
      <c r="AU610" s="12" t="s">
        <v>74</v>
      </c>
      <c r="AY610" s="13" t="s">
        <v>130</v>
      </c>
      <c r="BE610" s="14">
        <f>IF(N610="základní",J610,0)</f>
        <v>0</v>
      </c>
      <c r="BF610" s="14">
        <f>IF(N610="snížená",J610,0)</f>
        <v>0</v>
      </c>
      <c r="BG610" s="14">
        <f>IF(N610="zákl. přenesená",J610,0)</f>
        <v>0</v>
      </c>
      <c r="BH610" s="14">
        <f>IF(N610="sníž. přenesená",J610,0)</f>
        <v>0</v>
      </c>
      <c r="BI610" s="14">
        <f>IF(N610="nulová",J610,0)</f>
        <v>0</v>
      </c>
      <c r="BJ610" s="13" t="s">
        <v>74</v>
      </c>
      <c r="BK610" s="14">
        <f>ROUND(I610*H610,2)</f>
        <v>0</v>
      </c>
      <c r="BL610" s="13" t="s">
        <v>135</v>
      </c>
      <c r="BM610" s="12" t="s">
        <v>946</v>
      </c>
    </row>
    <row r="611" spans="1:65" s="5" customFormat="1" ht="16.5" customHeight="1" x14ac:dyDescent="0.2">
      <c r="A611" s="105"/>
      <c r="B611" s="140"/>
      <c r="C611" s="33" t="s">
        <v>579</v>
      </c>
      <c r="D611" s="33" t="s">
        <v>131</v>
      </c>
      <c r="E611" s="34" t="s">
        <v>735</v>
      </c>
      <c r="F611" s="7" t="s">
        <v>736</v>
      </c>
      <c r="G611" s="35" t="s">
        <v>134</v>
      </c>
      <c r="H611" s="36">
        <v>2</v>
      </c>
      <c r="I611" s="1"/>
      <c r="J611" s="6">
        <f>ROUND(I611*H611,2)</f>
        <v>0</v>
      </c>
      <c r="K611" s="151" t="s">
        <v>1</v>
      </c>
      <c r="L611" s="17"/>
      <c r="M611" s="8" t="s">
        <v>1</v>
      </c>
      <c r="N611" s="9" t="s">
        <v>33</v>
      </c>
      <c r="O611" s="10">
        <v>0</v>
      </c>
      <c r="P611" s="10">
        <f>O611*H611</f>
        <v>0</v>
      </c>
      <c r="Q611" s="10">
        <v>0</v>
      </c>
      <c r="R611" s="10">
        <f>Q611*H611</f>
        <v>0</v>
      </c>
      <c r="S611" s="10">
        <v>0</v>
      </c>
      <c r="T611" s="11">
        <f>S611*H611</f>
        <v>0</v>
      </c>
      <c r="U611" s="105"/>
      <c r="V611" s="17"/>
      <c r="W611" s="17"/>
      <c r="X611" s="17"/>
      <c r="Y611" s="17"/>
      <c r="Z611" s="17"/>
      <c r="AA611" s="17"/>
      <c r="AB611" s="17"/>
      <c r="AC611" s="105"/>
      <c r="AD611" s="105"/>
      <c r="AE611" s="105"/>
      <c r="AR611" s="12" t="s">
        <v>135</v>
      </c>
      <c r="AT611" s="12" t="s">
        <v>131</v>
      </c>
      <c r="AU611" s="12" t="s">
        <v>74</v>
      </c>
      <c r="AY611" s="13" t="s">
        <v>130</v>
      </c>
      <c r="BE611" s="14">
        <f>IF(N611="základní",J611,0)</f>
        <v>0</v>
      </c>
      <c r="BF611" s="14">
        <f>IF(N611="snížená",J611,0)</f>
        <v>0</v>
      </c>
      <c r="BG611" s="14">
        <f>IF(N611="zákl. přenesená",J611,0)</f>
        <v>0</v>
      </c>
      <c r="BH611" s="14">
        <f>IF(N611="sníž. přenesená",J611,0)</f>
        <v>0</v>
      </c>
      <c r="BI611" s="14">
        <f>IF(N611="nulová",J611,0)</f>
        <v>0</v>
      </c>
      <c r="BJ611" s="13" t="s">
        <v>74</v>
      </c>
      <c r="BK611" s="14">
        <f>ROUND(I611*H611,2)</f>
        <v>0</v>
      </c>
      <c r="BL611" s="13" t="s">
        <v>135</v>
      </c>
      <c r="BM611" s="12" t="s">
        <v>947</v>
      </c>
    </row>
    <row r="612" spans="1:65" s="5" customFormat="1" ht="19.5" x14ac:dyDescent="0.2">
      <c r="A612" s="105"/>
      <c r="B612" s="140"/>
      <c r="C612" s="17"/>
      <c r="D612" s="141" t="s">
        <v>148</v>
      </c>
      <c r="E612" s="17"/>
      <c r="F612" s="142" t="s">
        <v>737</v>
      </c>
      <c r="G612" s="17"/>
      <c r="H612" s="17"/>
      <c r="I612" s="17"/>
      <c r="J612" s="17"/>
      <c r="K612" s="143"/>
      <c r="L612" s="17"/>
      <c r="M612" s="15"/>
      <c r="N612" s="16"/>
      <c r="O612" s="17"/>
      <c r="P612" s="17"/>
      <c r="Q612" s="17"/>
      <c r="R612" s="17"/>
      <c r="S612" s="17"/>
      <c r="T612" s="18"/>
      <c r="U612" s="105"/>
      <c r="V612" s="17"/>
      <c r="W612" s="17"/>
      <c r="X612" s="17"/>
      <c r="Y612" s="17"/>
      <c r="Z612" s="17"/>
      <c r="AA612" s="17"/>
      <c r="AB612" s="17"/>
      <c r="AC612" s="105"/>
      <c r="AD612" s="105"/>
      <c r="AE612" s="105"/>
      <c r="AT612" s="13" t="s">
        <v>148</v>
      </c>
      <c r="AU612" s="13" t="s">
        <v>74</v>
      </c>
    </row>
    <row r="613" spans="1:65" s="5" customFormat="1" ht="16.5" customHeight="1" x14ac:dyDescent="0.2">
      <c r="A613" s="105"/>
      <c r="B613" s="140"/>
      <c r="C613" s="33" t="s">
        <v>948</v>
      </c>
      <c r="D613" s="33" t="s">
        <v>131</v>
      </c>
      <c r="E613" s="34" t="s">
        <v>741</v>
      </c>
      <c r="F613" s="7" t="s">
        <v>742</v>
      </c>
      <c r="G613" s="35" t="s">
        <v>134</v>
      </c>
      <c r="H613" s="36">
        <v>2</v>
      </c>
      <c r="I613" s="1"/>
      <c r="J613" s="6">
        <f>ROUND(I613*H613,2)</f>
        <v>0</v>
      </c>
      <c r="K613" s="151" t="s">
        <v>1</v>
      </c>
      <c r="L613" s="17"/>
      <c r="M613" s="8" t="s">
        <v>1</v>
      </c>
      <c r="N613" s="9" t="s">
        <v>33</v>
      </c>
      <c r="O613" s="10">
        <v>0</v>
      </c>
      <c r="P613" s="10">
        <f>O613*H613</f>
        <v>0</v>
      </c>
      <c r="Q613" s="10">
        <v>0</v>
      </c>
      <c r="R613" s="10">
        <f>Q613*H613</f>
        <v>0</v>
      </c>
      <c r="S613" s="10">
        <v>0</v>
      </c>
      <c r="T613" s="11">
        <f>S613*H613</f>
        <v>0</v>
      </c>
      <c r="U613" s="105"/>
      <c r="V613" s="17"/>
      <c r="W613" s="17"/>
      <c r="X613" s="17"/>
      <c r="Y613" s="17"/>
      <c r="Z613" s="17"/>
      <c r="AA613" s="17"/>
      <c r="AB613" s="17"/>
      <c r="AC613" s="105"/>
      <c r="AD613" s="105"/>
      <c r="AE613" s="105"/>
      <c r="AR613" s="12" t="s">
        <v>135</v>
      </c>
      <c r="AT613" s="12" t="s">
        <v>131</v>
      </c>
      <c r="AU613" s="12" t="s">
        <v>74</v>
      </c>
      <c r="AY613" s="13" t="s">
        <v>130</v>
      </c>
      <c r="BE613" s="14">
        <f>IF(N613="základní",J613,0)</f>
        <v>0</v>
      </c>
      <c r="BF613" s="14">
        <f>IF(N613="snížená",J613,0)</f>
        <v>0</v>
      </c>
      <c r="BG613" s="14">
        <f>IF(N613="zákl. přenesená",J613,0)</f>
        <v>0</v>
      </c>
      <c r="BH613" s="14">
        <f>IF(N613="sníž. přenesená",J613,0)</f>
        <v>0</v>
      </c>
      <c r="BI613" s="14">
        <f>IF(N613="nulová",J613,0)</f>
        <v>0</v>
      </c>
      <c r="BJ613" s="13" t="s">
        <v>74</v>
      </c>
      <c r="BK613" s="14">
        <f>ROUND(I613*H613,2)</f>
        <v>0</v>
      </c>
      <c r="BL613" s="13" t="s">
        <v>135</v>
      </c>
      <c r="BM613" s="12" t="s">
        <v>949</v>
      </c>
    </row>
    <row r="614" spans="1:65" s="5" customFormat="1" ht="39" x14ac:dyDescent="0.2">
      <c r="A614" s="105"/>
      <c r="B614" s="140"/>
      <c r="C614" s="17"/>
      <c r="D614" s="141" t="s">
        <v>148</v>
      </c>
      <c r="E614" s="17"/>
      <c r="F614" s="142" t="s">
        <v>743</v>
      </c>
      <c r="G614" s="17"/>
      <c r="H614" s="17"/>
      <c r="I614" s="17"/>
      <c r="J614" s="17"/>
      <c r="K614" s="143"/>
      <c r="L614" s="17"/>
      <c r="M614" s="15"/>
      <c r="N614" s="16"/>
      <c r="O614" s="17"/>
      <c r="P614" s="17"/>
      <c r="Q614" s="17"/>
      <c r="R614" s="17"/>
      <c r="S614" s="17"/>
      <c r="T614" s="18"/>
      <c r="U614" s="105"/>
      <c r="V614" s="17"/>
      <c r="W614" s="17"/>
      <c r="X614" s="17"/>
      <c r="Y614" s="17"/>
      <c r="Z614" s="17"/>
      <c r="AA614" s="17"/>
      <c r="AB614" s="17"/>
      <c r="AC614" s="105"/>
      <c r="AD614" s="105"/>
      <c r="AE614" s="105"/>
      <c r="AT614" s="13" t="s">
        <v>148</v>
      </c>
      <c r="AU614" s="13" t="s">
        <v>74</v>
      </c>
    </row>
    <row r="615" spans="1:65" s="5" customFormat="1" ht="16.5" customHeight="1" x14ac:dyDescent="0.2">
      <c r="A615" s="105"/>
      <c r="B615" s="140"/>
      <c r="C615" s="33" t="s">
        <v>581</v>
      </c>
      <c r="D615" s="33" t="s">
        <v>131</v>
      </c>
      <c r="E615" s="34" t="s">
        <v>744</v>
      </c>
      <c r="F615" s="7" t="s">
        <v>745</v>
      </c>
      <c r="G615" s="35" t="s">
        <v>134</v>
      </c>
      <c r="H615" s="36">
        <v>2</v>
      </c>
      <c r="I615" s="1"/>
      <c r="J615" s="6">
        <f>ROUND(I615*H615,2)</f>
        <v>0</v>
      </c>
      <c r="K615" s="151" t="s">
        <v>1</v>
      </c>
      <c r="L615" s="17"/>
      <c r="M615" s="8" t="s">
        <v>1</v>
      </c>
      <c r="N615" s="9" t="s">
        <v>33</v>
      </c>
      <c r="O615" s="10">
        <v>0</v>
      </c>
      <c r="P615" s="10">
        <f>O615*H615</f>
        <v>0</v>
      </c>
      <c r="Q615" s="10">
        <v>0</v>
      </c>
      <c r="R615" s="10">
        <f>Q615*H615</f>
        <v>0</v>
      </c>
      <c r="S615" s="10">
        <v>0</v>
      </c>
      <c r="T615" s="11">
        <f>S615*H615</f>
        <v>0</v>
      </c>
      <c r="U615" s="105"/>
      <c r="V615" s="17"/>
      <c r="W615" s="17"/>
      <c r="X615" s="17"/>
      <c r="Y615" s="17"/>
      <c r="Z615" s="17"/>
      <c r="AA615" s="17"/>
      <c r="AB615" s="17"/>
      <c r="AC615" s="105"/>
      <c r="AD615" s="105"/>
      <c r="AE615" s="105"/>
      <c r="AR615" s="12" t="s">
        <v>135</v>
      </c>
      <c r="AT615" s="12" t="s">
        <v>131</v>
      </c>
      <c r="AU615" s="12" t="s">
        <v>74</v>
      </c>
      <c r="AY615" s="13" t="s">
        <v>130</v>
      </c>
      <c r="BE615" s="14">
        <f>IF(N615="základní",J615,0)</f>
        <v>0</v>
      </c>
      <c r="BF615" s="14">
        <f>IF(N615="snížená",J615,0)</f>
        <v>0</v>
      </c>
      <c r="BG615" s="14">
        <f>IF(N615="zákl. přenesená",J615,0)</f>
        <v>0</v>
      </c>
      <c r="BH615" s="14">
        <f>IF(N615="sníž. přenesená",J615,0)</f>
        <v>0</v>
      </c>
      <c r="BI615" s="14">
        <f>IF(N615="nulová",J615,0)</f>
        <v>0</v>
      </c>
      <c r="BJ615" s="13" t="s">
        <v>74</v>
      </c>
      <c r="BK615" s="14">
        <f>ROUND(I615*H615,2)</f>
        <v>0</v>
      </c>
      <c r="BL615" s="13" t="s">
        <v>135</v>
      </c>
      <c r="BM615" s="12" t="s">
        <v>950</v>
      </c>
    </row>
    <row r="616" spans="1:65" s="5" customFormat="1" ht="16.5" customHeight="1" x14ac:dyDescent="0.2">
      <c r="A616" s="105"/>
      <c r="B616" s="140"/>
      <c r="C616" s="33" t="s">
        <v>951</v>
      </c>
      <c r="D616" s="33" t="s">
        <v>131</v>
      </c>
      <c r="E616" s="34" t="s">
        <v>784</v>
      </c>
      <c r="F616" s="7" t="s">
        <v>785</v>
      </c>
      <c r="G616" s="35" t="s">
        <v>134</v>
      </c>
      <c r="H616" s="36">
        <v>1</v>
      </c>
      <c r="I616" s="1"/>
      <c r="J616" s="6">
        <f>ROUND(I616*H616,2)</f>
        <v>0</v>
      </c>
      <c r="K616" s="151" t="s">
        <v>1</v>
      </c>
      <c r="L616" s="17"/>
      <c r="M616" s="8" t="s">
        <v>1</v>
      </c>
      <c r="N616" s="9" t="s">
        <v>33</v>
      </c>
      <c r="O616" s="10">
        <v>0</v>
      </c>
      <c r="P616" s="10">
        <f>O616*H616</f>
        <v>0</v>
      </c>
      <c r="Q616" s="10">
        <v>0</v>
      </c>
      <c r="R616" s="10">
        <f>Q616*H616</f>
        <v>0</v>
      </c>
      <c r="S616" s="10">
        <v>0</v>
      </c>
      <c r="T616" s="11">
        <f>S616*H616</f>
        <v>0</v>
      </c>
      <c r="U616" s="105"/>
      <c r="V616" s="17"/>
      <c r="W616" s="17"/>
      <c r="X616" s="17"/>
      <c r="Y616" s="17"/>
      <c r="Z616" s="17"/>
      <c r="AA616" s="17"/>
      <c r="AB616" s="17"/>
      <c r="AC616" s="105"/>
      <c r="AD616" s="105"/>
      <c r="AE616" s="105"/>
      <c r="AR616" s="12" t="s">
        <v>135</v>
      </c>
      <c r="AT616" s="12" t="s">
        <v>131</v>
      </c>
      <c r="AU616" s="12" t="s">
        <v>74</v>
      </c>
      <c r="AY616" s="13" t="s">
        <v>130</v>
      </c>
      <c r="BE616" s="14">
        <f>IF(N616="základní",J616,0)</f>
        <v>0</v>
      </c>
      <c r="BF616" s="14">
        <f>IF(N616="snížená",J616,0)</f>
        <v>0</v>
      </c>
      <c r="BG616" s="14">
        <f>IF(N616="zákl. přenesená",J616,0)</f>
        <v>0</v>
      </c>
      <c r="BH616" s="14">
        <f>IF(N616="sníž. přenesená",J616,0)</f>
        <v>0</v>
      </c>
      <c r="BI616" s="14">
        <f>IF(N616="nulová",J616,0)</f>
        <v>0</v>
      </c>
      <c r="BJ616" s="13" t="s">
        <v>74</v>
      </c>
      <c r="BK616" s="14">
        <f>ROUND(I616*H616,2)</f>
        <v>0</v>
      </c>
      <c r="BL616" s="13" t="s">
        <v>135</v>
      </c>
      <c r="BM616" s="12" t="s">
        <v>952</v>
      </c>
    </row>
    <row r="617" spans="1:65" s="5" customFormat="1" ht="16.5" customHeight="1" x14ac:dyDescent="0.2">
      <c r="A617" s="105"/>
      <c r="B617" s="140"/>
      <c r="C617" s="33" t="s">
        <v>582</v>
      </c>
      <c r="D617" s="33" t="s">
        <v>131</v>
      </c>
      <c r="E617" s="34" t="s">
        <v>906</v>
      </c>
      <c r="F617" s="7" t="s">
        <v>907</v>
      </c>
      <c r="G617" s="35" t="s">
        <v>134</v>
      </c>
      <c r="H617" s="36">
        <v>21.533000000000001</v>
      </c>
      <c r="I617" s="1"/>
      <c r="J617" s="6">
        <f>ROUND(I617*H617,2)</f>
        <v>0</v>
      </c>
      <c r="K617" s="151" t="s">
        <v>1</v>
      </c>
      <c r="L617" s="17"/>
      <c r="M617" s="8" t="s">
        <v>1</v>
      </c>
      <c r="N617" s="9" t="s">
        <v>33</v>
      </c>
      <c r="O617" s="10">
        <v>0</v>
      </c>
      <c r="P617" s="10">
        <f>O617*H617</f>
        <v>0</v>
      </c>
      <c r="Q617" s="10">
        <v>0</v>
      </c>
      <c r="R617" s="10">
        <f>Q617*H617</f>
        <v>0</v>
      </c>
      <c r="S617" s="10">
        <v>0</v>
      </c>
      <c r="T617" s="11">
        <f>S617*H617</f>
        <v>0</v>
      </c>
      <c r="U617" s="105"/>
      <c r="V617" s="17"/>
      <c r="W617" s="17"/>
      <c r="X617" s="17"/>
      <c r="Y617" s="17"/>
      <c r="Z617" s="17"/>
      <c r="AA617" s="17"/>
      <c r="AB617" s="17"/>
      <c r="AC617" s="105"/>
      <c r="AD617" s="105"/>
      <c r="AE617" s="105"/>
      <c r="AR617" s="12" t="s">
        <v>135</v>
      </c>
      <c r="AT617" s="12" t="s">
        <v>131</v>
      </c>
      <c r="AU617" s="12" t="s">
        <v>74</v>
      </c>
      <c r="AY617" s="13" t="s">
        <v>130</v>
      </c>
      <c r="BE617" s="14">
        <f>IF(N617="základní",J617,0)</f>
        <v>0</v>
      </c>
      <c r="BF617" s="14">
        <f>IF(N617="snížená",J617,0)</f>
        <v>0</v>
      </c>
      <c r="BG617" s="14">
        <f>IF(N617="zákl. přenesená",J617,0)</f>
        <v>0</v>
      </c>
      <c r="BH617" s="14">
        <f>IF(N617="sníž. přenesená",J617,0)</f>
        <v>0</v>
      </c>
      <c r="BI617" s="14">
        <f>IF(N617="nulová",J617,0)</f>
        <v>0</v>
      </c>
      <c r="BJ617" s="13" t="s">
        <v>74</v>
      </c>
      <c r="BK617" s="14">
        <f>ROUND(I617*H617,2)</f>
        <v>0</v>
      </c>
      <c r="BL617" s="13" t="s">
        <v>135</v>
      </c>
      <c r="BM617" s="12" t="s">
        <v>953</v>
      </c>
    </row>
    <row r="618" spans="1:65" s="5" customFormat="1" ht="19.5" x14ac:dyDescent="0.2">
      <c r="A618" s="105"/>
      <c r="B618" s="140"/>
      <c r="C618" s="17"/>
      <c r="D618" s="141" t="s">
        <v>148</v>
      </c>
      <c r="E618" s="17"/>
      <c r="F618" s="142" t="s">
        <v>909</v>
      </c>
      <c r="G618" s="17"/>
      <c r="H618" s="17"/>
      <c r="I618" s="17"/>
      <c r="J618" s="17"/>
      <c r="K618" s="143"/>
      <c r="L618" s="17"/>
      <c r="M618" s="15"/>
      <c r="N618" s="16"/>
      <c r="O618" s="17"/>
      <c r="P618" s="17"/>
      <c r="Q618" s="17"/>
      <c r="R618" s="17"/>
      <c r="S618" s="17"/>
      <c r="T618" s="18"/>
      <c r="U618" s="105"/>
      <c r="V618" s="17"/>
      <c r="W618" s="17"/>
      <c r="X618" s="17"/>
      <c r="Y618" s="17"/>
      <c r="Z618" s="17"/>
      <c r="AA618" s="17"/>
      <c r="AB618" s="17"/>
      <c r="AC618" s="105"/>
      <c r="AD618" s="105"/>
      <c r="AE618" s="105"/>
      <c r="AT618" s="13" t="s">
        <v>148</v>
      </c>
      <c r="AU618" s="13" t="s">
        <v>74</v>
      </c>
    </row>
    <row r="619" spans="1:65" s="5" customFormat="1" ht="16.5" customHeight="1" x14ac:dyDescent="0.2">
      <c r="A619" s="105"/>
      <c r="B619" s="140"/>
      <c r="C619" s="33" t="s">
        <v>954</v>
      </c>
      <c r="D619" s="33" t="s">
        <v>131</v>
      </c>
      <c r="E619" s="34" t="s">
        <v>776</v>
      </c>
      <c r="F619" s="7" t="s">
        <v>777</v>
      </c>
      <c r="G619" s="35" t="s">
        <v>134</v>
      </c>
      <c r="H619" s="36">
        <v>4.09</v>
      </c>
      <c r="I619" s="1"/>
      <c r="J619" s="6">
        <f>ROUND(I619*H619,2)</f>
        <v>0</v>
      </c>
      <c r="K619" s="151" t="s">
        <v>1</v>
      </c>
      <c r="L619" s="17"/>
      <c r="M619" s="8" t="s">
        <v>1</v>
      </c>
      <c r="N619" s="9" t="s">
        <v>33</v>
      </c>
      <c r="O619" s="10">
        <v>0</v>
      </c>
      <c r="P619" s="10">
        <f>O619*H619</f>
        <v>0</v>
      </c>
      <c r="Q619" s="10">
        <v>0</v>
      </c>
      <c r="R619" s="10">
        <f>Q619*H619</f>
        <v>0</v>
      </c>
      <c r="S619" s="10">
        <v>0</v>
      </c>
      <c r="T619" s="11">
        <f>S619*H619</f>
        <v>0</v>
      </c>
      <c r="U619" s="105"/>
      <c r="V619" s="17"/>
      <c r="W619" s="17"/>
      <c r="X619" s="17"/>
      <c r="Y619" s="17"/>
      <c r="Z619" s="17"/>
      <c r="AA619" s="17"/>
      <c r="AB619" s="17"/>
      <c r="AC619" s="105"/>
      <c r="AD619" s="105"/>
      <c r="AE619" s="105"/>
      <c r="AR619" s="12" t="s">
        <v>135</v>
      </c>
      <c r="AT619" s="12" t="s">
        <v>131</v>
      </c>
      <c r="AU619" s="12" t="s">
        <v>74</v>
      </c>
      <c r="AY619" s="13" t="s">
        <v>130</v>
      </c>
      <c r="BE619" s="14">
        <f>IF(N619="základní",J619,0)</f>
        <v>0</v>
      </c>
      <c r="BF619" s="14">
        <f>IF(N619="snížená",J619,0)</f>
        <v>0</v>
      </c>
      <c r="BG619" s="14">
        <f>IF(N619="zákl. přenesená",J619,0)</f>
        <v>0</v>
      </c>
      <c r="BH619" s="14">
        <f>IF(N619="sníž. přenesená",J619,0)</f>
        <v>0</v>
      </c>
      <c r="BI619" s="14">
        <f>IF(N619="nulová",J619,0)</f>
        <v>0</v>
      </c>
      <c r="BJ619" s="13" t="s">
        <v>74</v>
      </c>
      <c r="BK619" s="14">
        <f>ROUND(I619*H619,2)</f>
        <v>0</v>
      </c>
      <c r="BL619" s="13" t="s">
        <v>135</v>
      </c>
      <c r="BM619" s="12" t="s">
        <v>955</v>
      </c>
    </row>
    <row r="620" spans="1:65" s="5" customFormat="1" ht="19.5" x14ac:dyDescent="0.2">
      <c r="A620" s="105"/>
      <c r="B620" s="140"/>
      <c r="C620" s="17"/>
      <c r="D620" s="141" t="s">
        <v>148</v>
      </c>
      <c r="E620" s="17"/>
      <c r="F620" s="142" t="s">
        <v>885</v>
      </c>
      <c r="G620" s="17"/>
      <c r="H620" s="17"/>
      <c r="I620" s="17"/>
      <c r="J620" s="17"/>
      <c r="K620" s="143"/>
      <c r="L620" s="17"/>
      <c r="M620" s="15"/>
      <c r="N620" s="16"/>
      <c r="O620" s="17"/>
      <c r="P620" s="17"/>
      <c r="Q620" s="17"/>
      <c r="R620" s="17"/>
      <c r="S620" s="17"/>
      <c r="T620" s="18"/>
      <c r="U620" s="105"/>
      <c r="V620" s="17"/>
      <c r="W620" s="17"/>
      <c r="X620" s="17"/>
      <c r="Y620" s="17"/>
      <c r="Z620" s="17"/>
      <c r="AA620" s="17"/>
      <c r="AB620" s="17"/>
      <c r="AC620" s="105"/>
      <c r="AD620" s="105"/>
      <c r="AE620" s="105"/>
      <c r="AT620" s="13" t="s">
        <v>148</v>
      </c>
      <c r="AU620" s="13" t="s">
        <v>74</v>
      </c>
    </row>
    <row r="621" spans="1:65" s="5" customFormat="1" ht="16.5" customHeight="1" x14ac:dyDescent="0.2">
      <c r="A621" s="105"/>
      <c r="B621" s="140"/>
      <c r="C621" s="33" t="s">
        <v>584</v>
      </c>
      <c r="D621" s="33" t="s">
        <v>131</v>
      </c>
      <c r="E621" s="34" t="s">
        <v>758</v>
      </c>
      <c r="F621" s="7" t="s">
        <v>759</v>
      </c>
      <c r="G621" s="35" t="s">
        <v>134</v>
      </c>
      <c r="H621" s="36">
        <v>8.9039999999999999</v>
      </c>
      <c r="I621" s="1"/>
      <c r="J621" s="6">
        <f>ROUND(I621*H621,2)</f>
        <v>0</v>
      </c>
      <c r="K621" s="151" t="s">
        <v>1</v>
      </c>
      <c r="L621" s="17"/>
      <c r="M621" s="8" t="s">
        <v>1</v>
      </c>
      <c r="N621" s="9" t="s">
        <v>33</v>
      </c>
      <c r="O621" s="10">
        <v>0</v>
      </c>
      <c r="P621" s="10">
        <f>O621*H621</f>
        <v>0</v>
      </c>
      <c r="Q621" s="10">
        <v>0</v>
      </c>
      <c r="R621" s="10">
        <f>Q621*H621</f>
        <v>0</v>
      </c>
      <c r="S621" s="10">
        <v>0</v>
      </c>
      <c r="T621" s="11">
        <f>S621*H621</f>
        <v>0</v>
      </c>
      <c r="U621" s="105"/>
      <c r="V621" s="17"/>
      <c r="W621" s="17"/>
      <c r="X621" s="17"/>
      <c r="Y621" s="17"/>
      <c r="Z621" s="17"/>
      <c r="AA621" s="17"/>
      <c r="AB621" s="17"/>
      <c r="AC621" s="105"/>
      <c r="AD621" s="105"/>
      <c r="AE621" s="105"/>
      <c r="AR621" s="12" t="s">
        <v>135</v>
      </c>
      <c r="AT621" s="12" t="s">
        <v>131</v>
      </c>
      <c r="AU621" s="12" t="s">
        <v>74</v>
      </c>
      <c r="AY621" s="13" t="s">
        <v>130</v>
      </c>
      <c r="BE621" s="14">
        <f>IF(N621="základní",J621,0)</f>
        <v>0</v>
      </c>
      <c r="BF621" s="14">
        <f>IF(N621="snížená",J621,0)</f>
        <v>0</v>
      </c>
      <c r="BG621" s="14">
        <f>IF(N621="zákl. přenesená",J621,0)</f>
        <v>0</v>
      </c>
      <c r="BH621" s="14">
        <f>IF(N621="sníž. přenesená",J621,0)</f>
        <v>0</v>
      </c>
      <c r="BI621" s="14">
        <f>IF(N621="nulová",J621,0)</f>
        <v>0</v>
      </c>
      <c r="BJ621" s="13" t="s">
        <v>74</v>
      </c>
      <c r="BK621" s="14">
        <f>ROUND(I621*H621,2)</f>
        <v>0</v>
      </c>
      <c r="BL621" s="13" t="s">
        <v>135</v>
      </c>
      <c r="BM621" s="12" t="s">
        <v>956</v>
      </c>
    </row>
    <row r="622" spans="1:65" s="5" customFormat="1" x14ac:dyDescent="0.2">
      <c r="B622" s="177"/>
      <c r="C622" s="16"/>
      <c r="D622" s="178" t="s">
        <v>340</v>
      </c>
      <c r="E622" s="16"/>
      <c r="F622" s="200" t="s">
        <v>1282</v>
      </c>
      <c r="G622" s="16"/>
      <c r="H622" s="16">
        <f>((2.36+1.44+0.29+0.27+2)*1.4)</f>
        <v>8.9039999999999981</v>
      </c>
      <c r="I622" s="16"/>
      <c r="J622" s="16"/>
      <c r="K622" s="181"/>
      <c r="L622" s="52"/>
      <c r="M622" s="52"/>
      <c r="N622" s="52"/>
      <c r="O622" s="52"/>
      <c r="P622" s="52"/>
      <c r="Q622" s="52"/>
      <c r="R622" s="52"/>
      <c r="S622" s="128"/>
      <c r="V622" s="16"/>
      <c r="W622" s="16"/>
      <c r="X622" s="16"/>
      <c r="Y622" s="16"/>
      <c r="Z622" s="16"/>
      <c r="AA622" s="16"/>
      <c r="AB622" s="16"/>
      <c r="AZ622" s="126" t="s">
        <v>148</v>
      </c>
      <c r="BA622" s="126" t="s">
        <v>74</v>
      </c>
    </row>
    <row r="623" spans="1:65" s="5" customFormat="1" ht="21.75" customHeight="1" x14ac:dyDescent="0.2">
      <c r="A623" s="105"/>
      <c r="B623" s="140"/>
      <c r="C623" s="33" t="s">
        <v>957</v>
      </c>
      <c r="D623" s="33" t="s">
        <v>131</v>
      </c>
      <c r="E623" s="34" t="s">
        <v>748</v>
      </c>
      <c r="F623" s="7" t="s">
        <v>749</v>
      </c>
      <c r="G623" s="35" t="s">
        <v>134</v>
      </c>
      <c r="H623" s="36">
        <v>15.9</v>
      </c>
      <c r="I623" s="1"/>
      <c r="J623" s="6">
        <f>ROUND(I623*H623,2)</f>
        <v>0</v>
      </c>
      <c r="K623" s="151" t="s">
        <v>1</v>
      </c>
      <c r="L623" s="17"/>
      <c r="M623" s="8" t="s">
        <v>1</v>
      </c>
      <c r="N623" s="9" t="s">
        <v>33</v>
      </c>
      <c r="O623" s="10">
        <v>0</v>
      </c>
      <c r="P623" s="10">
        <f>O623*H623</f>
        <v>0</v>
      </c>
      <c r="Q623" s="10">
        <v>0</v>
      </c>
      <c r="R623" s="10">
        <f>Q623*H623</f>
        <v>0</v>
      </c>
      <c r="S623" s="10">
        <v>0</v>
      </c>
      <c r="T623" s="11">
        <f>S623*H623</f>
        <v>0</v>
      </c>
      <c r="U623" s="105"/>
      <c r="V623" s="17"/>
      <c r="W623" s="17"/>
      <c r="X623" s="17"/>
      <c r="Y623" s="17"/>
      <c r="Z623" s="17"/>
      <c r="AA623" s="17"/>
      <c r="AB623" s="17"/>
      <c r="AC623" s="105"/>
      <c r="AD623" s="105"/>
      <c r="AE623" s="105"/>
      <c r="AR623" s="12" t="s">
        <v>135</v>
      </c>
      <c r="AT623" s="12" t="s">
        <v>131</v>
      </c>
      <c r="AU623" s="12" t="s">
        <v>74</v>
      </c>
      <c r="AY623" s="13" t="s">
        <v>130</v>
      </c>
      <c r="BE623" s="14">
        <f>IF(N623="základní",J623,0)</f>
        <v>0</v>
      </c>
      <c r="BF623" s="14">
        <f>IF(N623="snížená",J623,0)</f>
        <v>0</v>
      </c>
      <c r="BG623" s="14">
        <f>IF(N623="zákl. přenesená",J623,0)</f>
        <v>0</v>
      </c>
      <c r="BH623" s="14">
        <f>IF(N623="sníž. přenesená",J623,0)</f>
        <v>0</v>
      </c>
      <c r="BI623" s="14">
        <f>IF(N623="nulová",J623,0)</f>
        <v>0</v>
      </c>
      <c r="BJ623" s="13" t="s">
        <v>74</v>
      </c>
      <c r="BK623" s="14">
        <f>ROUND(I623*H623,2)</f>
        <v>0</v>
      </c>
      <c r="BL623" s="13" t="s">
        <v>135</v>
      </c>
      <c r="BM623" s="12" t="s">
        <v>958</v>
      </c>
    </row>
    <row r="624" spans="1:65" s="152" customFormat="1" x14ac:dyDescent="0.2">
      <c r="B624" s="153"/>
      <c r="C624" s="154"/>
      <c r="D624" s="141" t="s">
        <v>340</v>
      </c>
      <c r="E624" s="155" t="s">
        <v>1</v>
      </c>
      <c r="F624" s="156" t="s">
        <v>959</v>
      </c>
      <c r="G624" s="154"/>
      <c r="H624" s="157"/>
      <c r="I624" s="154"/>
      <c r="J624" s="154"/>
      <c r="K624" s="158"/>
      <c r="L624" s="154"/>
      <c r="M624" s="159"/>
      <c r="N624" s="154"/>
      <c r="O624" s="154"/>
      <c r="P624" s="154"/>
      <c r="Q624" s="154"/>
      <c r="R624" s="154"/>
      <c r="S624" s="154"/>
      <c r="T624" s="160"/>
      <c r="V624" s="154"/>
      <c r="W624" s="154"/>
      <c r="X624" s="154"/>
      <c r="Y624" s="154"/>
      <c r="Z624" s="154"/>
      <c r="AA624" s="154"/>
      <c r="AB624" s="154"/>
      <c r="AT624" s="161" t="s">
        <v>340</v>
      </c>
      <c r="AU624" s="161" t="s">
        <v>74</v>
      </c>
      <c r="AV624" s="152" t="s">
        <v>76</v>
      </c>
      <c r="AW624" s="152" t="s">
        <v>25</v>
      </c>
      <c r="AX624" s="152" t="s">
        <v>68</v>
      </c>
      <c r="AY624" s="161" t="s">
        <v>130</v>
      </c>
    </row>
    <row r="625" spans="1:65" s="162" customFormat="1" x14ac:dyDescent="0.2">
      <c r="B625" s="163"/>
      <c r="C625" s="164"/>
      <c r="D625" s="141" t="s">
        <v>340</v>
      </c>
      <c r="E625" s="165" t="s">
        <v>1</v>
      </c>
      <c r="F625" s="166" t="s">
        <v>342</v>
      </c>
      <c r="G625" s="164"/>
      <c r="H625" s="167">
        <v>15.9</v>
      </c>
      <c r="I625" s="164"/>
      <c r="J625" s="164"/>
      <c r="K625" s="168"/>
      <c r="L625" s="164"/>
      <c r="M625" s="169"/>
      <c r="N625" s="164"/>
      <c r="O625" s="164"/>
      <c r="P625" s="164"/>
      <c r="Q625" s="164"/>
      <c r="R625" s="164"/>
      <c r="S625" s="164"/>
      <c r="T625" s="170"/>
      <c r="V625" s="164"/>
      <c r="W625" s="164"/>
      <c r="X625" s="164"/>
      <c r="Y625" s="164"/>
      <c r="Z625" s="164"/>
      <c r="AA625" s="164"/>
      <c r="AB625" s="164"/>
      <c r="AT625" s="171" t="s">
        <v>340</v>
      </c>
      <c r="AU625" s="171" t="s">
        <v>74</v>
      </c>
      <c r="AV625" s="162" t="s">
        <v>135</v>
      </c>
      <c r="AW625" s="162" t="s">
        <v>25</v>
      </c>
      <c r="AX625" s="162" t="s">
        <v>74</v>
      </c>
      <c r="AY625" s="171" t="s">
        <v>130</v>
      </c>
    </row>
    <row r="626" spans="1:65" s="20" customFormat="1" ht="25.9" customHeight="1" x14ac:dyDescent="0.2">
      <c r="B626" s="172"/>
      <c r="C626" s="23"/>
      <c r="D626" s="173" t="s">
        <v>67</v>
      </c>
      <c r="E626" s="174" t="s">
        <v>585</v>
      </c>
      <c r="F626" s="174" t="s">
        <v>960</v>
      </c>
      <c r="G626" s="23"/>
      <c r="H626" s="23"/>
      <c r="I626" s="23"/>
      <c r="J626" s="175">
        <f>BK626</f>
        <v>0</v>
      </c>
      <c r="K626" s="176"/>
      <c r="L626" s="23"/>
      <c r="M626" s="22"/>
      <c r="N626" s="23"/>
      <c r="O626" s="23"/>
      <c r="P626" s="24">
        <f>SUM(P629:P652)</f>
        <v>0</v>
      </c>
      <c r="Q626" s="23"/>
      <c r="R626" s="24">
        <f>SUM(R629:R652)</f>
        <v>0</v>
      </c>
      <c r="S626" s="23"/>
      <c r="T626" s="25">
        <f>SUM(T629:T652)</f>
        <v>0</v>
      </c>
      <c r="V626" s="23"/>
      <c r="W626" s="23"/>
      <c r="X626" s="23"/>
      <c r="Y626" s="23"/>
      <c r="Z626" s="23"/>
      <c r="AA626" s="23"/>
      <c r="AB626" s="23"/>
      <c r="AR626" s="26" t="s">
        <v>74</v>
      </c>
      <c r="AT626" s="27" t="s">
        <v>67</v>
      </c>
      <c r="AU626" s="27" t="s">
        <v>68</v>
      </c>
      <c r="AY626" s="26" t="s">
        <v>130</v>
      </c>
      <c r="BK626" s="28">
        <f>SUM(BK629:BK652)</f>
        <v>0</v>
      </c>
    </row>
    <row r="627" spans="1:65" s="5" customFormat="1" ht="19.5" x14ac:dyDescent="0.2">
      <c r="B627" s="177"/>
      <c r="C627" s="16"/>
      <c r="D627" s="178" t="s">
        <v>340</v>
      </c>
      <c r="E627" s="16"/>
      <c r="F627" s="200" t="s">
        <v>1283</v>
      </c>
      <c r="G627" s="16"/>
      <c r="H627" s="180">
        <f>((5.11+1.64+9.61+1.62)*3.5)-(0.97*1.93)-(1.28*2.12)-(1.3*1.65)-(2*1.09*2.36)-(0.83*2.04)+(2*(0.97+1.93)*0.17)+((2.12+1.28+2.12)*0.17)+(2*(1.3+1.65)*0.3)+(2*(0.97+1.93)*0.37*2)+((2.04+0.83+2.04)*0.17)</f>
        <v>58.182399999999994</v>
      </c>
      <c r="I627" s="16"/>
      <c r="J627" s="16"/>
      <c r="K627" s="181"/>
      <c r="L627" s="52"/>
      <c r="M627" s="52"/>
      <c r="N627" s="52"/>
      <c r="O627" s="52"/>
      <c r="P627" s="52"/>
      <c r="Q627" s="52"/>
      <c r="R627" s="52"/>
      <c r="S627" s="128"/>
      <c r="V627" s="16"/>
      <c r="W627" s="16"/>
      <c r="X627" s="16"/>
      <c r="Y627" s="16"/>
      <c r="Z627" s="16"/>
      <c r="AA627" s="16"/>
      <c r="AB627" s="16"/>
      <c r="AZ627" s="126" t="s">
        <v>148</v>
      </c>
      <c r="BA627" s="126" t="s">
        <v>74</v>
      </c>
    </row>
    <row r="628" spans="1:65" s="5" customFormat="1" x14ac:dyDescent="0.2">
      <c r="B628" s="177"/>
      <c r="C628" s="16"/>
      <c r="D628" s="178" t="s">
        <v>340</v>
      </c>
      <c r="E628" s="16"/>
      <c r="F628" s="200" t="s">
        <v>1284</v>
      </c>
      <c r="G628" s="16"/>
      <c r="H628" s="180">
        <f>(5.11*2.65)+(3.14*2.57*2.57/2)</f>
        <v>23.911192999999997</v>
      </c>
      <c r="I628" s="16"/>
      <c r="J628" s="16"/>
      <c r="K628" s="181"/>
      <c r="L628" s="52"/>
      <c r="M628" s="52"/>
      <c r="N628" s="52"/>
      <c r="O628" s="52"/>
      <c r="P628" s="52"/>
      <c r="Q628" s="52"/>
      <c r="R628" s="52"/>
      <c r="S628" s="128"/>
      <c r="V628" s="16"/>
      <c r="W628" s="16"/>
      <c r="X628" s="16"/>
      <c r="Y628" s="16"/>
      <c r="Z628" s="16"/>
      <c r="AA628" s="16"/>
      <c r="AB628" s="16"/>
      <c r="AZ628" s="126" t="s">
        <v>148</v>
      </c>
      <c r="BA628" s="126" t="s">
        <v>74</v>
      </c>
    </row>
    <row r="629" spans="1:65" s="5" customFormat="1" ht="16.5" customHeight="1" x14ac:dyDescent="0.2">
      <c r="A629" s="105"/>
      <c r="B629" s="140"/>
      <c r="C629" s="33" t="s">
        <v>588</v>
      </c>
      <c r="D629" s="33" t="s">
        <v>131</v>
      </c>
      <c r="E629" s="34" t="s">
        <v>713</v>
      </c>
      <c r="F629" s="7" t="s">
        <v>714</v>
      </c>
      <c r="G629" s="35" t="s">
        <v>134</v>
      </c>
      <c r="H629" s="36">
        <v>82.093000000000004</v>
      </c>
      <c r="I629" s="1"/>
      <c r="J629" s="6">
        <f>ROUND(I629*H629,2)</f>
        <v>0</v>
      </c>
      <c r="K629" s="151" t="s">
        <v>1</v>
      </c>
      <c r="L629" s="17"/>
      <c r="M629" s="8" t="s">
        <v>1</v>
      </c>
      <c r="N629" s="9" t="s">
        <v>33</v>
      </c>
      <c r="O629" s="10">
        <v>0</v>
      </c>
      <c r="P629" s="10">
        <f>O629*H629</f>
        <v>0</v>
      </c>
      <c r="Q629" s="10">
        <v>0</v>
      </c>
      <c r="R629" s="10">
        <f>Q629*H629</f>
        <v>0</v>
      </c>
      <c r="S629" s="10">
        <v>0</v>
      </c>
      <c r="T629" s="11">
        <f>S629*H629</f>
        <v>0</v>
      </c>
      <c r="U629" s="105"/>
      <c r="V629" s="17"/>
      <c r="W629" s="17"/>
      <c r="X629" s="17"/>
      <c r="Y629" s="17"/>
      <c r="Z629" s="17"/>
      <c r="AA629" s="17"/>
      <c r="AB629" s="17"/>
      <c r="AC629" s="105"/>
      <c r="AD629" s="105"/>
      <c r="AE629" s="105"/>
      <c r="AR629" s="12" t="s">
        <v>135</v>
      </c>
      <c r="AT629" s="12" t="s">
        <v>131</v>
      </c>
      <c r="AU629" s="12" t="s">
        <v>74</v>
      </c>
      <c r="AY629" s="13" t="s">
        <v>130</v>
      </c>
      <c r="BE629" s="14">
        <f>IF(N629="základní",J629,0)</f>
        <v>0</v>
      </c>
      <c r="BF629" s="14">
        <f>IF(N629="snížená",J629,0)</f>
        <v>0</v>
      </c>
      <c r="BG629" s="14">
        <f>IF(N629="zákl. přenesená",J629,0)</f>
        <v>0</v>
      </c>
      <c r="BH629" s="14">
        <f>IF(N629="sníž. přenesená",J629,0)</f>
        <v>0</v>
      </c>
      <c r="BI629" s="14">
        <f>IF(N629="nulová",J629,0)</f>
        <v>0</v>
      </c>
      <c r="BJ629" s="13" t="s">
        <v>74</v>
      </c>
      <c r="BK629" s="14">
        <f>ROUND(I629*H629,2)</f>
        <v>0</v>
      </c>
      <c r="BL629" s="13" t="s">
        <v>135</v>
      </c>
      <c r="BM629" s="12" t="s">
        <v>961</v>
      </c>
    </row>
    <row r="630" spans="1:65" s="152" customFormat="1" x14ac:dyDescent="0.2">
      <c r="B630" s="153"/>
      <c r="C630" s="154"/>
      <c r="D630" s="141" t="s">
        <v>340</v>
      </c>
      <c r="E630" s="155" t="s">
        <v>1</v>
      </c>
      <c r="F630" s="156" t="s">
        <v>962</v>
      </c>
      <c r="G630" s="154"/>
      <c r="H630" s="157"/>
      <c r="I630" s="154"/>
      <c r="J630" s="154"/>
      <c r="K630" s="158"/>
      <c r="L630" s="154"/>
      <c r="M630" s="159"/>
      <c r="N630" s="154"/>
      <c r="O630" s="154"/>
      <c r="P630" s="154"/>
      <c r="Q630" s="154"/>
      <c r="R630" s="154"/>
      <c r="S630" s="154"/>
      <c r="T630" s="160"/>
      <c r="V630" s="154"/>
      <c r="W630" s="154"/>
      <c r="X630" s="154"/>
      <c r="Y630" s="154"/>
      <c r="Z630" s="154"/>
      <c r="AA630" s="154"/>
      <c r="AB630" s="154"/>
      <c r="AT630" s="161" t="s">
        <v>340</v>
      </c>
      <c r="AU630" s="161" t="s">
        <v>74</v>
      </c>
      <c r="AV630" s="152" t="s">
        <v>76</v>
      </c>
      <c r="AW630" s="152" t="s">
        <v>25</v>
      </c>
      <c r="AX630" s="152" t="s">
        <v>68</v>
      </c>
      <c r="AY630" s="161" t="s">
        <v>130</v>
      </c>
    </row>
    <row r="631" spans="1:65" s="162" customFormat="1" x14ac:dyDescent="0.2">
      <c r="B631" s="163"/>
      <c r="C631" s="164"/>
      <c r="D631" s="141" t="s">
        <v>340</v>
      </c>
      <c r="E631" s="165" t="s">
        <v>1</v>
      </c>
      <c r="F631" s="166" t="s">
        <v>342</v>
      </c>
      <c r="G631" s="164"/>
      <c r="H631" s="167">
        <v>82.093000000000004</v>
      </c>
      <c r="I631" s="164"/>
      <c r="J631" s="164"/>
      <c r="K631" s="168"/>
      <c r="L631" s="164"/>
      <c r="M631" s="169"/>
      <c r="N631" s="164"/>
      <c r="O631" s="164"/>
      <c r="P631" s="164"/>
      <c r="Q631" s="164"/>
      <c r="R631" s="164"/>
      <c r="S631" s="164"/>
      <c r="T631" s="170"/>
      <c r="V631" s="164"/>
      <c r="W631" s="164"/>
      <c r="X631" s="164"/>
      <c r="Y631" s="164"/>
      <c r="Z631" s="164"/>
      <c r="AA631" s="164"/>
      <c r="AB631" s="164"/>
      <c r="AT631" s="171" t="s">
        <v>340</v>
      </c>
      <c r="AU631" s="171" t="s">
        <v>74</v>
      </c>
      <c r="AV631" s="162" t="s">
        <v>135</v>
      </c>
      <c r="AW631" s="162" t="s">
        <v>25</v>
      </c>
      <c r="AX631" s="162" t="s">
        <v>74</v>
      </c>
      <c r="AY631" s="171" t="s">
        <v>130</v>
      </c>
    </row>
    <row r="632" spans="1:65" s="5" customFormat="1" ht="16.5" customHeight="1" x14ac:dyDescent="0.2">
      <c r="A632" s="105"/>
      <c r="B632" s="140"/>
      <c r="C632" s="33" t="s">
        <v>963</v>
      </c>
      <c r="D632" s="33" t="s">
        <v>131</v>
      </c>
      <c r="E632" s="34" t="s">
        <v>716</v>
      </c>
      <c r="F632" s="7" t="s">
        <v>717</v>
      </c>
      <c r="G632" s="35" t="s">
        <v>134</v>
      </c>
      <c r="H632" s="36">
        <v>16.419</v>
      </c>
      <c r="I632" s="1"/>
      <c r="J632" s="6">
        <f>ROUND(I632*H632,2)</f>
        <v>0</v>
      </c>
      <c r="K632" s="151" t="s">
        <v>1</v>
      </c>
      <c r="L632" s="17"/>
      <c r="M632" s="8" t="s">
        <v>1</v>
      </c>
      <c r="N632" s="9" t="s">
        <v>33</v>
      </c>
      <c r="O632" s="10">
        <v>0</v>
      </c>
      <c r="P632" s="10">
        <f>O632*H632</f>
        <v>0</v>
      </c>
      <c r="Q632" s="10">
        <v>0</v>
      </c>
      <c r="R632" s="10">
        <f>Q632*H632</f>
        <v>0</v>
      </c>
      <c r="S632" s="10">
        <v>0</v>
      </c>
      <c r="T632" s="11">
        <f>S632*H632</f>
        <v>0</v>
      </c>
      <c r="U632" s="105"/>
      <c r="V632" s="17"/>
      <c r="W632" s="17"/>
      <c r="X632" s="17"/>
      <c r="Y632" s="17"/>
      <c r="Z632" s="17"/>
      <c r="AA632" s="17"/>
      <c r="AB632" s="17"/>
      <c r="AC632" s="105"/>
      <c r="AD632" s="105"/>
      <c r="AE632" s="105"/>
      <c r="AR632" s="12" t="s">
        <v>135</v>
      </c>
      <c r="AT632" s="12" t="s">
        <v>131</v>
      </c>
      <c r="AU632" s="12" t="s">
        <v>74</v>
      </c>
      <c r="AY632" s="13" t="s">
        <v>130</v>
      </c>
      <c r="BE632" s="14">
        <f>IF(N632="základní",J632,0)</f>
        <v>0</v>
      </c>
      <c r="BF632" s="14">
        <f>IF(N632="snížená",J632,0)</f>
        <v>0</v>
      </c>
      <c r="BG632" s="14">
        <f>IF(N632="zákl. přenesená",J632,0)</f>
        <v>0</v>
      </c>
      <c r="BH632" s="14">
        <f>IF(N632="sníž. přenesená",J632,0)</f>
        <v>0</v>
      </c>
      <c r="BI632" s="14">
        <f>IF(N632="nulová",J632,0)</f>
        <v>0</v>
      </c>
      <c r="BJ632" s="13" t="s">
        <v>74</v>
      </c>
      <c r="BK632" s="14">
        <f>ROUND(I632*H632,2)</f>
        <v>0</v>
      </c>
      <c r="BL632" s="13" t="s">
        <v>135</v>
      </c>
      <c r="BM632" s="12" t="s">
        <v>964</v>
      </c>
    </row>
    <row r="633" spans="1:65" s="5" customFormat="1" ht="19.5" x14ac:dyDescent="0.2">
      <c r="A633" s="105"/>
      <c r="B633" s="140"/>
      <c r="C633" s="17"/>
      <c r="D633" s="141" t="s">
        <v>148</v>
      </c>
      <c r="E633" s="17"/>
      <c r="F633" s="142" t="s">
        <v>718</v>
      </c>
      <c r="G633" s="17"/>
      <c r="H633" s="17"/>
      <c r="I633" s="17"/>
      <c r="J633" s="17"/>
      <c r="K633" s="143"/>
      <c r="L633" s="17"/>
      <c r="M633" s="15"/>
      <c r="N633" s="16"/>
      <c r="O633" s="17"/>
      <c r="P633" s="17"/>
      <c r="Q633" s="17"/>
      <c r="R633" s="17"/>
      <c r="S633" s="17"/>
      <c r="T633" s="18"/>
      <c r="U633" s="105"/>
      <c r="V633" s="17"/>
      <c r="W633" s="17"/>
      <c r="X633" s="17"/>
      <c r="Y633" s="17"/>
      <c r="Z633" s="17"/>
      <c r="AA633" s="17"/>
      <c r="AB633" s="17"/>
      <c r="AC633" s="105"/>
      <c r="AD633" s="105"/>
      <c r="AE633" s="105"/>
      <c r="AT633" s="13" t="s">
        <v>148</v>
      </c>
      <c r="AU633" s="13" t="s">
        <v>74</v>
      </c>
    </row>
    <row r="634" spans="1:65" s="5" customFormat="1" ht="16.5" customHeight="1" x14ac:dyDescent="0.2">
      <c r="A634" s="105"/>
      <c r="B634" s="140"/>
      <c r="C634" s="33" t="s">
        <v>592</v>
      </c>
      <c r="D634" s="33" t="s">
        <v>131</v>
      </c>
      <c r="E634" s="34" t="s">
        <v>187</v>
      </c>
      <c r="F634" s="7" t="s">
        <v>719</v>
      </c>
      <c r="G634" s="35" t="s">
        <v>134</v>
      </c>
      <c r="H634" s="36">
        <v>17.454000000000001</v>
      </c>
      <c r="I634" s="1"/>
      <c r="J634" s="6">
        <f>ROUND(I634*H634,2)</f>
        <v>0</v>
      </c>
      <c r="K634" s="151" t="s">
        <v>1</v>
      </c>
      <c r="L634" s="17"/>
      <c r="M634" s="8" t="s">
        <v>1</v>
      </c>
      <c r="N634" s="9" t="s">
        <v>33</v>
      </c>
      <c r="O634" s="10">
        <v>0</v>
      </c>
      <c r="P634" s="10">
        <f>O634*H634</f>
        <v>0</v>
      </c>
      <c r="Q634" s="10">
        <v>0</v>
      </c>
      <c r="R634" s="10">
        <f>Q634*H634</f>
        <v>0</v>
      </c>
      <c r="S634" s="10">
        <v>0</v>
      </c>
      <c r="T634" s="11">
        <f>S634*H634</f>
        <v>0</v>
      </c>
      <c r="U634" s="105"/>
      <c r="V634" s="17"/>
      <c r="W634" s="17"/>
      <c r="X634" s="17"/>
      <c r="Y634" s="17"/>
      <c r="Z634" s="17"/>
      <c r="AA634" s="17"/>
      <c r="AB634" s="17"/>
      <c r="AC634" s="105"/>
      <c r="AD634" s="105"/>
      <c r="AE634" s="105"/>
      <c r="AR634" s="12" t="s">
        <v>135</v>
      </c>
      <c r="AT634" s="12" t="s">
        <v>131</v>
      </c>
      <c r="AU634" s="12" t="s">
        <v>74</v>
      </c>
      <c r="AY634" s="13" t="s">
        <v>130</v>
      </c>
      <c r="BE634" s="14">
        <f>IF(N634="základní",J634,0)</f>
        <v>0</v>
      </c>
      <c r="BF634" s="14">
        <f>IF(N634="snížená",J634,0)</f>
        <v>0</v>
      </c>
      <c r="BG634" s="14">
        <f>IF(N634="zákl. přenesená",J634,0)</f>
        <v>0</v>
      </c>
      <c r="BH634" s="14">
        <f>IF(N634="sníž. přenesená",J634,0)</f>
        <v>0</v>
      </c>
      <c r="BI634" s="14">
        <f>IF(N634="nulová",J634,0)</f>
        <v>0</v>
      </c>
      <c r="BJ634" s="13" t="s">
        <v>74</v>
      </c>
      <c r="BK634" s="14">
        <f>ROUND(I634*H634,2)</f>
        <v>0</v>
      </c>
      <c r="BL634" s="13" t="s">
        <v>135</v>
      </c>
      <c r="BM634" s="12" t="s">
        <v>965</v>
      </c>
    </row>
    <row r="635" spans="1:65" s="5" customFormat="1" ht="19.5" x14ac:dyDescent="0.2">
      <c r="A635" s="105"/>
      <c r="B635" s="140"/>
      <c r="C635" s="17"/>
      <c r="D635" s="141" t="s">
        <v>720</v>
      </c>
      <c r="E635" s="17"/>
      <c r="F635" s="142" t="s">
        <v>1242</v>
      </c>
      <c r="G635" s="17"/>
      <c r="H635" s="17"/>
      <c r="I635" s="17"/>
      <c r="J635" s="17"/>
      <c r="K635" s="143"/>
      <c r="L635" s="17"/>
      <c r="M635" s="15"/>
      <c r="N635" s="16"/>
      <c r="O635" s="17"/>
      <c r="P635" s="17"/>
      <c r="Q635" s="17"/>
      <c r="R635" s="17"/>
      <c r="S635" s="17"/>
      <c r="T635" s="18"/>
      <c r="U635" s="105"/>
      <c r="V635" s="17"/>
      <c r="W635" s="17"/>
      <c r="X635" s="17"/>
      <c r="Y635" s="17"/>
      <c r="Z635" s="17"/>
      <c r="AA635" s="17"/>
      <c r="AB635" s="17"/>
      <c r="AC635" s="105"/>
      <c r="AD635" s="105"/>
      <c r="AE635" s="105"/>
      <c r="AT635" s="13" t="s">
        <v>720</v>
      </c>
      <c r="AU635" s="13" t="s">
        <v>74</v>
      </c>
    </row>
    <row r="636" spans="1:65" s="5" customFormat="1" ht="16.5" customHeight="1" x14ac:dyDescent="0.2">
      <c r="A636" s="105"/>
      <c r="B636" s="140"/>
      <c r="C636" s="33" t="s">
        <v>966</v>
      </c>
      <c r="D636" s="33" t="s">
        <v>131</v>
      </c>
      <c r="E636" s="34" t="s">
        <v>232</v>
      </c>
      <c r="F636" s="7" t="s">
        <v>722</v>
      </c>
      <c r="G636" s="35" t="s">
        <v>723</v>
      </c>
      <c r="H636" s="36">
        <v>0.13100000000000001</v>
      </c>
      <c r="I636" s="1"/>
      <c r="J636" s="6">
        <f>ROUND(I636*H636,2)</f>
        <v>0</v>
      </c>
      <c r="K636" s="151" t="s">
        <v>1</v>
      </c>
      <c r="L636" s="17"/>
      <c r="M636" s="8" t="s">
        <v>1</v>
      </c>
      <c r="N636" s="9" t="s">
        <v>33</v>
      </c>
      <c r="O636" s="10">
        <v>0</v>
      </c>
      <c r="P636" s="10">
        <f>O636*H636</f>
        <v>0</v>
      </c>
      <c r="Q636" s="10">
        <v>0</v>
      </c>
      <c r="R636" s="10">
        <f>Q636*H636</f>
        <v>0</v>
      </c>
      <c r="S636" s="10">
        <v>0</v>
      </c>
      <c r="T636" s="11">
        <f>S636*H636</f>
        <v>0</v>
      </c>
      <c r="U636" s="105"/>
      <c r="V636" s="17"/>
      <c r="W636" s="17"/>
      <c r="X636" s="17"/>
      <c r="Y636" s="17"/>
      <c r="Z636" s="17"/>
      <c r="AA636" s="17"/>
      <c r="AB636" s="17"/>
      <c r="AC636" s="105"/>
      <c r="AD636" s="105"/>
      <c r="AE636" s="105"/>
      <c r="AR636" s="12" t="s">
        <v>135</v>
      </c>
      <c r="AT636" s="12" t="s">
        <v>131</v>
      </c>
      <c r="AU636" s="12" t="s">
        <v>74</v>
      </c>
      <c r="AY636" s="13" t="s">
        <v>130</v>
      </c>
      <c r="BE636" s="14">
        <f>IF(N636="základní",J636,0)</f>
        <v>0</v>
      </c>
      <c r="BF636" s="14">
        <f>IF(N636="snížená",J636,0)</f>
        <v>0</v>
      </c>
      <c r="BG636" s="14">
        <f>IF(N636="zákl. přenesená",J636,0)</f>
        <v>0</v>
      </c>
      <c r="BH636" s="14">
        <f>IF(N636="sníž. přenesená",J636,0)</f>
        <v>0</v>
      </c>
      <c r="BI636" s="14">
        <f>IF(N636="nulová",J636,0)</f>
        <v>0</v>
      </c>
      <c r="BJ636" s="13" t="s">
        <v>74</v>
      </c>
      <c r="BK636" s="14">
        <f>ROUND(I636*H636,2)</f>
        <v>0</v>
      </c>
      <c r="BL636" s="13" t="s">
        <v>135</v>
      </c>
      <c r="BM636" s="12" t="s">
        <v>967</v>
      </c>
    </row>
    <row r="637" spans="1:65" s="5" customFormat="1" ht="16.5" customHeight="1" x14ac:dyDescent="0.2">
      <c r="A637" s="105"/>
      <c r="B637" s="140"/>
      <c r="C637" s="33" t="s">
        <v>594</v>
      </c>
      <c r="D637" s="33" t="s">
        <v>131</v>
      </c>
      <c r="E637" s="34" t="s">
        <v>246</v>
      </c>
      <c r="F637" s="7" t="s">
        <v>724</v>
      </c>
      <c r="G637" s="35" t="s">
        <v>723</v>
      </c>
      <c r="H637" s="36">
        <v>0.13100000000000001</v>
      </c>
      <c r="I637" s="1"/>
      <c r="J637" s="6">
        <f>ROUND(I637*H637,2)</f>
        <v>0</v>
      </c>
      <c r="K637" s="151" t="s">
        <v>1</v>
      </c>
      <c r="L637" s="17"/>
      <c r="M637" s="8" t="s">
        <v>1</v>
      </c>
      <c r="N637" s="9" t="s">
        <v>33</v>
      </c>
      <c r="O637" s="10">
        <v>0</v>
      </c>
      <c r="P637" s="10">
        <f>O637*H637</f>
        <v>0</v>
      </c>
      <c r="Q637" s="10">
        <v>0</v>
      </c>
      <c r="R637" s="10">
        <f>Q637*H637</f>
        <v>0</v>
      </c>
      <c r="S637" s="10">
        <v>0</v>
      </c>
      <c r="T637" s="11">
        <f>S637*H637</f>
        <v>0</v>
      </c>
      <c r="U637" s="105"/>
      <c r="V637" s="17"/>
      <c r="W637" s="17"/>
      <c r="X637" s="17"/>
      <c r="Y637" s="17"/>
      <c r="Z637" s="17"/>
      <c r="AA637" s="17"/>
      <c r="AB637" s="17"/>
      <c r="AC637" s="105"/>
      <c r="AD637" s="105"/>
      <c r="AE637" s="105"/>
      <c r="AR637" s="12" t="s">
        <v>135</v>
      </c>
      <c r="AT637" s="12" t="s">
        <v>131</v>
      </c>
      <c r="AU637" s="12" t="s">
        <v>74</v>
      </c>
      <c r="AY637" s="13" t="s">
        <v>130</v>
      </c>
      <c r="BE637" s="14">
        <f>IF(N637="základní",J637,0)</f>
        <v>0</v>
      </c>
      <c r="BF637" s="14">
        <f>IF(N637="snížená",J637,0)</f>
        <v>0</v>
      </c>
      <c r="BG637" s="14">
        <f>IF(N637="zákl. přenesená",J637,0)</f>
        <v>0</v>
      </c>
      <c r="BH637" s="14">
        <f>IF(N637="sníž. přenesená",J637,0)</f>
        <v>0</v>
      </c>
      <c r="BI637" s="14">
        <f>IF(N637="nulová",J637,0)</f>
        <v>0</v>
      </c>
      <c r="BJ637" s="13" t="s">
        <v>74</v>
      </c>
      <c r="BK637" s="14">
        <f>ROUND(I637*H637,2)</f>
        <v>0</v>
      </c>
      <c r="BL637" s="13" t="s">
        <v>135</v>
      </c>
      <c r="BM637" s="12" t="s">
        <v>968</v>
      </c>
    </row>
    <row r="638" spans="1:65" s="5" customFormat="1" ht="16.5" customHeight="1" x14ac:dyDescent="0.2">
      <c r="A638" s="105"/>
      <c r="B638" s="140"/>
      <c r="C638" s="33" t="s">
        <v>969</v>
      </c>
      <c r="D638" s="33" t="s">
        <v>131</v>
      </c>
      <c r="E638" s="34" t="s">
        <v>744</v>
      </c>
      <c r="F638" s="7" t="s">
        <v>745</v>
      </c>
      <c r="G638" s="35" t="s">
        <v>134</v>
      </c>
      <c r="H638" s="36">
        <v>8</v>
      </c>
      <c r="I638" s="1"/>
      <c r="J638" s="6">
        <f>ROUND(I638*H638,2)</f>
        <v>0</v>
      </c>
      <c r="K638" s="151" t="s">
        <v>1</v>
      </c>
      <c r="L638" s="17"/>
      <c r="M638" s="8" t="s">
        <v>1</v>
      </c>
      <c r="N638" s="9" t="s">
        <v>33</v>
      </c>
      <c r="O638" s="10">
        <v>0</v>
      </c>
      <c r="P638" s="10">
        <f>O638*H638</f>
        <v>0</v>
      </c>
      <c r="Q638" s="10">
        <v>0</v>
      </c>
      <c r="R638" s="10">
        <f>Q638*H638</f>
        <v>0</v>
      </c>
      <c r="S638" s="10">
        <v>0</v>
      </c>
      <c r="T638" s="11">
        <f>S638*H638</f>
        <v>0</v>
      </c>
      <c r="U638" s="105"/>
      <c r="V638" s="17"/>
      <c r="W638" s="17"/>
      <c r="X638" s="17"/>
      <c r="Y638" s="17"/>
      <c r="Z638" s="17"/>
      <c r="AA638" s="17"/>
      <c r="AB638" s="17"/>
      <c r="AC638" s="105"/>
      <c r="AD638" s="105"/>
      <c r="AE638" s="105"/>
      <c r="AR638" s="12" t="s">
        <v>135</v>
      </c>
      <c r="AT638" s="12" t="s">
        <v>131</v>
      </c>
      <c r="AU638" s="12" t="s">
        <v>74</v>
      </c>
      <c r="AY638" s="13" t="s">
        <v>130</v>
      </c>
      <c r="BE638" s="14">
        <f>IF(N638="základní",J638,0)</f>
        <v>0</v>
      </c>
      <c r="BF638" s="14">
        <f>IF(N638="snížená",J638,0)</f>
        <v>0</v>
      </c>
      <c r="BG638" s="14">
        <f>IF(N638="zákl. přenesená",J638,0)</f>
        <v>0</v>
      </c>
      <c r="BH638" s="14">
        <f>IF(N638="sníž. přenesená",J638,0)</f>
        <v>0</v>
      </c>
      <c r="BI638" s="14">
        <f>IF(N638="nulová",J638,0)</f>
        <v>0</v>
      </c>
      <c r="BJ638" s="13" t="s">
        <v>74</v>
      </c>
      <c r="BK638" s="14">
        <f>ROUND(I638*H638,2)</f>
        <v>0</v>
      </c>
      <c r="BL638" s="13" t="s">
        <v>135</v>
      </c>
      <c r="BM638" s="12" t="s">
        <v>970</v>
      </c>
    </row>
    <row r="639" spans="1:65" s="5" customFormat="1" ht="19.5" x14ac:dyDescent="0.2">
      <c r="A639" s="105"/>
      <c r="B639" s="140"/>
      <c r="C639" s="17"/>
      <c r="D639" s="141" t="s">
        <v>148</v>
      </c>
      <c r="E639" s="17"/>
      <c r="F639" s="142" t="s">
        <v>737</v>
      </c>
      <c r="G639" s="17"/>
      <c r="H639" s="17"/>
      <c r="I639" s="17"/>
      <c r="J639" s="17"/>
      <c r="K639" s="143"/>
      <c r="L639" s="17"/>
      <c r="M639" s="15"/>
      <c r="N639" s="16"/>
      <c r="O639" s="17"/>
      <c r="P639" s="17"/>
      <c r="Q639" s="17"/>
      <c r="R639" s="17"/>
      <c r="S639" s="17"/>
      <c r="T639" s="18"/>
      <c r="U639" s="105"/>
      <c r="V639" s="17"/>
      <c r="W639" s="17"/>
      <c r="X639" s="17"/>
      <c r="Y639" s="17"/>
      <c r="Z639" s="17"/>
      <c r="AA639" s="17"/>
      <c r="AB639" s="17"/>
      <c r="AC639" s="105"/>
      <c r="AD639" s="105"/>
      <c r="AE639" s="105"/>
      <c r="AT639" s="13" t="s">
        <v>148</v>
      </c>
      <c r="AU639" s="13" t="s">
        <v>74</v>
      </c>
    </row>
    <row r="640" spans="1:65" s="5" customFormat="1" ht="16.5" customHeight="1" x14ac:dyDescent="0.2">
      <c r="A640" s="105"/>
      <c r="B640" s="140"/>
      <c r="C640" s="33" t="s">
        <v>598</v>
      </c>
      <c r="D640" s="33" t="s">
        <v>131</v>
      </c>
      <c r="E640" s="34" t="s">
        <v>728</v>
      </c>
      <c r="F640" s="7" t="s">
        <v>729</v>
      </c>
      <c r="G640" s="35" t="s">
        <v>134</v>
      </c>
      <c r="H640" s="36">
        <v>82.093000000000004</v>
      </c>
      <c r="I640" s="1"/>
      <c r="J640" s="6">
        <f>ROUND(I640*H640,2)</f>
        <v>0</v>
      </c>
      <c r="K640" s="151" t="s">
        <v>1</v>
      </c>
      <c r="L640" s="17"/>
      <c r="M640" s="8" t="s">
        <v>1</v>
      </c>
      <c r="N640" s="9" t="s">
        <v>33</v>
      </c>
      <c r="O640" s="10">
        <v>0</v>
      </c>
      <c r="P640" s="10">
        <f>O640*H640</f>
        <v>0</v>
      </c>
      <c r="Q640" s="10">
        <v>0</v>
      </c>
      <c r="R640" s="10">
        <f>Q640*H640</f>
        <v>0</v>
      </c>
      <c r="S640" s="10">
        <v>0</v>
      </c>
      <c r="T640" s="11">
        <f>S640*H640</f>
        <v>0</v>
      </c>
      <c r="U640" s="105"/>
      <c r="V640" s="17"/>
      <c r="W640" s="17"/>
      <c r="X640" s="17"/>
      <c r="Y640" s="17"/>
      <c r="Z640" s="17"/>
      <c r="AA640" s="17"/>
      <c r="AB640" s="17"/>
      <c r="AC640" s="105"/>
      <c r="AD640" s="105"/>
      <c r="AE640" s="105"/>
      <c r="AR640" s="12" t="s">
        <v>135</v>
      </c>
      <c r="AT640" s="12" t="s">
        <v>131</v>
      </c>
      <c r="AU640" s="12" t="s">
        <v>74</v>
      </c>
      <c r="AY640" s="13" t="s">
        <v>130</v>
      </c>
      <c r="BE640" s="14">
        <f>IF(N640="základní",J640,0)</f>
        <v>0</v>
      </c>
      <c r="BF640" s="14">
        <f>IF(N640="snížená",J640,0)</f>
        <v>0</v>
      </c>
      <c r="BG640" s="14">
        <f>IF(N640="zákl. přenesená",J640,0)</f>
        <v>0</v>
      </c>
      <c r="BH640" s="14">
        <f>IF(N640="sníž. přenesená",J640,0)</f>
        <v>0</v>
      </c>
      <c r="BI640" s="14">
        <f>IF(N640="nulová",J640,0)</f>
        <v>0</v>
      </c>
      <c r="BJ640" s="13" t="s">
        <v>74</v>
      </c>
      <c r="BK640" s="14">
        <f>ROUND(I640*H640,2)</f>
        <v>0</v>
      </c>
      <c r="BL640" s="13" t="s">
        <v>135</v>
      </c>
      <c r="BM640" s="12" t="s">
        <v>971</v>
      </c>
    </row>
    <row r="641" spans="1:65" s="5" customFormat="1" ht="16.5" customHeight="1" x14ac:dyDescent="0.2">
      <c r="A641" s="105"/>
      <c r="B641" s="140"/>
      <c r="C641" s="33" t="s">
        <v>972</v>
      </c>
      <c r="D641" s="33" t="s">
        <v>131</v>
      </c>
      <c r="E641" s="34" t="s">
        <v>973</v>
      </c>
      <c r="F641" s="7" t="s">
        <v>974</v>
      </c>
      <c r="G641" s="35" t="s">
        <v>134</v>
      </c>
      <c r="H641" s="36">
        <v>5</v>
      </c>
      <c r="I641" s="1"/>
      <c r="J641" s="6">
        <f>ROUND(I641*H641,2)</f>
        <v>0</v>
      </c>
      <c r="K641" s="151" t="s">
        <v>1</v>
      </c>
      <c r="L641" s="17"/>
      <c r="M641" s="8" t="s">
        <v>1</v>
      </c>
      <c r="N641" s="9" t="s">
        <v>33</v>
      </c>
      <c r="O641" s="10">
        <v>0</v>
      </c>
      <c r="P641" s="10">
        <f>O641*H641</f>
        <v>0</v>
      </c>
      <c r="Q641" s="10">
        <v>0</v>
      </c>
      <c r="R641" s="10">
        <f>Q641*H641</f>
        <v>0</v>
      </c>
      <c r="S641" s="10">
        <v>0</v>
      </c>
      <c r="T641" s="11">
        <f>S641*H641</f>
        <v>0</v>
      </c>
      <c r="U641" s="105"/>
      <c r="V641" s="17"/>
      <c r="W641" s="17"/>
      <c r="X641" s="17"/>
      <c r="Y641" s="17"/>
      <c r="Z641" s="17"/>
      <c r="AA641" s="17"/>
      <c r="AB641" s="17"/>
      <c r="AC641" s="105"/>
      <c r="AD641" s="105"/>
      <c r="AE641" s="105"/>
      <c r="AR641" s="12" t="s">
        <v>135</v>
      </c>
      <c r="AT641" s="12" t="s">
        <v>131</v>
      </c>
      <c r="AU641" s="12" t="s">
        <v>74</v>
      </c>
      <c r="AY641" s="13" t="s">
        <v>130</v>
      </c>
      <c r="BE641" s="14">
        <f>IF(N641="základní",J641,0)</f>
        <v>0</v>
      </c>
      <c r="BF641" s="14">
        <f>IF(N641="snížená",J641,0)</f>
        <v>0</v>
      </c>
      <c r="BG641" s="14">
        <f>IF(N641="zákl. přenesená",J641,0)</f>
        <v>0</v>
      </c>
      <c r="BH641" s="14">
        <f>IF(N641="sníž. přenesená",J641,0)</f>
        <v>0</v>
      </c>
      <c r="BI641" s="14">
        <f>IF(N641="nulová",J641,0)</f>
        <v>0</v>
      </c>
      <c r="BJ641" s="13" t="s">
        <v>74</v>
      </c>
      <c r="BK641" s="14">
        <f>ROUND(I641*H641,2)</f>
        <v>0</v>
      </c>
      <c r="BL641" s="13" t="s">
        <v>135</v>
      </c>
      <c r="BM641" s="12" t="s">
        <v>975</v>
      </c>
    </row>
    <row r="642" spans="1:65" s="5" customFormat="1" ht="16.5" customHeight="1" x14ac:dyDescent="0.2">
      <c r="A642" s="105"/>
      <c r="B642" s="140"/>
      <c r="C642" s="33" t="s">
        <v>600</v>
      </c>
      <c r="D642" s="33" t="s">
        <v>131</v>
      </c>
      <c r="E642" s="34" t="s">
        <v>741</v>
      </c>
      <c r="F642" s="7" t="s">
        <v>742</v>
      </c>
      <c r="G642" s="35" t="s">
        <v>134</v>
      </c>
      <c r="H642" s="36">
        <v>5</v>
      </c>
      <c r="I642" s="1"/>
      <c r="J642" s="6">
        <f>ROUND(I642*H642,2)</f>
        <v>0</v>
      </c>
      <c r="K642" s="151" t="s">
        <v>1</v>
      </c>
      <c r="L642" s="17"/>
      <c r="M642" s="8" t="s">
        <v>1</v>
      </c>
      <c r="N642" s="9" t="s">
        <v>33</v>
      </c>
      <c r="O642" s="10">
        <v>0</v>
      </c>
      <c r="P642" s="10">
        <f>O642*H642</f>
        <v>0</v>
      </c>
      <c r="Q642" s="10">
        <v>0</v>
      </c>
      <c r="R642" s="10">
        <f>Q642*H642</f>
        <v>0</v>
      </c>
      <c r="S642" s="10">
        <v>0</v>
      </c>
      <c r="T642" s="11">
        <f>S642*H642</f>
        <v>0</v>
      </c>
      <c r="U642" s="105"/>
      <c r="V642" s="17"/>
      <c r="W642" s="17"/>
      <c r="X642" s="17"/>
      <c r="Y642" s="17"/>
      <c r="Z642" s="17"/>
      <c r="AA642" s="17"/>
      <c r="AB642" s="17"/>
      <c r="AC642" s="105"/>
      <c r="AD642" s="105"/>
      <c r="AE642" s="105"/>
      <c r="AR642" s="12" t="s">
        <v>135</v>
      </c>
      <c r="AT642" s="12" t="s">
        <v>131</v>
      </c>
      <c r="AU642" s="12" t="s">
        <v>74</v>
      </c>
      <c r="AY642" s="13" t="s">
        <v>130</v>
      </c>
      <c r="BE642" s="14">
        <f>IF(N642="základní",J642,0)</f>
        <v>0</v>
      </c>
      <c r="BF642" s="14">
        <f>IF(N642="snížená",J642,0)</f>
        <v>0</v>
      </c>
      <c r="BG642" s="14">
        <f>IF(N642="zákl. přenesená",J642,0)</f>
        <v>0</v>
      </c>
      <c r="BH642" s="14">
        <f>IF(N642="sníž. přenesená",J642,0)</f>
        <v>0</v>
      </c>
      <c r="BI642" s="14">
        <f>IF(N642="nulová",J642,0)</f>
        <v>0</v>
      </c>
      <c r="BJ642" s="13" t="s">
        <v>74</v>
      </c>
      <c r="BK642" s="14">
        <f>ROUND(I642*H642,2)</f>
        <v>0</v>
      </c>
      <c r="BL642" s="13" t="s">
        <v>135</v>
      </c>
      <c r="BM642" s="12" t="s">
        <v>976</v>
      </c>
    </row>
    <row r="643" spans="1:65" s="5" customFormat="1" ht="39" x14ac:dyDescent="0.2">
      <c r="A643" s="105"/>
      <c r="B643" s="140"/>
      <c r="C643" s="17"/>
      <c r="D643" s="141" t="s">
        <v>148</v>
      </c>
      <c r="E643" s="17"/>
      <c r="F643" s="142" t="s">
        <v>743</v>
      </c>
      <c r="G643" s="17"/>
      <c r="H643" s="17"/>
      <c r="I643" s="17"/>
      <c r="J643" s="17"/>
      <c r="K643" s="143"/>
      <c r="L643" s="17"/>
      <c r="M643" s="15"/>
      <c r="N643" s="16"/>
      <c r="O643" s="17"/>
      <c r="P643" s="17"/>
      <c r="Q643" s="17"/>
      <c r="R643" s="17"/>
      <c r="S643" s="17"/>
      <c r="T643" s="18"/>
      <c r="U643" s="105"/>
      <c r="V643" s="17"/>
      <c r="W643" s="17"/>
      <c r="X643" s="17"/>
      <c r="Y643" s="17"/>
      <c r="Z643" s="17"/>
      <c r="AA643" s="17"/>
      <c r="AB643" s="17"/>
      <c r="AC643" s="105"/>
      <c r="AD643" s="105"/>
      <c r="AE643" s="105"/>
      <c r="AT643" s="13" t="s">
        <v>148</v>
      </c>
      <c r="AU643" s="13" t="s">
        <v>74</v>
      </c>
    </row>
    <row r="644" spans="1:65" s="5" customFormat="1" ht="16.5" customHeight="1" x14ac:dyDescent="0.2">
      <c r="A644" s="105"/>
      <c r="B644" s="140"/>
      <c r="C644" s="33" t="s">
        <v>977</v>
      </c>
      <c r="D644" s="33" t="s">
        <v>131</v>
      </c>
      <c r="E644" s="34" t="s">
        <v>776</v>
      </c>
      <c r="F644" s="7" t="s">
        <v>777</v>
      </c>
      <c r="G644" s="35" t="s">
        <v>134</v>
      </c>
      <c r="H644" s="36">
        <v>23.911000000000001</v>
      </c>
      <c r="I644" s="1"/>
      <c r="J644" s="6">
        <f>ROUND(I644*H644,2)</f>
        <v>0</v>
      </c>
      <c r="K644" s="151" t="s">
        <v>1</v>
      </c>
      <c r="L644" s="17"/>
      <c r="M644" s="8" t="s">
        <v>1</v>
      </c>
      <c r="N644" s="9" t="s">
        <v>33</v>
      </c>
      <c r="O644" s="10">
        <v>0</v>
      </c>
      <c r="P644" s="10">
        <f>O644*H644</f>
        <v>0</v>
      </c>
      <c r="Q644" s="10">
        <v>0</v>
      </c>
      <c r="R644" s="10">
        <f>Q644*H644</f>
        <v>0</v>
      </c>
      <c r="S644" s="10">
        <v>0</v>
      </c>
      <c r="T644" s="11">
        <f>S644*H644</f>
        <v>0</v>
      </c>
      <c r="U644" s="105"/>
      <c r="V644" s="17"/>
      <c r="W644" s="17"/>
      <c r="X644" s="17"/>
      <c r="Y644" s="17"/>
      <c r="Z644" s="17"/>
      <c r="AA644" s="17"/>
      <c r="AB644" s="17"/>
      <c r="AC644" s="105"/>
      <c r="AD644" s="105"/>
      <c r="AE644" s="105"/>
      <c r="AR644" s="12" t="s">
        <v>135</v>
      </c>
      <c r="AT644" s="12" t="s">
        <v>131</v>
      </c>
      <c r="AU644" s="12" t="s">
        <v>74</v>
      </c>
      <c r="AY644" s="13" t="s">
        <v>130</v>
      </c>
      <c r="BE644" s="14">
        <f>IF(N644="základní",J644,0)</f>
        <v>0</v>
      </c>
      <c r="BF644" s="14">
        <f>IF(N644="snížená",J644,0)</f>
        <v>0</v>
      </c>
      <c r="BG644" s="14">
        <f>IF(N644="zákl. přenesená",J644,0)</f>
        <v>0</v>
      </c>
      <c r="BH644" s="14">
        <f>IF(N644="sníž. přenesená",J644,0)</f>
        <v>0</v>
      </c>
      <c r="BI644" s="14">
        <f>IF(N644="nulová",J644,0)</f>
        <v>0</v>
      </c>
      <c r="BJ644" s="13" t="s">
        <v>74</v>
      </c>
      <c r="BK644" s="14">
        <f>ROUND(I644*H644,2)</f>
        <v>0</v>
      </c>
      <c r="BL644" s="13" t="s">
        <v>135</v>
      </c>
      <c r="BM644" s="12" t="s">
        <v>978</v>
      </c>
    </row>
    <row r="645" spans="1:65" s="5" customFormat="1" ht="19.5" x14ac:dyDescent="0.2">
      <c r="A645" s="105"/>
      <c r="B645" s="140"/>
      <c r="C645" s="17"/>
      <c r="D645" s="141" t="s">
        <v>148</v>
      </c>
      <c r="E645" s="17"/>
      <c r="F645" s="142" t="s">
        <v>885</v>
      </c>
      <c r="G645" s="17"/>
      <c r="H645" s="17"/>
      <c r="I645" s="17"/>
      <c r="J645" s="17"/>
      <c r="K645" s="143"/>
      <c r="L645" s="17"/>
      <c r="M645" s="15"/>
      <c r="N645" s="16"/>
      <c r="O645" s="17"/>
      <c r="P645" s="17"/>
      <c r="Q645" s="17"/>
      <c r="R645" s="17"/>
      <c r="S645" s="17"/>
      <c r="T645" s="18"/>
      <c r="U645" s="105"/>
      <c r="V645" s="17"/>
      <c r="W645" s="17"/>
      <c r="X645" s="17"/>
      <c r="Y645" s="17"/>
      <c r="Z645" s="17"/>
      <c r="AA645" s="17"/>
      <c r="AB645" s="17"/>
      <c r="AC645" s="105"/>
      <c r="AD645" s="105"/>
      <c r="AE645" s="105"/>
      <c r="AT645" s="13" t="s">
        <v>148</v>
      </c>
      <c r="AU645" s="13" t="s">
        <v>74</v>
      </c>
    </row>
    <row r="646" spans="1:65" s="5" customFormat="1" ht="16.5" customHeight="1" x14ac:dyDescent="0.2">
      <c r="A646" s="105"/>
      <c r="B646" s="140"/>
      <c r="C646" s="33" t="s">
        <v>604</v>
      </c>
      <c r="D646" s="33" t="s">
        <v>131</v>
      </c>
      <c r="E646" s="34" t="s">
        <v>979</v>
      </c>
      <c r="F646" s="7" t="s">
        <v>980</v>
      </c>
      <c r="G646" s="35" t="s">
        <v>134</v>
      </c>
      <c r="H646" s="36">
        <v>58.182000000000002</v>
      </c>
      <c r="I646" s="1"/>
      <c r="J646" s="6">
        <f>ROUND(I646*H646,2)</f>
        <v>0</v>
      </c>
      <c r="K646" s="151" t="s">
        <v>1</v>
      </c>
      <c r="L646" s="17"/>
      <c r="M646" s="8" t="s">
        <v>1</v>
      </c>
      <c r="N646" s="9" t="s">
        <v>33</v>
      </c>
      <c r="O646" s="10">
        <v>0</v>
      </c>
      <c r="P646" s="10">
        <f>O646*H646</f>
        <v>0</v>
      </c>
      <c r="Q646" s="10">
        <v>0</v>
      </c>
      <c r="R646" s="10">
        <f>Q646*H646</f>
        <v>0</v>
      </c>
      <c r="S646" s="10">
        <v>0</v>
      </c>
      <c r="T646" s="11">
        <f>S646*H646</f>
        <v>0</v>
      </c>
      <c r="U646" s="105"/>
      <c r="V646" s="17"/>
      <c r="W646" s="17"/>
      <c r="X646" s="17"/>
      <c r="Y646" s="17"/>
      <c r="Z646" s="17"/>
      <c r="AA646" s="17"/>
      <c r="AB646" s="17"/>
      <c r="AC646" s="105"/>
      <c r="AD646" s="105"/>
      <c r="AE646" s="105"/>
      <c r="AR646" s="12" t="s">
        <v>135</v>
      </c>
      <c r="AT646" s="12" t="s">
        <v>131</v>
      </c>
      <c r="AU646" s="12" t="s">
        <v>74</v>
      </c>
      <c r="AY646" s="13" t="s">
        <v>130</v>
      </c>
      <c r="BE646" s="14">
        <f>IF(N646="základní",J646,0)</f>
        <v>0</v>
      </c>
      <c r="BF646" s="14">
        <f>IF(N646="snížená",J646,0)</f>
        <v>0</v>
      </c>
      <c r="BG646" s="14">
        <f>IF(N646="zákl. přenesená",J646,0)</f>
        <v>0</v>
      </c>
      <c r="BH646" s="14">
        <f>IF(N646="sníž. přenesená",J646,0)</f>
        <v>0</v>
      </c>
      <c r="BI646" s="14">
        <f>IF(N646="nulová",J646,0)</f>
        <v>0</v>
      </c>
      <c r="BJ646" s="13" t="s">
        <v>74</v>
      </c>
      <c r="BK646" s="14">
        <f>ROUND(I646*H646,2)</f>
        <v>0</v>
      </c>
      <c r="BL646" s="13" t="s">
        <v>135</v>
      </c>
      <c r="BM646" s="12" t="s">
        <v>981</v>
      </c>
    </row>
    <row r="647" spans="1:65" s="5" customFormat="1" ht="29.25" x14ac:dyDescent="0.2">
      <c r="A647" s="105"/>
      <c r="B647" s="140"/>
      <c r="C647" s="17"/>
      <c r="D647" s="141" t="s">
        <v>148</v>
      </c>
      <c r="E647" s="17"/>
      <c r="F647" s="142" t="s">
        <v>747</v>
      </c>
      <c r="G647" s="17"/>
      <c r="H647" s="17"/>
      <c r="I647" s="17"/>
      <c r="J647" s="17"/>
      <c r="K647" s="143"/>
      <c r="L647" s="17"/>
      <c r="M647" s="15"/>
      <c r="N647" s="16"/>
      <c r="O647" s="17"/>
      <c r="P647" s="17"/>
      <c r="Q647" s="17"/>
      <c r="R647" s="17"/>
      <c r="S647" s="17"/>
      <c r="T647" s="18"/>
      <c r="U647" s="105"/>
      <c r="V647" s="17"/>
      <c r="W647" s="17"/>
      <c r="X647" s="17"/>
      <c r="Y647" s="17"/>
      <c r="Z647" s="17"/>
      <c r="AA647" s="17"/>
      <c r="AB647" s="17"/>
      <c r="AC647" s="105"/>
      <c r="AD647" s="105"/>
      <c r="AE647" s="105"/>
      <c r="AT647" s="13" t="s">
        <v>148</v>
      </c>
      <c r="AU647" s="13" t="s">
        <v>74</v>
      </c>
    </row>
    <row r="648" spans="1:65" s="5" customFormat="1" ht="16.5" customHeight="1" x14ac:dyDescent="0.2">
      <c r="A648" s="105"/>
      <c r="B648" s="140"/>
      <c r="C648" s="33" t="s">
        <v>982</v>
      </c>
      <c r="D648" s="33" t="s">
        <v>131</v>
      </c>
      <c r="E648" s="34" t="s">
        <v>758</v>
      </c>
      <c r="F648" s="7" t="s">
        <v>759</v>
      </c>
      <c r="G648" s="35" t="s">
        <v>134</v>
      </c>
      <c r="H648" s="36">
        <v>25.172000000000001</v>
      </c>
      <c r="I648" s="1"/>
      <c r="J648" s="6">
        <f>ROUND(I648*H648,2)</f>
        <v>0</v>
      </c>
      <c r="K648" s="151" t="s">
        <v>1</v>
      </c>
      <c r="L648" s="17"/>
      <c r="M648" s="8" t="s">
        <v>1</v>
      </c>
      <c r="N648" s="9" t="s">
        <v>33</v>
      </c>
      <c r="O648" s="10">
        <v>0</v>
      </c>
      <c r="P648" s="10">
        <f>O648*H648</f>
        <v>0</v>
      </c>
      <c r="Q648" s="10">
        <v>0</v>
      </c>
      <c r="R648" s="10">
        <f>Q648*H648</f>
        <v>0</v>
      </c>
      <c r="S648" s="10">
        <v>0</v>
      </c>
      <c r="T648" s="11">
        <f>S648*H648</f>
        <v>0</v>
      </c>
      <c r="U648" s="105"/>
      <c r="V648" s="17"/>
      <c r="W648" s="17"/>
      <c r="X648" s="17"/>
      <c r="Y648" s="17"/>
      <c r="Z648" s="17"/>
      <c r="AA648" s="17"/>
      <c r="AB648" s="17"/>
      <c r="AC648" s="105"/>
      <c r="AD648" s="105"/>
      <c r="AE648" s="105"/>
      <c r="AR648" s="12" t="s">
        <v>135</v>
      </c>
      <c r="AT648" s="12" t="s">
        <v>131</v>
      </c>
      <c r="AU648" s="12" t="s">
        <v>74</v>
      </c>
      <c r="AY648" s="13" t="s">
        <v>130</v>
      </c>
      <c r="BE648" s="14">
        <f>IF(N648="základní",J648,0)</f>
        <v>0</v>
      </c>
      <c r="BF648" s="14">
        <f>IF(N648="snížená",J648,0)</f>
        <v>0</v>
      </c>
      <c r="BG648" s="14">
        <f>IF(N648="zákl. přenesená",J648,0)</f>
        <v>0</v>
      </c>
      <c r="BH648" s="14">
        <f>IF(N648="sníž. přenesená",J648,0)</f>
        <v>0</v>
      </c>
      <c r="BI648" s="14">
        <f>IF(N648="nulová",J648,0)</f>
        <v>0</v>
      </c>
      <c r="BJ648" s="13" t="s">
        <v>74</v>
      </c>
      <c r="BK648" s="14">
        <f>ROUND(I648*H648,2)</f>
        <v>0</v>
      </c>
      <c r="BL648" s="13" t="s">
        <v>135</v>
      </c>
      <c r="BM648" s="12" t="s">
        <v>983</v>
      </c>
    </row>
    <row r="649" spans="1:65" s="5" customFormat="1" x14ac:dyDescent="0.2">
      <c r="B649" s="177"/>
      <c r="C649" s="16"/>
      <c r="D649" s="178" t="s">
        <v>340</v>
      </c>
      <c r="E649" s="16"/>
      <c r="F649" s="200" t="s">
        <v>1285</v>
      </c>
      <c r="G649" s="16"/>
      <c r="H649" s="16">
        <f>((5.11+1.64+9.61+1.62)*1.4)</f>
        <v>25.172000000000001</v>
      </c>
      <c r="I649" s="16"/>
      <c r="J649" s="16"/>
      <c r="K649" s="181"/>
      <c r="L649" s="52"/>
      <c r="M649" s="52"/>
      <c r="N649" s="52"/>
      <c r="O649" s="52"/>
      <c r="P649" s="52"/>
      <c r="Q649" s="52"/>
      <c r="R649" s="52"/>
      <c r="S649" s="128"/>
      <c r="V649" s="16"/>
      <c r="W649" s="16"/>
      <c r="X649" s="16"/>
      <c r="Y649" s="16"/>
      <c r="Z649" s="16"/>
      <c r="AA649" s="16"/>
      <c r="AB649" s="16"/>
      <c r="AZ649" s="126" t="s">
        <v>148</v>
      </c>
      <c r="BA649" s="126" t="s">
        <v>74</v>
      </c>
    </row>
    <row r="650" spans="1:65" s="5" customFormat="1" ht="21.75" customHeight="1" x14ac:dyDescent="0.2">
      <c r="A650" s="105"/>
      <c r="B650" s="140"/>
      <c r="C650" s="33" t="s">
        <v>607</v>
      </c>
      <c r="D650" s="33" t="s">
        <v>131</v>
      </c>
      <c r="E650" s="34" t="s">
        <v>748</v>
      </c>
      <c r="F650" s="7" t="s">
        <v>749</v>
      </c>
      <c r="G650" s="35" t="s">
        <v>134</v>
      </c>
      <c r="H650" s="36">
        <v>40.450000000000003</v>
      </c>
      <c r="I650" s="1"/>
      <c r="J650" s="6">
        <f>ROUND(I650*H650,2)</f>
        <v>0</v>
      </c>
      <c r="K650" s="151" t="s">
        <v>1</v>
      </c>
      <c r="L650" s="17"/>
      <c r="M650" s="8" t="s">
        <v>1</v>
      </c>
      <c r="N650" s="9" t="s">
        <v>33</v>
      </c>
      <c r="O650" s="10">
        <v>0</v>
      </c>
      <c r="P650" s="10">
        <f>O650*H650</f>
        <v>0</v>
      </c>
      <c r="Q650" s="10">
        <v>0</v>
      </c>
      <c r="R650" s="10">
        <f>Q650*H650</f>
        <v>0</v>
      </c>
      <c r="S650" s="10">
        <v>0</v>
      </c>
      <c r="T650" s="11">
        <f>S650*H650</f>
        <v>0</v>
      </c>
      <c r="U650" s="105"/>
      <c r="V650" s="17"/>
      <c r="W650" s="17"/>
      <c r="X650" s="17"/>
      <c r="Y650" s="17"/>
      <c r="Z650" s="17"/>
      <c r="AA650" s="17"/>
      <c r="AB650" s="17"/>
      <c r="AC650" s="105"/>
      <c r="AD650" s="105"/>
      <c r="AE650" s="105"/>
      <c r="AR650" s="12" t="s">
        <v>135</v>
      </c>
      <c r="AT650" s="12" t="s">
        <v>131</v>
      </c>
      <c r="AU650" s="12" t="s">
        <v>74</v>
      </c>
      <c r="AY650" s="13" t="s">
        <v>130</v>
      </c>
      <c r="BE650" s="14">
        <f>IF(N650="základní",J650,0)</f>
        <v>0</v>
      </c>
      <c r="BF650" s="14">
        <f>IF(N650="snížená",J650,0)</f>
        <v>0</v>
      </c>
      <c r="BG650" s="14">
        <f>IF(N650="zákl. přenesená",J650,0)</f>
        <v>0</v>
      </c>
      <c r="BH650" s="14">
        <f>IF(N650="sníž. přenesená",J650,0)</f>
        <v>0</v>
      </c>
      <c r="BI650" s="14">
        <f>IF(N650="nulová",J650,0)</f>
        <v>0</v>
      </c>
      <c r="BJ650" s="13" t="s">
        <v>74</v>
      </c>
      <c r="BK650" s="14">
        <f>ROUND(I650*H650,2)</f>
        <v>0</v>
      </c>
      <c r="BL650" s="13" t="s">
        <v>135</v>
      </c>
      <c r="BM650" s="12" t="s">
        <v>984</v>
      </c>
    </row>
    <row r="651" spans="1:65" s="152" customFormat="1" x14ac:dyDescent="0.2">
      <c r="B651" s="153"/>
      <c r="C651" s="154"/>
      <c r="D651" s="141" t="s">
        <v>340</v>
      </c>
      <c r="E651" s="155" t="s">
        <v>1</v>
      </c>
      <c r="F651" s="156" t="s">
        <v>985</v>
      </c>
      <c r="G651" s="154"/>
      <c r="H651" s="157"/>
      <c r="I651" s="154"/>
      <c r="J651" s="154"/>
      <c r="K651" s="158"/>
      <c r="L651" s="154"/>
      <c r="M651" s="159"/>
      <c r="N651" s="154"/>
      <c r="O651" s="154"/>
      <c r="P651" s="154"/>
      <c r="Q651" s="154"/>
      <c r="R651" s="154"/>
      <c r="S651" s="154"/>
      <c r="T651" s="160"/>
      <c r="V651" s="154"/>
      <c r="W651" s="154"/>
      <c r="X651" s="154"/>
      <c r="Y651" s="154"/>
      <c r="Z651" s="154"/>
      <c r="AA651" s="154"/>
      <c r="AB651" s="154"/>
      <c r="AT651" s="161" t="s">
        <v>340</v>
      </c>
      <c r="AU651" s="161" t="s">
        <v>74</v>
      </c>
      <c r="AV651" s="152" t="s">
        <v>76</v>
      </c>
      <c r="AW651" s="152" t="s">
        <v>25</v>
      </c>
      <c r="AX651" s="152" t="s">
        <v>68</v>
      </c>
      <c r="AY651" s="161" t="s">
        <v>130</v>
      </c>
    </row>
    <row r="652" spans="1:65" s="162" customFormat="1" x14ac:dyDescent="0.2">
      <c r="B652" s="163"/>
      <c r="C652" s="164"/>
      <c r="D652" s="141" t="s">
        <v>340</v>
      </c>
      <c r="E652" s="165" t="s">
        <v>1</v>
      </c>
      <c r="F652" s="166" t="s">
        <v>342</v>
      </c>
      <c r="G652" s="164"/>
      <c r="H652" s="167">
        <v>40.450000000000003</v>
      </c>
      <c r="I652" s="164"/>
      <c r="J652" s="164"/>
      <c r="K652" s="168"/>
      <c r="L652" s="164"/>
      <c r="M652" s="169"/>
      <c r="N652" s="164"/>
      <c r="O652" s="164"/>
      <c r="P652" s="164"/>
      <c r="Q652" s="164"/>
      <c r="R652" s="164"/>
      <c r="S652" s="164"/>
      <c r="T652" s="170"/>
      <c r="V652" s="164"/>
      <c r="W652" s="164"/>
      <c r="X652" s="164"/>
      <c r="Y652" s="164"/>
      <c r="Z652" s="164"/>
      <c r="AA652" s="164"/>
      <c r="AB652" s="164"/>
      <c r="AT652" s="171" t="s">
        <v>340</v>
      </c>
      <c r="AU652" s="171" t="s">
        <v>74</v>
      </c>
      <c r="AV652" s="162" t="s">
        <v>135</v>
      </c>
      <c r="AW652" s="162" t="s">
        <v>25</v>
      </c>
      <c r="AX652" s="162" t="s">
        <v>74</v>
      </c>
      <c r="AY652" s="171" t="s">
        <v>130</v>
      </c>
    </row>
    <row r="653" spans="1:65" s="20" customFormat="1" ht="25.9" customHeight="1" x14ac:dyDescent="0.2">
      <c r="B653" s="172"/>
      <c r="C653" s="23"/>
      <c r="D653" s="173" t="s">
        <v>67</v>
      </c>
      <c r="E653" s="174" t="s">
        <v>608</v>
      </c>
      <c r="F653" s="174" t="s">
        <v>986</v>
      </c>
      <c r="G653" s="23"/>
      <c r="H653" s="23"/>
      <c r="I653" s="23"/>
      <c r="J653" s="175">
        <f>BK653</f>
        <v>0</v>
      </c>
      <c r="K653" s="176"/>
      <c r="L653" s="23"/>
      <c r="M653" s="22"/>
      <c r="N653" s="23"/>
      <c r="O653" s="23"/>
      <c r="P653" s="24">
        <f>SUM(P656:P670)</f>
        <v>0</v>
      </c>
      <c r="Q653" s="23"/>
      <c r="R653" s="24">
        <f>SUM(R656:R670)</f>
        <v>0</v>
      </c>
      <c r="S653" s="23"/>
      <c r="T653" s="25">
        <f>SUM(T656:T670)</f>
        <v>0</v>
      </c>
      <c r="V653" s="23"/>
      <c r="W653" s="23"/>
      <c r="X653" s="23"/>
      <c r="Y653" s="23"/>
      <c r="Z653" s="23"/>
      <c r="AA653" s="23"/>
      <c r="AB653" s="23"/>
      <c r="AR653" s="26" t="s">
        <v>74</v>
      </c>
      <c r="AT653" s="27" t="s">
        <v>67</v>
      </c>
      <c r="AU653" s="27" t="s">
        <v>68</v>
      </c>
      <c r="AY653" s="26" t="s">
        <v>130</v>
      </c>
      <c r="BK653" s="28">
        <f>SUM(BK656:BK670)</f>
        <v>0</v>
      </c>
    </row>
    <row r="654" spans="1:65" s="5" customFormat="1" x14ac:dyDescent="0.2">
      <c r="B654" s="177"/>
      <c r="C654" s="16"/>
      <c r="D654" s="178" t="s">
        <v>340</v>
      </c>
      <c r="E654" s="16"/>
      <c r="F654" s="200" t="s">
        <v>1286</v>
      </c>
      <c r="G654" s="180"/>
      <c r="H654" s="180">
        <f>((4.07+3.24+2.84+1.83)*3.43)</f>
        <v>41.0914</v>
      </c>
      <c r="I654" s="16"/>
      <c r="J654" s="16"/>
      <c r="K654" s="181"/>
      <c r="L654" s="52"/>
      <c r="M654" s="52"/>
      <c r="N654" s="52"/>
      <c r="O654" s="52"/>
      <c r="P654" s="52"/>
      <c r="Q654" s="52"/>
      <c r="R654" s="52"/>
      <c r="S654" s="128"/>
      <c r="V654" s="16"/>
      <c r="W654" s="16"/>
      <c r="X654" s="16"/>
      <c r="Y654" s="16"/>
      <c r="Z654" s="16"/>
      <c r="AA654" s="16"/>
      <c r="AB654" s="16"/>
      <c r="AZ654" s="126" t="s">
        <v>148</v>
      </c>
      <c r="BA654" s="126" t="s">
        <v>74</v>
      </c>
    </row>
    <row r="655" spans="1:65" s="5" customFormat="1" x14ac:dyDescent="0.2">
      <c r="B655" s="177"/>
      <c r="C655" s="16"/>
      <c r="D655" s="178" t="s">
        <v>340</v>
      </c>
      <c r="E655" s="16"/>
      <c r="F655" s="200" t="s">
        <v>1287</v>
      </c>
      <c r="G655" s="180"/>
      <c r="H655" s="180">
        <f>1.39*0.7</f>
        <v>0.97299999999999986</v>
      </c>
      <c r="I655" s="16"/>
      <c r="J655" s="16"/>
      <c r="K655" s="181"/>
      <c r="L655" s="52"/>
      <c r="M655" s="52"/>
      <c r="N655" s="52"/>
      <c r="O655" s="52"/>
      <c r="P655" s="52"/>
      <c r="Q655" s="52"/>
      <c r="R655" s="52"/>
      <c r="S655" s="128"/>
      <c r="V655" s="16"/>
      <c r="W655" s="16"/>
      <c r="X655" s="16"/>
      <c r="Y655" s="16"/>
      <c r="Z655" s="16"/>
      <c r="AA655" s="16"/>
      <c r="AB655" s="16"/>
      <c r="AZ655" s="126" t="s">
        <v>148</v>
      </c>
      <c r="BA655" s="126" t="s">
        <v>74</v>
      </c>
    </row>
    <row r="656" spans="1:65" s="5" customFormat="1" ht="16.5" customHeight="1" x14ac:dyDescent="0.2">
      <c r="A656" s="105"/>
      <c r="B656" s="140"/>
      <c r="C656" s="33" t="s">
        <v>987</v>
      </c>
      <c r="D656" s="33" t="s">
        <v>131</v>
      </c>
      <c r="E656" s="34" t="s">
        <v>713</v>
      </c>
      <c r="F656" s="7" t="s">
        <v>714</v>
      </c>
      <c r="G656" s="35" t="s">
        <v>134</v>
      </c>
      <c r="H656" s="36">
        <v>42.064</v>
      </c>
      <c r="I656" s="1"/>
      <c r="J656" s="6">
        <f>ROUND(I656*H656,2)</f>
        <v>0</v>
      </c>
      <c r="K656" s="151" t="s">
        <v>1</v>
      </c>
      <c r="L656" s="17"/>
      <c r="M656" s="8" t="s">
        <v>1</v>
      </c>
      <c r="N656" s="9" t="s">
        <v>33</v>
      </c>
      <c r="O656" s="10">
        <v>0</v>
      </c>
      <c r="P656" s="10">
        <f>O656*H656</f>
        <v>0</v>
      </c>
      <c r="Q656" s="10">
        <v>0</v>
      </c>
      <c r="R656" s="10">
        <f>Q656*H656</f>
        <v>0</v>
      </c>
      <c r="S656" s="10">
        <v>0</v>
      </c>
      <c r="T656" s="11">
        <f>S656*H656</f>
        <v>0</v>
      </c>
      <c r="U656" s="105"/>
      <c r="V656" s="17"/>
      <c r="W656" s="17"/>
      <c r="X656" s="17"/>
      <c r="Y656" s="17"/>
      <c r="Z656" s="17"/>
      <c r="AA656" s="17"/>
      <c r="AB656" s="17"/>
      <c r="AC656" s="105"/>
      <c r="AD656" s="105"/>
      <c r="AE656" s="105"/>
      <c r="AR656" s="12" t="s">
        <v>135</v>
      </c>
      <c r="AT656" s="12" t="s">
        <v>131</v>
      </c>
      <c r="AU656" s="12" t="s">
        <v>74</v>
      </c>
      <c r="AY656" s="13" t="s">
        <v>130</v>
      </c>
      <c r="BE656" s="14">
        <f>IF(N656="základní",J656,0)</f>
        <v>0</v>
      </c>
      <c r="BF656" s="14">
        <f>IF(N656="snížená",J656,0)</f>
        <v>0</v>
      </c>
      <c r="BG656" s="14">
        <f>IF(N656="zákl. přenesená",J656,0)</f>
        <v>0</v>
      </c>
      <c r="BH656" s="14">
        <f>IF(N656="sníž. přenesená",J656,0)</f>
        <v>0</v>
      </c>
      <c r="BI656" s="14">
        <f>IF(N656="nulová",J656,0)</f>
        <v>0</v>
      </c>
      <c r="BJ656" s="13" t="s">
        <v>74</v>
      </c>
      <c r="BK656" s="14">
        <f>ROUND(I656*H656,2)</f>
        <v>0</v>
      </c>
      <c r="BL656" s="13" t="s">
        <v>135</v>
      </c>
      <c r="BM656" s="12" t="s">
        <v>988</v>
      </c>
    </row>
    <row r="657" spans="1:65" s="5" customFormat="1" x14ac:dyDescent="0.2">
      <c r="B657" s="177"/>
      <c r="C657" s="16"/>
      <c r="D657" s="178" t="s">
        <v>340</v>
      </c>
      <c r="E657" s="16"/>
      <c r="F657" s="200" t="s">
        <v>1288</v>
      </c>
      <c r="G657" s="16"/>
      <c r="H657" s="180">
        <f>41.091+0.973</f>
        <v>42.064</v>
      </c>
      <c r="I657" s="16"/>
      <c r="J657" s="16"/>
      <c r="K657" s="181"/>
      <c r="L657" s="52"/>
      <c r="M657" s="52"/>
      <c r="N657" s="52"/>
      <c r="O657" s="52"/>
      <c r="P657" s="52"/>
      <c r="Q657" s="52"/>
      <c r="R657" s="52"/>
      <c r="S657" s="128"/>
      <c r="V657" s="16"/>
      <c r="W657" s="16"/>
      <c r="X657" s="16"/>
      <c r="Y657" s="16"/>
      <c r="Z657" s="16"/>
      <c r="AA657" s="16"/>
      <c r="AB657" s="16"/>
      <c r="AZ657" s="126" t="s">
        <v>148</v>
      </c>
      <c r="BA657" s="126" t="s">
        <v>74</v>
      </c>
    </row>
    <row r="658" spans="1:65" s="5" customFormat="1" ht="16.5" customHeight="1" x14ac:dyDescent="0.2">
      <c r="A658" s="105"/>
      <c r="B658" s="140"/>
      <c r="C658" s="33" t="s">
        <v>611</v>
      </c>
      <c r="D658" s="33" t="s">
        <v>131</v>
      </c>
      <c r="E658" s="34" t="s">
        <v>716</v>
      </c>
      <c r="F658" s="7" t="s">
        <v>717</v>
      </c>
      <c r="G658" s="35" t="s">
        <v>134</v>
      </c>
      <c r="H658" s="36">
        <v>8.4130000000000003</v>
      </c>
      <c r="I658" s="1"/>
      <c r="J658" s="6">
        <f>ROUND(I658*H658,2)</f>
        <v>0</v>
      </c>
      <c r="K658" s="151" t="s">
        <v>1</v>
      </c>
      <c r="L658" s="17"/>
      <c r="M658" s="8" t="s">
        <v>1</v>
      </c>
      <c r="N658" s="9" t="s">
        <v>33</v>
      </c>
      <c r="O658" s="10">
        <v>0</v>
      </c>
      <c r="P658" s="10">
        <f>O658*H658</f>
        <v>0</v>
      </c>
      <c r="Q658" s="10">
        <v>0</v>
      </c>
      <c r="R658" s="10">
        <f>Q658*H658</f>
        <v>0</v>
      </c>
      <c r="S658" s="10">
        <v>0</v>
      </c>
      <c r="T658" s="11">
        <f>S658*H658</f>
        <v>0</v>
      </c>
      <c r="U658" s="105"/>
      <c r="V658" s="17"/>
      <c r="W658" s="17"/>
      <c r="X658" s="17"/>
      <c r="Y658" s="17"/>
      <c r="Z658" s="17"/>
      <c r="AA658" s="17"/>
      <c r="AB658" s="17"/>
      <c r="AC658" s="105"/>
      <c r="AD658" s="105"/>
      <c r="AE658" s="105"/>
      <c r="AR658" s="12" t="s">
        <v>135</v>
      </c>
      <c r="AT658" s="12" t="s">
        <v>131</v>
      </c>
      <c r="AU658" s="12" t="s">
        <v>74</v>
      </c>
      <c r="AY658" s="13" t="s">
        <v>130</v>
      </c>
      <c r="BE658" s="14">
        <f>IF(N658="základní",J658,0)</f>
        <v>0</v>
      </c>
      <c r="BF658" s="14">
        <f>IF(N658="snížená",J658,0)</f>
        <v>0</v>
      </c>
      <c r="BG658" s="14">
        <f>IF(N658="zákl. přenesená",J658,0)</f>
        <v>0</v>
      </c>
      <c r="BH658" s="14">
        <f>IF(N658="sníž. přenesená",J658,0)</f>
        <v>0</v>
      </c>
      <c r="BI658" s="14">
        <f>IF(N658="nulová",J658,0)</f>
        <v>0</v>
      </c>
      <c r="BJ658" s="13" t="s">
        <v>74</v>
      </c>
      <c r="BK658" s="14">
        <f>ROUND(I658*H658,2)</f>
        <v>0</v>
      </c>
      <c r="BL658" s="13" t="s">
        <v>135</v>
      </c>
      <c r="BM658" s="12" t="s">
        <v>989</v>
      </c>
    </row>
    <row r="659" spans="1:65" s="5" customFormat="1" ht="19.5" x14ac:dyDescent="0.2">
      <c r="A659" s="105"/>
      <c r="B659" s="140"/>
      <c r="C659" s="17"/>
      <c r="D659" s="141" t="s">
        <v>148</v>
      </c>
      <c r="E659" s="17"/>
      <c r="F659" s="142" t="s">
        <v>718</v>
      </c>
      <c r="G659" s="17"/>
      <c r="H659" s="17"/>
      <c r="I659" s="17"/>
      <c r="J659" s="17"/>
      <c r="K659" s="143"/>
      <c r="L659" s="17"/>
      <c r="M659" s="15"/>
      <c r="N659" s="16"/>
      <c r="O659" s="17"/>
      <c r="P659" s="17"/>
      <c r="Q659" s="17"/>
      <c r="R659" s="17"/>
      <c r="S659" s="17"/>
      <c r="T659" s="18"/>
      <c r="U659" s="105"/>
      <c r="V659" s="17"/>
      <c r="W659" s="17"/>
      <c r="X659" s="17"/>
      <c r="Y659" s="17"/>
      <c r="Z659" s="17"/>
      <c r="AA659" s="17"/>
      <c r="AB659" s="17"/>
      <c r="AC659" s="105"/>
      <c r="AD659" s="105"/>
      <c r="AE659" s="105"/>
      <c r="AT659" s="13" t="s">
        <v>148</v>
      </c>
      <c r="AU659" s="13" t="s">
        <v>74</v>
      </c>
    </row>
    <row r="660" spans="1:65" s="5" customFormat="1" ht="16.5" customHeight="1" x14ac:dyDescent="0.2">
      <c r="A660" s="105"/>
      <c r="B660" s="140"/>
      <c r="C660" s="33" t="s">
        <v>990</v>
      </c>
      <c r="D660" s="33" t="s">
        <v>131</v>
      </c>
      <c r="E660" s="34" t="s">
        <v>187</v>
      </c>
      <c r="F660" s="7" t="s">
        <v>719</v>
      </c>
      <c r="G660" s="35" t="s">
        <v>134</v>
      </c>
      <c r="H660" s="36">
        <v>12.327</v>
      </c>
      <c r="I660" s="1"/>
      <c r="J660" s="6">
        <f>ROUND(I660*H660,2)</f>
        <v>0</v>
      </c>
      <c r="K660" s="151" t="s">
        <v>1</v>
      </c>
      <c r="L660" s="17"/>
      <c r="M660" s="8" t="s">
        <v>1</v>
      </c>
      <c r="N660" s="9" t="s">
        <v>33</v>
      </c>
      <c r="O660" s="10">
        <v>0</v>
      </c>
      <c r="P660" s="10">
        <f>O660*H660</f>
        <v>0</v>
      </c>
      <c r="Q660" s="10">
        <v>0</v>
      </c>
      <c r="R660" s="10">
        <f>Q660*H660</f>
        <v>0</v>
      </c>
      <c r="S660" s="10">
        <v>0</v>
      </c>
      <c r="T660" s="11">
        <f>S660*H660</f>
        <v>0</v>
      </c>
      <c r="U660" s="105"/>
      <c r="V660" s="17"/>
      <c r="W660" s="17"/>
      <c r="X660" s="17"/>
      <c r="Y660" s="17"/>
      <c r="Z660" s="17"/>
      <c r="AA660" s="17"/>
      <c r="AB660" s="17"/>
      <c r="AC660" s="105"/>
      <c r="AD660" s="105"/>
      <c r="AE660" s="105"/>
      <c r="AR660" s="12" t="s">
        <v>135</v>
      </c>
      <c r="AT660" s="12" t="s">
        <v>131</v>
      </c>
      <c r="AU660" s="12" t="s">
        <v>74</v>
      </c>
      <c r="AY660" s="13" t="s">
        <v>130</v>
      </c>
      <c r="BE660" s="14">
        <f>IF(N660="základní",J660,0)</f>
        <v>0</v>
      </c>
      <c r="BF660" s="14">
        <f>IF(N660="snížená",J660,0)</f>
        <v>0</v>
      </c>
      <c r="BG660" s="14">
        <f>IF(N660="zákl. přenesená",J660,0)</f>
        <v>0</v>
      </c>
      <c r="BH660" s="14">
        <f>IF(N660="sníž. přenesená",J660,0)</f>
        <v>0</v>
      </c>
      <c r="BI660" s="14">
        <f>IF(N660="nulová",J660,0)</f>
        <v>0</v>
      </c>
      <c r="BJ660" s="13" t="s">
        <v>74</v>
      </c>
      <c r="BK660" s="14">
        <f>ROUND(I660*H660,2)</f>
        <v>0</v>
      </c>
      <c r="BL660" s="13" t="s">
        <v>135</v>
      </c>
      <c r="BM660" s="12" t="s">
        <v>991</v>
      </c>
    </row>
    <row r="661" spans="1:65" s="5" customFormat="1" ht="19.5" x14ac:dyDescent="0.2">
      <c r="A661" s="105"/>
      <c r="B661" s="140"/>
      <c r="C661" s="17"/>
      <c r="D661" s="141" t="s">
        <v>720</v>
      </c>
      <c r="E661" s="17"/>
      <c r="F661" s="142" t="s">
        <v>1242</v>
      </c>
      <c r="G661" s="17"/>
      <c r="H661" s="17"/>
      <c r="I661" s="17"/>
      <c r="J661" s="17"/>
      <c r="K661" s="143"/>
      <c r="L661" s="17"/>
      <c r="M661" s="15"/>
      <c r="N661" s="16"/>
      <c r="O661" s="17"/>
      <c r="P661" s="17"/>
      <c r="Q661" s="17"/>
      <c r="R661" s="17"/>
      <c r="S661" s="17"/>
      <c r="T661" s="18"/>
      <c r="U661" s="105"/>
      <c r="V661" s="17"/>
      <c r="W661" s="17"/>
      <c r="X661" s="17"/>
      <c r="Y661" s="17"/>
      <c r="Z661" s="17"/>
      <c r="AA661" s="17"/>
      <c r="AB661" s="17"/>
      <c r="AC661" s="105"/>
      <c r="AD661" s="105"/>
      <c r="AE661" s="105"/>
      <c r="AT661" s="13" t="s">
        <v>720</v>
      </c>
      <c r="AU661" s="13" t="s">
        <v>74</v>
      </c>
    </row>
    <row r="662" spans="1:65" s="5" customFormat="1" ht="16.5" customHeight="1" x14ac:dyDescent="0.2">
      <c r="A662" s="105"/>
      <c r="B662" s="140"/>
      <c r="C662" s="33" t="s">
        <v>612</v>
      </c>
      <c r="D662" s="33" t="s">
        <v>131</v>
      </c>
      <c r="E662" s="34" t="s">
        <v>232</v>
      </c>
      <c r="F662" s="7" t="s">
        <v>722</v>
      </c>
      <c r="G662" s="35" t="s">
        <v>723</v>
      </c>
      <c r="H662" s="36">
        <v>6.7000000000000004E-2</v>
      </c>
      <c r="I662" s="1"/>
      <c r="J662" s="6">
        <f>ROUND(I662*H662,2)</f>
        <v>0</v>
      </c>
      <c r="K662" s="151" t="s">
        <v>1</v>
      </c>
      <c r="L662" s="17"/>
      <c r="M662" s="8" t="s">
        <v>1</v>
      </c>
      <c r="N662" s="9" t="s">
        <v>33</v>
      </c>
      <c r="O662" s="10">
        <v>0</v>
      </c>
      <c r="P662" s="10">
        <f>O662*H662</f>
        <v>0</v>
      </c>
      <c r="Q662" s="10">
        <v>0</v>
      </c>
      <c r="R662" s="10">
        <f>Q662*H662</f>
        <v>0</v>
      </c>
      <c r="S662" s="10">
        <v>0</v>
      </c>
      <c r="T662" s="11">
        <f>S662*H662</f>
        <v>0</v>
      </c>
      <c r="U662" s="105"/>
      <c r="V662" s="17"/>
      <c r="W662" s="17"/>
      <c r="X662" s="17"/>
      <c r="Y662" s="17"/>
      <c r="Z662" s="17"/>
      <c r="AA662" s="17"/>
      <c r="AB662" s="17"/>
      <c r="AC662" s="105"/>
      <c r="AD662" s="105"/>
      <c r="AE662" s="105"/>
      <c r="AR662" s="12" t="s">
        <v>135</v>
      </c>
      <c r="AT662" s="12" t="s">
        <v>131</v>
      </c>
      <c r="AU662" s="12" t="s">
        <v>74</v>
      </c>
      <c r="AY662" s="13" t="s">
        <v>130</v>
      </c>
      <c r="BE662" s="14">
        <f>IF(N662="základní",J662,0)</f>
        <v>0</v>
      </c>
      <c r="BF662" s="14">
        <f>IF(N662="snížená",J662,0)</f>
        <v>0</v>
      </c>
      <c r="BG662" s="14">
        <f>IF(N662="zákl. přenesená",J662,0)</f>
        <v>0</v>
      </c>
      <c r="BH662" s="14">
        <f>IF(N662="sníž. přenesená",J662,0)</f>
        <v>0</v>
      </c>
      <c r="BI662" s="14">
        <f>IF(N662="nulová",J662,0)</f>
        <v>0</v>
      </c>
      <c r="BJ662" s="13" t="s">
        <v>74</v>
      </c>
      <c r="BK662" s="14">
        <f>ROUND(I662*H662,2)</f>
        <v>0</v>
      </c>
      <c r="BL662" s="13" t="s">
        <v>135</v>
      </c>
      <c r="BM662" s="12" t="s">
        <v>992</v>
      </c>
    </row>
    <row r="663" spans="1:65" s="5" customFormat="1" ht="16.5" customHeight="1" x14ac:dyDescent="0.2">
      <c r="A663" s="105"/>
      <c r="B663" s="140"/>
      <c r="C663" s="33" t="s">
        <v>993</v>
      </c>
      <c r="D663" s="33" t="s">
        <v>131</v>
      </c>
      <c r="E663" s="34" t="s">
        <v>246</v>
      </c>
      <c r="F663" s="7" t="s">
        <v>724</v>
      </c>
      <c r="G663" s="35" t="s">
        <v>723</v>
      </c>
      <c r="H663" s="36">
        <v>6.7000000000000004E-2</v>
      </c>
      <c r="I663" s="1"/>
      <c r="J663" s="6">
        <f>ROUND(I663*H663,2)</f>
        <v>0</v>
      </c>
      <c r="K663" s="151" t="s">
        <v>1</v>
      </c>
      <c r="L663" s="17"/>
      <c r="M663" s="8" t="s">
        <v>1</v>
      </c>
      <c r="N663" s="9" t="s">
        <v>33</v>
      </c>
      <c r="O663" s="10">
        <v>0</v>
      </c>
      <c r="P663" s="10">
        <f>O663*H663</f>
        <v>0</v>
      </c>
      <c r="Q663" s="10">
        <v>0</v>
      </c>
      <c r="R663" s="10">
        <f>Q663*H663</f>
        <v>0</v>
      </c>
      <c r="S663" s="10">
        <v>0</v>
      </c>
      <c r="T663" s="11">
        <f>S663*H663</f>
        <v>0</v>
      </c>
      <c r="U663" s="105"/>
      <c r="V663" s="17"/>
      <c r="W663" s="17"/>
      <c r="X663" s="17"/>
      <c r="Y663" s="17"/>
      <c r="Z663" s="17"/>
      <c r="AA663" s="17"/>
      <c r="AB663" s="17"/>
      <c r="AC663" s="105"/>
      <c r="AD663" s="105"/>
      <c r="AE663" s="105"/>
      <c r="AR663" s="12" t="s">
        <v>135</v>
      </c>
      <c r="AT663" s="12" t="s">
        <v>131</v>
      </c>
      <c r="AU663" s="12" t="s">
        <v>74</v>
      </c>
      <c r="AY663" s="13" t="s">
        <v>130</v>
      </c>
      <c r="BE663" s="14">
        <f>IF(N663="základní",J663,0)</f>
        <v>0</v>
      </c>
      <c r="BF663" s="14">
        <f>IF(N663="snížená",J663,0)</f>
        <v>0</v>
      </c>
      <c r="BG663" s="14">
        <f>IF(N663="zákl. přenesená",J663,0)</f>
        <v>0</v>
      </c>
      <c r="BH663" s="14">
        <f>IF(N663="sníž. přenesená",J663,0)</f>
        <v>0</v>
      </c>
      <c r="BI663" s="14">
        <f>IF(N663="nulová",J663,0)</f>
        <v>0</v>
      </c>
      <c r="BJ663" s="13" t="s">
        <v>74</v>
      </c>
      <c r="BK663" s="14">
        <f>ROUND(I663*H663,2)</f>
        <v>0</v>
      </c>
      <c r="BL663" s="13" t="s">
        <v>135</v>
      </c>
      <c r="BM663" s="12" t="s">
        <v>994</v>
      </c>
    </row>
    <row r="664" spans="1:65" s="5" customFormat="1" ht="16.5" customHeight="1" x14ac:dyDescent="0.2">
      <c r="A664" s="105"/>
      <c r="B664" s="140"/>
      <c r="C664" s="33" t="s">
        <v>614</v>
      </c>
      <c r="D664" s="33" t="s">
        <v>131</v>
      </c>
      <c r="E664" s="34" t="s">
        <v>744</v>
      </c>
      <c r="F664" s="7" t="s">
        <v>745</v>
      </c>
      <c r="G664" s="35" t="s">
        <v>134</v>
      </c>
      <c r="H664" s="36">
        <v>5</v>
      </c>
      <c r="I664" s="1"/>
      <c r="J664" s="6">
        <f>ROUND(I664*H664,2)</f>
        <v>0</v>
      </c>
      <c r="K664" s="151" t="s">
        <v>1</v>
      </c>
      <c r="L664" s="17"/>
      <c r="M664" s="8" t="s">
        <v>1</v>
      </c>
      <c r="N664" s="9" t="s">
        <v>33</v>
      </c>
      <c r="O664" s="10">
        <v>0</v>
      </c>
      <c r="P664" s="10">
        <f>O664*H664</f>
        <v>0</v>
      </c>
      <c r="Q664" s="10">
        <v>0</v>
      </c>
      <c r="R664" s="10">
        <f>Q664*H664</f>
        <v>0</v>
      </c>
      <c r="S664" s="10">
        <v>0</v>
      </c>
      <c r="T664" s="11">
        <f>S664*H664</f>
        <v>0</v>
      </c>
      <c r="U664" s="105"/>
      <c r="V664" s="17"/>
      <c r="W664" s="17"/>
      <c r="X664" s="17"/>
      <c r="Y664" s="17"/>
      <c r="Z664" s="17"/>
      <c r="AA664" s="17"/>
      <c r="AB664" s="17"/>
      <c r="AC664" s="105"/>
      <c r="AD664" s="105"/>
      <c r="AE664" s="105"/>
      <c r="AR664" s="12" t="s">
        <v>135</v>
      </c>
      <c r="AT664" s="12" t="s">
        <v>131</v>
      </c>
      <c r="AU664" s="12" t="s">
        <v>74</v>
      </c>
      <c r="AY664" s="13" t="s">
        <v>130</v>
      </c>
      <c r="BE664" s="14">
        <f>IF(N664="základní",J664,0)</f>
        <v>0</v>
      </c>
      <c r="BF664" s="14">
        <f>IF(N664="snížená",J664,0)</f>
        <v>0</v>
      </c>
      <c r="BG664" s="14">
        <f>IF(N664="zákl. přenesená",J664,0)</f>
        <v>0</v>
      </c>
      <c r="BH664" s="14">
        <f>IF(N664="sníž. přenesená",J664,0)</f>
        <v>0</v>
      </c>
      <c r="BI664" s="14">
        <f>IF(N664="nulová",J664,0)</f>
        <v>0</v>
      </c>
      <c r="BJ664" s="13" t="s">
        <v>74</v>
      </c>
      <c r="BK664" s="14">
        <f>ROUND(I664*H664,2)</f>
        <v>0</v>
      </c>
      <c r="BL664" s="13" t="s">
        <v>135</v>
      </c>
      <c r="BM664" s="12" t="s">
        <v>995</v>
      </c>
    </row>
    <row r="665" spans="1:65" s="5" customFormat="1" ht="19.5" x14ac:dyDescent="0.2">
      <c r="A665" s="105"/>
      <c r="B665" s="140"/>
      <c r="C665" s="17"/>
      <c r="D665" s="141" t="s">
        <v>148</v>
      </c>
      <c r="E665" s="17"/>
      <c r="F665" s="142" t="s">
        <v>737</v>
      </c>
      <c r="G665" s="17"/>
      <c r="H665" s="17"/>
      <c r="I665" s="17"/>
      <c r="J665" s="17"/>
      <c r="K665" s="143"/>
      <c r="L665" s="17"/>
      <c r="M665" s="15"/>
      <c r="N665" s="16"/>
      <c r="O665" s="17"/>
      <c r="P665" s="17"/>
      <c r="Q665" s="17"/>
      <c r="R665" s="17"/>
      <c r="S665" s="17"/>
      <c r="T665" s="18"/>
      <c r="U665" s="105"/>
      <c r="V665" s="17"/>
      <c r="W665" s="17"/>
      <c r="X665" s="17"/>
      <c r="Y665" s="17"/>
      <c r="Z665" s="17"/>
      <c r="AA665" s="17"/>
      <c r="AB665" s="17"/>
      <c r="AC665" s="105"/>
      <c r="AD665" s="105"/>
      <c r="AE665" s="105"/>
      <c r="AT665" s="13" t="s">
        <v>148</v>
      </c>
      <c r="AU665" s="13" t="s">
        <v>74</v>
      </c>
    </row>
    <row r="666" spans="1:65" s="5" customFormat="1" ht="16.5" customHeight="1" x14ac:dyDescent="0.2">
      <c r="A666" s="105"/>
      <c r="B666" s="140"/>
      <c r="C666" s="33" t="s">
        <v>996</v>
      </c>
      <c r="D666" s="33" t="s">
        <v>131</v>
      </c>
      <c r="E666" s="34" t="s">
        <v>784</v>
      </c>
      <c r="F666" s="7" t="s">
        <v>785</v>
      </c>
      <c r="G666" s="35" t="s">
        <v>134</v>
      </c>
      <c r="H666" s="36">
        <v>1</v>
      </c>
      <c r="I666" s="1"/>
      <c r="J666" s="6">
        <f>ROUND(I666*H666,2)</f>
        <v>0</v>
      </c>
      <c r="K666" s="151" t="s">
        <v>1</v>
      </c>
      <c r="L666" s="17"/>
      <c r="M666" s="8" t="s">
        <v>1</v>
      </c>
      <c r="N666" s="9" t="s">
        <v>33</v>
      </c>
      <c r="O666" s="10">
        <v>0</v>
      </c>
      <c r="P666" s="10">
        <f>O666*H666</f>
        <v>0</v>
      </c>
      <c r="Q666" s="10">
        <v>0</v>
      </c>
      <c r="R666" s="10">
        <f>Q666*H666</f>
        <v>0</v>
      </c>
      <c r="S666" s="10">
        <v>0</v>
      </c>
      <c r="T666" s="11">
        <f>S666*H666</f>
        <v>0</v>
      </c>
      <c r="U666" s="105"/>
      <c r="V666" s="17"/>
      <c r="W666" s="17"/>
      <c r="X666" s="17"/>
      <c r="Y666" s="17"/>
      <c r="Z666" s="17"/>
      <c r="AA666" s="17"/>
      <c r="AB666" s="17"/>
      <c r="AC666" s="105"/>
      <c r="AD666" s="105"/>
      <c r="AE666" s="105"/>
      <c r="AR666" s="12" t="s">
        <v>135</v>
      </c>
      <c r="AT666" s="12" t="s">
        <v>131</v>
      </c>
      <c r="AU666" s="12" t="s">
        <v>74</v>
      </c>
      <c r="AY666" s="13" t="s">
        <v>130</v>
      </c>
      <c r="BE666" s="14">
        <f>IF(N666="základní",J666,0)</f>
        <v>0</v>
      </c>
      <c r="BF666" s="14">
        <f>IF(N666="snížená",J666,0)</f>
        <v>0</v>
      </c>
      <c r="BG666" s="14">
        <f>IF(N666="zákl. přenesená",J666,0)</f>
        <v>0</v>
      </c>
      <c r="BH666" s="14">
        <f>IF(N666="sníž. přenesená",J666,0)</f>
        <v>0</v>
      </c>
      <c r="BI666" s="14">
        <f>IF(N666="nulová",J666,0)</f>
        <v>0</v>
      </c>
      <c r="BJ666" s="13" t="s">
        <v>74</v>
      </c>
      <c r="BK666" s="14">
        <f>ROUND(I666*H666,2)</f>
        <v>0</v>
      </c>
      <c r="BL666" s="13" t="s">
        <v>135</v>
      </c>
      <c r="BM666" s="12" t="s">
        <v>997</v>
      </c>
    </row>
    <row r="667" spans="1:65" s="5" customFormat="1" ht="16.5" customHeight="1" x14ac:dyDescent="0.2">
      <c r="A667" s="105"/>
      <c r="B667" s="140"/>
      <c r="C667" s="33" t="s">
        <v>615</v>
      </c>
      <c r="D667" s="33" t="s">
        <v>131</v>
      </c>
      <c r="E667" s="34" t="s">
        <v>728</v>
      </c>
      <c r="F667" s="7" t="s">
        <v>729</v>
      </c>
      <c r="G667" s="35" t="s">
        <v>134</v>
      </c>
      <c r="H667" s="36">
        <v>42.064</v>
      </c>
      <c r="I667" s="1"/>
      <c r="J667" s="6">
        <f>ROUND(I667*H667,2)</f>
        <v>0</v>
      </c>
      <c r="K667" s="151" t="s">
        <v>1</v>
      </c>
      <c r="L667" s="17"/>
      <c r="M667" s="8" t="s">
        <v>1</v>
      </c>
      <c r="N667" s="9" t="s">
        <v>33</v>
      </c>
      <c r="O667" s="10">
        <v>0</v>
      </c>
      <c r="P667" s="10">
        <f>O667*H667</f>
        <v>0</v>
      </c>
      <c r="Q667" s="10">
        <v>0</v>
      </c>
      <c r="R667" s="10">
        <f>Q667*H667</f>
        <v>0</v>
      </c>
      <c r="S667" s="10">
        <v>0</v>
      </c>
      <c r="T667" s="11">
        <f>S667*H667</f>
        <v>0</v>
      </c>
      <c r="U667" s="105"/>
      <c r="V667" s="17"/>
      <c r="W667" s="17"/>
      <c r="X667" s="17"/>
      <c r="Y667" s="17"/>
      <c r="Z667" s="17"/>
      <c r="AA667" s="17"/>
      <c r="AB667" s="17"/>
      <c r="AC667" s="105"/>
      <c r="AD667" s="105"/>
      <c r="AE667" s="105"/>
      <c r="AR667" s="12" t="s">
        <v>135</v>
      </c>
      <c r="AT667" s="12" t="s">
        <v>131</v>
      </c>
      <c r="AU667" s="12" t="s">
        <v>74</v>
      </c>
      <c r="AY667" s="13" t="s">
        <v>130</v>
      </c>
      <c r="BE667" s="14">
        <f>IF(N667="základní",J667,0)</f>
        <v>0</v>
      </c>
      <c r="BF667" s="14">
        <f>IF(N667="snížená",J667,0)</f>
        <v>0</v>
      </c>
      <c r="BG667" s="14">
        <f>IF(N667="zákl. přenesená",J667,0)</f>
        <v>0</v>
      </c>
      <c r="BH667" s="14">
        <f>IF(N667="sníž. přenesená",J667,0)</f>
        <v>0</v>
      </c>
      <c r="BI667" s="14">
        <f>IF(N667="nulová",J667,0)</f>
        <v>0</v>
      </c>
      <c r="BJ667" s="13" t="s">
        <v>74</v>
      </c>
      <c r="BK667" s="14">
        <f>ROUND(I667*H667,2)</f>
        <v>0</v>
      </c>
      <c r="BL667" s="13" t="s">
        <v>135</v>
      </c>
      <c r="BM667" s="12" t="s">
        <v>998</v>
      </c>
    </row>
    <row r="668" spans="1:65" s="5" customFormat="1" ht="16.5" customHeight="1" x14ac:dyDescent="0.2">
      <c r="A668" s="105"/>
      <c r="B668" s="140"/>
      <c r="C668" s="33" t="s">
        <v>999</v>
      </c>
      <c r="D668" s="33" t="s">
        <v>131</v>
      </c>
      <c r="E668" s="34" t="s">
        <v>764</v>
      </c>
      <c r="F668" s="7" t="s">
        <v>726</v>
      </c>
      <c r="G668" s="35" t="s">
        <v>134</v>
      </c>
      <c r="H668" s="36">
        <v>42.064</v>
      </c>
      <c r="I668" s="1"/>
      <c r="J668" s="6">
        <f>ROUND(I668*H668,2)</f>
        <v>0</v>
      </c>
      <c r="K668" s="151" t="s">
        <v>1</v>
      </c>
      <c r="L668" s="17"/>
      <c r="M668" s="8" t="s">
        <v>1</v>
      </c>
      <c r="N668" s="9" t="s">
        <v>33</v>
      </c>
      <c r="O668" s="10">
        <v>0</v>
      </c>
      <c r="P668" s="10">
        <f>O668*H668</f>
        <v>0</v>
      </c>
      <c r="Q668" s="10">
        <v>0</v>
      </c>
      <c r="R668" s="10">
        <f>Q668*H668</f>
        <v>0</v>
      </c>
      <c r="S668" s="10">
        <v>0</v>
      </c>
      <c r="T668" s="11">
        <f>S668*H668</f>
        <v>0</v>
      </c>
      <c r="U668" s="105"/>
      <c r="V668" s="17"/>
      <c r="W668" s="17"/>
      <c r="X668" s="17"/>
      <c r="Y668" s="17"/>
      <c r="Z668" s="17"/>
      <c r="AA668" s="17"/>
      <c r="AB668" s="17"/>
      <c r="AC668" s="105"/>
      <c r="AD668" s="105"/>
      <c r="AE668" s="105"/>
      <c r="AR668" s="12" t="s">
        <v>135</v>
      </c>
      <c r="AT668" s="12" t="s">
        <v>131</v>
      </c>
      <c r="AU668" s="12" t="s">
        <v>74</v>
      </c>
      <c r="AY668" s="13" t="s">
        <v>130</v>
      </c>
      <c r="BE668" s="14">
        <f>IF(N668="základní",J668,0)</f>
        <v>0</v>
      </c>
      <c r="BF668" s="14">
        <f>IF(N668="snížená",J668,0)</f>
        <v>0</v>
      </c>
      <c r="BG668" s="14">
        <f>IF(N668="zákl. přenesená",J668,0)</f>
        <v>0</v>
      </c>
      <c r="BH668" s="14">
        <f>IF(N668="sníž. přenesená",J668,0)</f>
        <v>0</v>
      </c>
      <c r="BI668" s="14">
        <f>IF(N668="nulová",J668,0)</f>
        <v>0</v>
      </c>
      <c r="BJ668" s="13" t="s">
        <v>74</v>
      </c>
      <c r="BK668" s="14">
        <f>ROUND(I668*H668,2)</f>
        <v>0</v>
      </c>
      <c r="BL668" s="13" t="s">
        <v>135</v>
      </c>
      <c r="BM668" s="12" t="s">
        <v>1000</v>
      </c>
    </row>
    <row r="669" spans="1:65" s="5" customFormat="1" ht="29.25" x14ac:dyDescent="0.2">
      <c r="A669" s="105"/>
      <c r="B669" s="140"/>
      <c r="C669" s="17"/>
      <c r="D669" s="141" t="s">
        <v>148</v>
      </c>
      <c r="E669" s="17"/>
      <c r="F669" s="142" t="s">
        <v>747</v>
      </c>
      <c r="G669" s="17"/>
      <c r="H669" s="17"/>
      <c r="I669" s="17"/>
      <c r="J669" s="17"/>
      <c r="K669" s="143"/>
      <c r="L669" s="17"/>
      <c r="M669" s="15"/>
      <c r="N669" s="16"/>
      <c r="O669" s="17"/>
      <c r="P669" s="17"/>
      <c r="Q669" s="17"/>
      <c r="R669" s="17"/>
      <c r="S669" s="17"/>
      <c r="T669" s="18"/>
      <c r="U669" s="105"/>
      <c r="V669" s="17"/>
      <c r="W669" s="17"/>
      <c r="X669" s="17"/>
      <c r="Y669" s="17"/>
      <c r="Z669" s="17"/>
      <c r="AA669" s="17"/>
      <c r="AB669" s="17"/>
      <c r="AC669" s="105"/>
      <c r="AD669" s="105"/>
      <c r="AE669" s="105"/>
      <c r="AT669" s="13" t="s">
        <v>148</v>
      </c>
      <c r="AU669" s="13" t="s">
        <v>74</v>
      </c>
    </row>
    <row r="670" spans="1:65" s="5" customFormat="1" ht="16.5" customHeight="1" x14ac:dyDescent="0.2">
      <c r="A670" s="105"/>
      <c r="B670" s="140"/>
      <c r="C670" s="33" t="s">
        <v>617</v>
      </c>
      <c r="D670" s="33" t="s">
        <v>131</v>
      </c>
      <c r="E670" s="34" t="s">
        <v>758</v>
      </c>
      <c r="F670" s="7" t="s">
        <v>759</v>
      </c>
      <c r="G670" s="35" t="s">
        <v>134</v>
      </c>
      <c r="H670" s="36">
        <v>16.771999999999998</v>
      </c>
      <c r="I670" s="1"/>
      <c r="J670" s="6">
        <f>ROUND(I670*H670,2)</f>
        <v>0</v>
      </c>
      <c r="K670" s="151" t="s">
        <v>1</v>
      </c>
      <c r="L670" s="17"/>
      <c r="M670" s="29" t="s">
        <v>1</v>
      </c>
      <c r="N670" s="30" t="s">
        <v>33</v>
      </c>
      <c r="O670" s="31">
        <v>0</v>
      </c>
      <c r="P670" s="31">
        <f>O670*H670</f>
        <v>0</v>
      </c>
      <c r="Q670" s="31">
        <v>0</v>
      </c>
      <c r="R670" s="31">
        <f>Q670*H670</f>
        <v>0</v>
      </c>
      <c r="S670" s="31">
        <v>0</v>
      </c>
      <c r="T670" s="32">
        <f>S670*H670</f>
        <v>0</v>
      </c>
      <c r="U670" s="105"/>
      <c r="V670" s="17"/>
      <c r="W670" s="17"/>
      <c r="X670" s="17"/>
      <c r="Y670" s="17"/>
      <c r="Z670" s="17"/>
      <c r="AA670" s="17"/>
      <c r="AB670" s="17"/>
      <c r="AC670" s="105"/>
      <c r="AD670" s="105"/>
      <c r="AE670" s="105"/>
      <c r="AR670" s="12" t="s">
        <v>135</v>
      </c>
      <c r="AT670" s="12" t="s">
        <v>131</v>
      </c>
      <c r="AU670" s="12" t="s">
        <v>74</v>
      </c>
      <c r="AY670" s="13" t="s">
        <v>130</v>
      </c>
      <c r="BE670" s="14">
        <f>IF(N670="základní",J670,0)</f>
        <v>0</v>
      </c>
      <c r="BF670" s="14">
        <f>IF(N670="snížená",J670,0)</f>
        <v>0</v>
      </c>
      <c r="BG670" s="14">
        <f>IF(N670="zákl. přenesená",J670,0)</f>
        <v>0</v>
      </c>
      <c r="BH670" s="14">
        <f>IF(N670="sníž. přenesená",J670,0)</f>
        <v>0</v>
      </c>
      <c r="BI670" s="14">
        <f>IF(N670="nulová",J670,0)</f>
        <v>0</v>
      </c>
      <c r="BJ670" s="13" t="s">
        <v>74</v>
      </c>
      <c r="BK670" s="14">
        <f>ROUND(I670*H670,2)</f>
        <v>0</v>
      </c>
      <c r="BL670" s="13" t="s">
        <v>135</v>
      </c>
      <c r="BM670" s="12" t="s">
        <v>1001</v>
      </c>
    </row>
    <row r="671" spans="1:65" s="5" customFormat="1" x14ac:dyDescent="0.2">
      <c r="B671" s="177"/>
      <c r="C671" s="16"/>
      <c r="D671" s="178" t="s">
        <v>340</v>
      </c>
      <c r="E671" s="16"/>
      <c r="F671" s="200" t="s">
        <v>1289</v>
      </c>
      <c r="G671" s="16"/>
      <c r="H671" s="16">
        <f>((4.07+3.24+2.84+1.83)*1.4)</f>
        <v>16.771999999999998</v>
      </c>
      <c r="I671" s="16"/>
      <c r="J671" s="16"/>
      <c r="K671" s="181"/>
      <c r="L671" s="52"/>
      <c r="M671" s="52"/>
      <c r="N671" s="52"/>
      <c r="O671" s="52"/>
      <c r="P671" s="52"/>
      <c r="Q671" s="52"/>
      <c r="R671" s="52"/>
      <c r="S671" s="128"/>
      <c r="V671" s="16"/>
      <c r="W671" s="16"/>
      <c r="X671" s="16"/>
      <c r="Y671" s="16"/>
      <c r="Z671" s="16"/>
      <c r="AA671" s="16"/>
      <c r="AB671" s="16"/>
      <c r="AZ671" s="126" t="s">
        <v>148</v>
      </c>
      <c r="BA671" s="126" t="s">
        <v>74</v>
      </c>
    </row>
    <row r="672" spans="1:65" s="5" customFormat="1" ht="6.95" customHeight="1" x14ac:dyDescent="0.2">
      <c r="A672" s="105"/>
      <c r="B672" s="148"/>
      <c r="C672" s="149"/>
      <c r="D672" s="149"/>
      <c r="E672" s="149"/>
      <c r="F672" s="149"/>
      <c r="G672" s="149"/>
      <c r="H672" s="149"/>
      <c r="I672" s="149"/>
      <c r="J672" s="149"/>
      <c r="K672" s="150"/>
      <c r="L672" s="17"/>
      <c r="M672" s="105"/>
      <c r="O672" s="105"/>
      <c r="P672" s="105"/>
      <c r="Q672" s="105"/>
      <c r="R672" s="105"/>
      <c r="S672" s="105"/>
      <c r="T672" s="105"/>
      <c r="U672" s="105"/>
      <c r="V672" s="17"/>
      <c r="W672" s="17"/>
      <c r="X672" s="17"/>
      <c r="Y672" s="17"/>
      <c r="Z672" s="17"/>
      <c r="AA672" s="17"/>
      <c r="AB672" s="17"/>
      <c r="AC672" s="105"/>
      <c r="AD672" s="105"/>
      <c r="AE672" s="105"/>
    </row>
    <row r="673" spans="22:28" x14ac:dyDescent="0.2">
      <c r="V673" s="201"/>
      <c r="W673" s="201"/>
      <c r="X673" s="201"/>
      <c r="Y673" s="201"/>
      <c r="Z673" s="201"/>
      <c r="AA673" s="201"/>
      <c r="AB673" s="201"/>
    </row>
    <row r="674" spans="22:28" x14ac:dyDescent="0.2">
      <c r="V674" s="201"/>
      <c r="W674" s="201"/>
      <c r="X674" s="201"/>
      <c r="Y674" s="201"/>
      <c r="Z674" s="201"/>
      <c r="AA674" s="201"/>
      <c r="AB674" s="201"/>
    </row>
    <row r="675" spans="22:28" x14ac:dyDescent="0.2">
      <c r="V675" s="201"/>
      <c r="W675" s="201"/>
      <c r="X675" s="201"/>
      <c r="Y675" s="201"/>
      <c r="Z675" s="201"/>
      <c r="AA675" s="201"/>
      <c r="AB675" s="201"/>
    </row>
    <row r="676" spans="22:28" x14ac:dyDescent="0.2">
      <c r="V676" s="201"/>
      <c r="W676" s="201"/>
      <c r="X676" s="201"/>
      <c r="Y676" s="201"/>
      <c r="Z676" s="201"/>
      <c r="AA676" s="201"/>
      <c r="AB676" s="201"/>
    </row>
  </sheetData>
  <sheetProtection algorithmName="SHA-512" hashValue="i+Zd+Flq5UuglS3N1Xz/XL/N2aYYurkRvQbhH0CVI2VYccdEDlOfMUM8+zpcvOauu/4ZNyMXKfzULy4NNfguMw==" saltValue="6dRNu3zb3wmb4KZbivnL7g==" spinCount="100000" sheet="1" objects="1" scenarios="1"/>
  <autoFilter ref="C141:K670"/>
  <mergeCells count="10">
    <mergeCell ref="E87:H87"/>
    <mergeCell ref="E132:H132"/>
    <mergeCell ref="E134:H134"/>
    <mergeCell ref="L2:V2"/>
    <mergeCell ref="C142:K14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5"/>
  <sheetViews>
    <sheetView showGridLines="0" topLeftCell="A122" zoomScale="90" zoomScaleNormal="90" workbookViewId="0">
      <selection activeCell="W143" sqref="W143"/>
    </sheetView>
  </sheetViews>
  <sheetFormatPr defaultColWidth="9.1640625" defaultRowHeight="11.25" x14ac:dyDescent="0.2"/>
  <cols>
    <col min="1" max="1" width="8.33203125" style="107" customWidth="1"/>
    <col min="2" max="2" width="1.1640625" style="107" customWidth="1"/>
    <col min="3" max="3" width="4.1640625" style="107" customWidth="1"/>
    <col min="4" max="4" width="4.33203125" style="107" customWidth="1"/>
    <col min="5" max="5" width="17.1640625" style="107" customWidth="1"/>
    <col min="6" max="6" width="100.83203125" style="107" customWidth="1"/>
    <col min="7" max="7" width="7.5" style="107" customWidth="1"/>
    <col min="8" max="8" width="14" style="107" customWidth="1"/>
    <col min="9" max="9" width="15.83203125" style="107" customWidth="1"/>
    <col min="10" max="11" width="22.33203125" style="107" customWidth="1"/>
    <col min="12" max="12" width="9.33203125" style="107" customWidth="1"/>
    <col min="13" max="13" width="10.83203125" style="107" hidden="1" customWidth="1"/>
    <col min="14" max="14" width="9.33203125" style="107" hidden="1"/>
    <col min="15" max="20" width="14.1640625" style="107" hidden="1" customWidth="1"/>
    <col min="21" max="21" width="16.33203125" style="107" hidden="1" customWidth="1"/>
    <col min="22" max="22" width="12.33203125" style="107" customWidth="1"/>
    <col min="23" max="23" width="16.33203125" style="107" customWidth="1"/>
    <col min="24" max="24" width="12.33203125" style="107" customWidth="1"/>
    <col min="25" max="25" width="15" style="107" customWidth="1"/>
    <col min="26" max="26" width="11" style="107" customWidth="1"/>
    <col min="27" max="27" width="15" style="107" customWidth="1"/>
    <col min="28" max="28" width="16.33203125" style="107" customWidth="1"/>
    <col min="29" max="29" width="11" style="107" customWidth="1"/>
    <col min="30" max="30" width="15" style="107" customWidth="1"/>
    <col min="31" max="31" width="16.33203125" style="107" customWidth="1"/>
    <col min="32" max="43" width="9.1640625" style="107"/>
    <col min="44" max="65" width="9.33203125" style="107" hidden="1"/>
    <col min="66" max="16384" width="9.1640625" style="107"/>
  </cols>
  <sheetData>
    <row r="2" spans="1:46" ht="36.950000000000003" customHeight="1" x14ac:dyDescent="0.2">
      <c r="L2" s="306" t="s">
        <v>5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3" t="s">
        <v>82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106" t="s">
        <v>14</v>
      </c>
      <c r="L6" s="42"/>
    </row>
    <row r="7" spans="1:46" ht="16.5" customHeight="1" x14ac:dyDescent="0.2">
      <c r="B7" s="42"/>
      <c r="E7" s="312" t="str">
        <f>'Rekapitulace stavby'!K6</f>
        <v>REKONSTRUKCE A DOSTAVBA BUDOV FF UK - DVD</v>
      </c>
      <c r="F7" s="313"/>
      <c r="G7" s="313"/>
      <c r="H7" s="313"/>
      <c r="L7" s="42"/>
    </row>
    <row r="8" spans="1:46" s="5" customFormat="1" ht="12" customHeight="1" x14ac:dyDescent="0.2">
      <c r="A8" s="105"/>
      <c r="B8" s="4"/>
      <c r="C8" s="105"/>
      <c r="D8" s="106" t="s">
        <v>87</v>
      </c>
      <c r="E8" s="105"/>
      <c r="F8" s="105"/>
      <c r="G8" s="105"/>
      <c r="H8" s="105"/>
      <c r="I8" s="105"/>
      <c r="J8" s="105"/>
      <c r="K8" s="105"/>
      <c r="L8" s="4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46" s="5" customFormat="1" ht="16.5" customHeight="1" x14ac:dyDescent="0.2">
      <c r="A9" s="105"/>
      <c r="B9" s="4"/>
      <c r="C9" s="105"/>
      <c r="D9" s="105"/>
      <c r="E9" s="277" t="s">
        <v>1213</v>
      </c>
      <c r="F9" s="311"/>
      <c r="G9" s="311"/>
      <c r="H9" s="311"/>
      <c r="I9" s="105"/>
      <c r="J9" s="105"/>
      <c r="K9" s="105"/>
      <c r="L9" s="4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46" s="5" customFormat="1" x14ac:dyDescent="0.2">
      <c r="A10" s="105"/>
      <c r="B10" s="4"/>
      <c r="C10" s="105"/>
      <c r="D10" s="105"/>
      <c r="E10" s="105"/>
      <c r="F10" s="105"/>
      <c r="G10" s="105"/>
      <c r="H10" s="105"/>
      <c r="I10" s="105"/>
      <c r="J10" s="105"/>
      <c r="K10" s="105"/>
      <c r="L10" s="4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46" s="5" customFormat="1" ht="12" customHeight="1" x14ac:dyDescent="0.2">
      <c r="A11" s="105"/>
      <c r="B11" s="4"/>
      <c r="C11" s="105"/>
      <c r="D11" s="106" t="s">
        <v>15</v>
      </c>
      <c r="E11" s="105"/>
      <c r="F11" s="46" t="s">
        <v>1291</v>
      </c>
      <c r="G11" s="105"/>
      <c r="H11" s="105"/>
      <c r="I11" s="106" t="s">
        <v>16</v>
      </c>
      <c r="J11" s="108" t="s">
        <v>1</v>
      </c>
      <c r="K11" s="105"/>
      <c r="L11" s="4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46" s="5" customFormat="1" ht="12" customHeight="1" x14ac:dyDescent="0.2">
      <c r="A12" s="105"/>
      <c r="B12" s="4"/>
      <c r="C12" s="105"/>
      <c r="D12" s="106" t="s">
        <v>17</v>
      </c>
      <c r="E12" s="105"/>
      <c r="F12" s="46" t="s">
        <v>1292</v>
      </c>
      <c r="G12" s="105"/>
      <c r="H12" s="105"/>
      <c r="I12" s="106" t="s">
        <v>19</v>
      </c>
      <c r="J12" s="47">
        <f>'Rekapitulace stavby'!AN8</f>
        <v>44310</v>
      </c>
      <c r="K12" s="105"/>
      <c r="L12" s="4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46" s="5" customFormat="1" ht="10.9" customHeight="1" x14ac:dyDescent="0.2">
      <c r="A13" s="105"/>
      <c r="B13" s="4"/>
      <c r="C13" s="105"/>
      <c r="D13" s="105"/>
      <c r="E13" s="105"/>
      <c r="F13" s="105"/>
      <c r="G13" s="105"/>
      <c r="H13" s="105"/>
      <c r="I13" s="105"/>
      <c r="J13" s="105"/>
      <c r="K13" s="105"/>
      <c r="L13" s="4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46" s="5" customFormat="1" ht="12" customHeight="1" x14ac:dyDescent="0.2">
      <c r="A14" s="105"/>
      <c r="B14" s="4"/>
      <c r="C14" s="105"/>
      <c r="D14" s="106" t="s">
        <v>20</v>
      </c>
      <c r="E14" s="105"/>
      <c r="F14" s="105"/>
      <c r="G14" s="105"/>
      <c r="H14" s="105"/>
      <c r="I14" s="106" t="s">
        <v>21</v>
      </c>
      <c r="J14" s="108" t="str">
        <f>IF('Rekapitulace stavby'!AN10="","",'Rekapitulace stavby'!AN10)</f>
        <v/>
      </c>
      <c r="K14" s="105"/>
      <c r="L14" s="4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46" s="5" customFormat="1" ht="18" customHeight="1" x14ac:dyDescent="0.2">
      <c r="A15" s="105"/>
      <c r="B15" s="4"/>
      <c r="C15" s="105"/>
      <c r="D15" s="105"/>
      <c r="E15" s="48" t="s">
        <v>1293</v>
      </c>
      <c r="F15" s="105"/>
      <c r="G15" s="105"/>
      <c r="H15" s="105"/>
      <c r="I15" s="106" t="s">
        <v>22</v>
      </c>
      <c r="J15" s="108" t="str">
        <f>IF('Rekapitulace stavby'!AN11="","",'Rekapitulace stavby'!AN11)</f>
        <v/>
      </c>
      <c r="K15" s="105"/>
      <c r="L15" s="4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46" s="5" customFormat="1" ht="6.95" customHeight="1" x14ac:dyDescent="0.2">
      <c r="A16" s="105"/>
      <c r="B16" s="4"/>
      <c r="C16" s="105"/>
      <c r="D16" s="105"/>
      <c r="E16" s="105"/>
      <c r="F16" s="105"/>
      <c r="G16" s="105"/>
      <c r="H16" s="105"/>
      <c r="I16" s="105"/>
      <c r="J16" s="105"/>
      <c r="K16" s="105"/>
      <c r="L16" s="4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31" s="5" customFormat="1" ht="12" customHeight="1" x14ac:dyDescent="0.2">
      <c r="A17" s="105"/>
      <c r="B17" s="4"/>
      <c r="C17" s="105"/>
      <c r="D17" s="106" t="s">
        <v>23</v>
      </c>
      <c r="E17" s="105"/>
      <c r="F17" s="105"/>
      <c r="G17" s="105"/>
      <c r="H17" s="105"/>
      <c r="I17" s="106" t="s">
        <v>21</v>
      </c>
      <c r="J17" s="108" t="str">
        <f>'Rekapitulace stavby'!AN13</f>
        <v/>
      </c>
      <c r="K17" s="105"/>
      <c r="L17" s="4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</row>
    <row r="18" spans="1:31" s="5" customFormat="1" ht="18" customHeight="1" x14ac:dyDescent="0.2">
      <c r="A18" s="105"/>
      <c r="B18" s="4"/>
      <c r="C18" s="105"/>
      <c r="D18" s="105"/>
      <c r="E18" s="299" t="str">
        <f>'Rekapitulace stavby'!E14</f>
        <v xml:space="preserve"> </v>
      </c>
      <c r="F18" s="299"/>
      <c r="G18" s="299"/>
      <c r="H18" s="299"/>
      <c r="I18" s="106" t="s">
        <v>22</v>
      </c>
      <c r="J18" s="108" t="str">
        <f>'Rekapitulace stavby'!AN14</f>
        <v/>
      </c>
      <c r="K18" s="105"/>
      <c r="L18" s="4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5" customFormat="1" ht="6.95" customHeight="1" x14ac:dyDescent="0.2">
      <c r="A19" s="105"/>
      <c r="B19" s="4"/>
      <c r="C19" s="105"/>
      <c r="D19" s="105"/>
      <c r="E19" s="105"/>
      <c r="F19" s="105"/>
      <c r="G19" s="105"/>
      <c r="H19" s="105"/>
      <c r="I19" s="105"/>
      <c r="J19" s="105"/>
      <c r="K19" s="105"/>
      <c r="L19" s="4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</row>
    <row r="20" spans="1:31" s="5" customFormat="1" ht="12" customHeight="1" x14ac:dyDescent="0.2">
      <c r="A20" s="105"/>
      <c r="B20" s="4"/>
      <c r="C20" s="105"/>
      <c r="D20" s="106" t="s">
        <v>24</v>
      </c>
      <c r="E20" s="105"/>
      <c r="F20" s="105"/>
      <c r="G20" s="105"/>
      <c r="H20" s="105"/>
      <c r="I20" s="106" t="s">
        <v>21</v>
      </c>
      <c r="J20" s="108" t="str">
        <f>IF('Rekapitulace stavby'!AN16="","",'Rekapitulace stavby'!AN16)</f>
        <v/>
      </c>
      <c r="K20" s="105"/>
      <c r="L20" s="4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</row>
    <row r="21" spans="1:31" s="5" customFormat="1" ht="18" customHeight="1" x14ac:dyDescent="0.2">
      <c r="A21" s="105"/>
      <c r="B21" s="4"/>
      <c r="C21" s="105"/>
      <c r="D21" s="105"/>
      <c r="E21" s="48" t="s">
        <v>1294</v>
      </c>
      <c r="F21" s="105"/>
      <c r="G21" s="105"/>
      <c r="H21" s="105"/>
      <c r="I21" s="106" t="s">
        <v>22</v>
      </c>
      <c r="J21" s="108" t="str">
        <f>IF('Rekapitulace stavby'!AN17="","",'Rekapitulace stavby'!AN17)</f>
        <v/>
      </c>
      <c r="K21" s="105"/>
      <c r="L21" s="4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</row>
    <row r="22" spans="1:31" s="5" customFormat="1" ht="6.95" customHeight="1" x14ac:dyDescent="0.2">
      <c r="A22" s="105"/>
      <c r="B22" s="4"/>
      <c r="C22" s="105"/>
      <c r="D22" s="105"/>
      <c r="E22" s="105"/>
      <c r="F22" s="105"/>
      <c r="G22" s="105"/>
      <c r="H22" s="105"/>
      <c r="I22" s="105"/>
      <c r="J22" s="105"/>
      <c r="K22" s="105"/>
      <c r="L22" s="4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</row>
    <row r="23" spans="1:31" s="5" customFormat="1" ht="12" customHeight="1" x14ac:dyDescent="0.2">
      <c r="A23" s="105"/>
      <c r="B23" s="4"/>
      <c r="C23" s="105"/>
      <c r="D23" s="106" t="s">
        <v>26</v>
      </c>
      <c r="E23" s="105"/>
      <c r="F23" s="105"/>
      <c r="G23" s="105"/>
      <c r="H23" s="105"/>
      <c r="I23" s="106" t="s">
        <v>21</v>
      </c>
      <c r="J23" s="108" t="str">
        <f>IF('Rekapitulace stavby'!AN19="","",'Rekapitulace stavby'!AN19)</f>
        <v/>
      </c>
      <c r="K23" s="105"/>
      <c r="L23" s="4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</row>
    <row r="24" spans="1:31" s="5" customFormat="1" ht="18" customHeight="1" x14ac:dyDescent="0.2">
      <c r="A24" s="105"/>
      <c r="B24" s="4"/>
      <c r="C24" s="105"/>
      <c r="D24" s="105"/>
      <c r="E24" s="48" t="s">
        <v>1295</v>
      </c>
      <c r="F24" s="105"/>
      <c r="G24" s="105"/>
      <c r="H24" s="105"/>
      <c r="I24" s="106" t="s">
        <v>22</v>
      </c>
      <c r="J24" s="108" t="str">
        <f>IF('Rekapitulace stavby'!AN20="","",'Rekapitulace stavby'!AN20)</f>
        <v/>
      </c>
      <c r="K24" s="105"/>
      <c r="L24" s="4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</row>
    <row r="25" spans="1:31" s="5" customFormat="1" ht="6.95" customHeight="1" x14ac:dyDescent="0.2">
      <c r="A25" s="105"/>
      <c r="B25" s="4"/>
      <c r="C25" s="105"/>
      <c r="D25" s="105"/>
      <c r="E25" s="105"/>
      <c r="F25" s="105"/>
      <c r="G25" s="105"/>
      <c r="H25" s="105"/>
      <c r="I25" s="105"/>
      <c r="J25" s="105"/>
      <c r="K25" s="105"/>
      <c r="L25" s="4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5" customFormat="1" ht="12" customHeight="1" x14ac:dyDescent="0.2">
      <c r="A26" s="105"/>
      <c r="B26" s="4"/>
      <c r="C26" s="105"/>
      <c r="D26" s="106" t="s">
        <v>27</v>
      </c>
      <c r="E26" s="105"/>
      <c r="F26" s="105"/>
      <c r="G26" s="105"/>
      <c r="H26" s="105"/>
      <c r="I26" s="105"/>
      <c r="J26" s="105"/>
      <c r="K26" s="105"/>
      <c r="L26" s="4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</row>
    <row r="27" spans="1:31" s="52" customFormat="1" ht="16.5" customHeight="1" x14ac:dyDescent="0.2">
      <c r="A27" s="49"/>
      <c r="B27" s="50"/>
      <c r="C27" s="49"/>
      <c r="D27" s="49"/>
      <c r="E27" s="302" t="s">
        <v>1</v>
      </c>
      <c r="F27" s="302"/>
      <c r="G27" s="302"/>
      <c r="H27" s="302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105"/>
      <c r="B28" s="4"/>
      <c r="C28" s="105"/>
      <c r="D28" s="105"/>
      <c r="E28" s="105"/>
      <c r="F28" s="105"/>
      <c r="G28" s="105"/>
      <c r="H28" s="105"/>
      <c r="I28" s="105"/>
      <c r="J28" s="105"/>
      <c r="K28" s="105"/>
      <c r="L28" s="4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s="5" customFormat="1" ht="6.95" customHeight="1" x14ac:dyDescent="0.2">
      <c r="A29" s="105"/>
      <c r="B29" s="4"/>
      <c r="C29" s="105"/>
      <c r="D29" s="53"/>
      <c r="E29" s="53"/>
      <c r="F29" s="53"/>
      <c r="G29" s="53"/>
      <c r="H29" s="53"/>
      <c r="I29" s="53"/>
      <c r="J29" s="53"/>
      <c r="K29" s="53"/>
      <c r="L29" s="4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5" customFormat="1" ht="25.35" customHeight="1" x14ac:dyDescent="0.2">
      <c r="A30" s="105"/>
      <c r="B30" s="4"/>
      <c r="C30" s="105"/>
      <c r="D30" s="54" t="s">
        <v>28</v>
      </c>
      <c r="E30" s="105"/>
      <c r="F30" s="105"/>
      <c r="G30" s="105"/>
      <c r="H30" s="105"/>
      <c r="I30" s="105"/>
      <c r="J30" s="55">
        <f>ROUND(J138, 2)</f>
        <v>0</v>
      </c>
      <c r="K30" s="105"/>
      <c r="L30" s="4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</row>
    <row r="31" spans="1:31" s="5" customFormat="1" ht="6.95" customHeight="1" x14ac:dyDescent="0.2">
      <c r="A31" s="105"/>
      <c r="B31" s="4"/>
      <c r="C31" s="105"/>
      <c r="D31" s="53"/>
      <c r="E31" s="53"/>
      <c r="F31" s="53"/>
      <c r="G31" s="53"/>
      <c r="H31" s="53"/>
      <c r="I31" s="53"/>
      <c r="J31" s="53"/>
      <c r="K31" s="53"/>
      <c r="L31" s="4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5" customFormat="1" ht="14.45" customHeight="1" x14ac:dyDescent="0.2">
      <c r="A32" s="105"/>
      <c r="B32" s="4"/>
      <c r="C32" s="105"/>
      <c r="D32" s="105"/>
      <c r="E32" s="105"/>
      <c r="F32" s="56" t="s">
        <v>30</v>
      </c>
      <c r="G32" s="105"/>
      <c r="H32" s="105"/>
      <c r="I32" s="56" t="s">
        <v>29</v>
      </c>
      <c r="J32" s="56" t="s">
        <v>31</v>
      </c>
      <c r="K32" s="105"/>
      <c r="L32" s="4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</row>
    <row r="33" spans="1:31" s="5" customFormat="1" ht="14.45" customHeight="1" x14ac:dyDescent="0.2">
      <c r="A33" s="105"/>
      <c r="B33" s="4"/>
      <c r="C33" s="105"/>
      <c r="D33" s="57" t="s">
        <v>32</v>
      </c>
      <c r="E33" s="106" t="s">
        <v>33</v>
      </c>
      <c r="F33" s="58">
        <f>ROUND((SUM(BE138:BE314)),  2)</f>
        <v>0</v>
      </c>
      <c r="G33" s="105"/>
      <c r="H33" s="105"/>
      <c r="I33" s="59">
        <v>0.21</v>
      </c>
      <c r="J33" s="58">
        <f>ROUND(((SUM(BE138:BE314))*I33),  2)</f>
        <v>0</v>
      </c>
      <c r="K33" s="105"/>
      <c r="L33" s="4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</row>
    <row r="34" spans="1:31" s="5" customFormat="1" ht="14.45" customHeight="1" x14ac:dyDescent="0.2">
      <c r="A34" s="105"/>
      <c r="B34" s="4"/>
      <c r="C34" s="105"/>
      <c r="D34" s="105"/>
      <c r="E34" s="106" t="s">
        <v>34</v>
      </c>
      <c r="F34" s="58">
        <f>ROUND((SUM(BF138:BF314)),  2)</f>
        <v>0</v>
      </c>
      <c r="G34" s="105"/>
      <c r="H34" s="105"/>
      <c r="I34" s="59">
        <v>0.15</v>
      </c>
      <c r="J34" s="58">
        <f>ROUND(((SUM(BF138:BF314))*I34),  2)</f>
        <v>0</v>
      </c>
      <c r="K34" s="105"/>
      <c r="L34" s="4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</row>
    <row r="35" spans="1:31" s="5" customFormat="1" ht="14.45" hidden="1" customHeight="1" x14ac:dyDescent="0.2">
      <c r="A35" s="105"/>
      <c r="B35" s="4"/>
      <c r="C35" s="105"/>
      <c r="D35" s="105"/>
      <c r="E35" s="106" t="s">
        <v>35</v>
      </c>
      <c r="F35" s="58">
        <f>ROUND((SUM(BG138:BG314)),  2)</f>
        <v>0</v>
      </c>
      <c r="G35" s="105"/>
      <c r="H35" s="105"/>
      <c r="I35" s="59">
        <v>0.21</v>
      </c>
      <c r="J35" s="58">
        <f>0</f>
        <v>0</v>
      </c>
      <c r="K35" s="105"/>
      <c r="L35" s="4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</row>
    <row r="36" spans="1:31" s="5" customFormat="1" ht="14.45" hidden="1" customHeight="1" x14ac:dyDescent="0.2">
      <c r="A36" s="105"/>
      <c r="B36" s="4"/>
      <c r="C36" s="105"/>
      <c r="D36" s="105"/>
      <c r="E36" s="106" t="s">
        <v>36</v>
      </c>
      <c r="F36" s="58">
        <f>ROUND((SUM(BH138:BH314)),  2)</f>
        <v>0</v>
      </c>
      <c r="G36" s="105"/>
      <c r="H36" s="105"/>
      <c r="I36" s="59">
        <v>0.15</v>
      </c>
      <c r="J36" s="58">
        <f>0</f>
        <v>0</v>
      </c>
      <c r="K36" s="105"/>
      <c r="L36" s="4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</row>
    <row r="37" spans="1:31" s="5" customFormat="1" ht="14.45" hidden="1" customHeight="1" x14ac:dyDescent="0.2">
      <c r="A37" s="105"/>
      <c r="B37" s="4"/>
      <c r="C37" s="105"/>
      <c r="D37" s="105"/>
      <c r="E37" s="106" t="s">
        <v>37</v>
      </c>
      <c r="F37" s="58">
        <f>ROUND((SUM(BI138:BI314)),  2)</f>
        <v>0</v>
      </c>
      <c r="G37" s="105"/>
      <c r="H37" s="105"/>
      <c r="I37" s="59">
        <v>0</v>
      </c>
      <c r="J37" s="58">
        <f>0</f>
        <v>0</v>
      </c>
      <c r="K37" s="105"/>
      <c r="L37" s="4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</row>
    <row r="38" spans="1:31" s="5" customFormat="1" ht="6.95" customHeight="1" x14ac:dyDescent="0.2">
      <c r="A38" s="105"/>
      <c r="B38" s="4"/>
      <c r="C38" s="105"/>
      <c r="D38" s="105"/>
      <c r="E38" s="105"/>
      <c r="F38" s="105"/>
      <c r="G38" s="105"/>
      <c r="H38" s="105"/>
      <c r="I38" s="105"/>
      <c r="J38" s="105"/>
      <c r="K38" s="105"/>
      <c r="L38" s="4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</row>
    <row r="39" spans="1:31" s="5" customFormat="1" ht="25.35" customHeight="1" x14ac:dyDescent="0.2">
      <c r="A39" s="105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</row>
    <row r="40" spans="1:31" s="5" customFormat="1" ht="14.45" customHeight="1" x14ac:dyDescent="0.2">
      <c r="A40" s="105"/>
      <c r="B40" s="4"/>
      <c r="C40" s="105"/>
      <c r="D40" s="105"/>
      <c r="E40" s="105"/>
      <c r="F40" s="105"/>
      <c r="G40" s="105"/>
      <c r="H40" s="105"/>
      <c r="I40" s="105"/>
      <c r="J40" s="105"/>
      <c r="K40" s="105"/>
      <c r="L40" s="4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105"/>
      <c r="B61" s="4"/>
      <c r="C61" s="105"/>
      <c r="D61" s="69" t="s">
        <v>43</v>
      </c>
      <c r="E61" s="70"/>
      <c r="F61" s="71" t="s">
        <v>44</v>
      </c>
      <c r="G61" s="69" t="s">
        <v>43</v>
      </c>
      <c r="H61" s="70"/>
      <c r="I61" s="70"/>
      <c r="J61" s="72" t="s">
        <v>44</v>
      </c>
      <c r="K61" s="70"/>
      <c r="L61" s="4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105"/>
      <c r="B65" s="4"/>
      <c r="C65" s="105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105"/>
      <c r="B76" s="4"/>
      <c r="C76" s="105"/>
      <c r="D76" s="69" t="s">
        <v>43</v>
      </c>
      <c r="E76" s="70"/>
      <c r="F76" s="71" t="s">
        <v>44</v>
      </c>
      <c r="G76" s="69" t="s">
        <v>43</v>
      </c>
      <c r="H76" s="70"/>
      <c r="I76" s="70"/>
      <c r="J76" s="72" t="s">
        <v>44</v>
      </c>
      <c r="K76" s="70"/>
      <c r="L76" s="4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</row>
    <row r="77" spans="1:31" s="5" customFormat="1" ht="14.45" customHeight="1" x14ac:dyDescent="0.2">
      <c r="A77" s="105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</row>
    <row r="81" spans="1:47" s="5" customFormat="1" ht="6.95" customHeight="1" x14ac:dyDescent="0.2">
      <c r="A81" s="105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</row>
    <row r="82" spans="1:47" s="5" customFormat="1" ht="24.95" customHeight="1" x14ac:dyDescent="0.2">
      <c r="A82" s="105"/>
      <c r="B82" s="4"/>
      <c r="C82" s="43" t="s">
        <v>88</v>
      </c>
      <c r="D82" s="105"/>
      <c r="E82" s="105"/>
      <c r="F82" s="105"/>
      <c r="G82" s="105"/>
      <c r="H82" s="105"/>
      <c r="I82" s="105"/>
      <c r="J82" s="105"/>
      <c r="K82" s="105"/>
      <c r="L82" s="4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</row>
    <row r="83" spans="1:47" s="5" customFormat="1" ht="6.95" customHeight="1" x14ac:dyDescent="0.2">
      <c r="A83" s="105"/>
      <c r="B83" s="4"/>
      <c r="C83" s="105"/>
      <c r="D83" s="105"/>
      <c r="E83" s="105"/>
      <c r="F83" s="105"/>
      <c r="G83" s="105"/>
      <c r="H83" s="105"/>
      <c r="I83" s="105"/>
      <c r="J83" s="105"/>
      <c r="K83" s="105"/>
      <c r="L83" s="4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</row>
    <row r="84" spans="1:47" s="5" customFormat="1" ht="12" customHeight="1" x14ac:dyDescent="0.2">
      <c r="A84" s="105"/>
      <c r="B84" s="4"/>
      <c r="C84" s="106" t="s">
        <v>14</v>
      </c>
      <c r="D84" s="105"/>
      <c r="E84" s="105"/>
      <c r="F84" s="105"/>
      <c r="G84" s="105"/>
      <c r="H84" s="105"/>
      <c r="I84" s="105"/>
      <c r="J84" s="105"/>
      <c r="K84" s="105"/>
      <c r="L84" s="4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</row>
    <row r="85" spans="1:47" s="5" customFormat="1" ht="16.5" customHeight="1" x14ac:dyDescent="0.2">
      <c r="A85" s="105"/>
      <c r="B85" s="4"/>
      <c r="C85" s="105"/>
      <c r="D85" s="105"/>
      <c r="E85" s="312" t="str">
        <f>E7</f>
        <v>REKONSTRUKCE A DOSTAVBA BUDOV FF UK - DVD</v>
      </c>
      <c r="F85" s="313"/>
      <c r="G85" s="313"/>
      <c r="H85" s="313"/>
      <c r="I85" s="105"/>
      <c r="J85" s="105"/>
      <c r="K85" s="105"/>
      <c r="L85" s="4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47" s="5" customFormat="1" ht="12" customHeight="1" x14ac:dyDescent="0.2">
      <c r="A86" s="105"/>
      <c r="B86" s="4"/>
      <c r="C86" s="106" t="s">
        <v>87</v>
      </c>
      <c r="D86" s="105"/>
      <c r="E86" s="105"/>
      <c r="F86" s="105"/>
      <c r="G86" s="105"/>
      <c r="H86" s="105"/>
      <c r="I86" s="105"/>
      <c r="J86" s="105"/>
      <c r="K86" s="105"/>
      <c r="L86" s="4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47" s="5" customFormat="1" ht="16.5" customHeight="1" x14ac:dyDescent="0.2">
      <c r="A87" s="105"/>
      <c r="B87" s="4"/>
      <c r="C87" s="105"/>
      <c r="D87" s="105"/>
      <c r="E87" s="277" t="str">
        <f>E9</f>
        <v>13 - RESTAURÁTORSKÝ ZÁMĚR - Kovářská část, společně pro objekty A, B a C</v>
      </c>
      <c r="F87" s="311"/>
      <c r="G87" s="311"/>
      <c r="H87" s="311"/>
      <c r="I87" s="105"/>
      <c r="J87" s="105"/>
      <c r="K87" s="105"/>
      <c r="L87" s="4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</row>
    <row r="88" spans="1:47" s="5" customFormat="1" ht="6.95" customHeight="1" x14ac:dyDescent="0.2">
      <c r="A88" s="105"/>
      <c r="B88" s="4"/>
      <c r="C88" s="105"/>
      <c r="D88" s="105"/>
      <c r="E88" s="105"/>
      <c r="F88" s="105"/>
      <c r="G88" s="105"/>
      <c r="H88" s="105"/>
      <c r="I88" s="105"/>
      <c r="J88" s="105"/>
      <c r="K88" s="105"/>
      <c r="L88" s="4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</row>
    <row r="89" spans="1:47" s="5" customFormat="1" ht="12" customHeight="1" x14ac:dyDescent="0.2">
      <c r="A89" s="105"/>
      <c r="B89" s="4"/>
      <c r="C89" s="106" t="s">
        <v>17</v>
      </c>
      <c r="D89" s="105"/>
      <c r="E89" s="105"/>
      <c r="F89" s="108" t="str">
        <f>F12</f>
        <v>OPLETALOVA 47,49 - PRAHA 1</v>
      </c>
      <c r="G89" s="105"/>
      <c r="H89" s="105"/>
      <c r="I89" s="106" t="s">
        <v>19</v>
      </c>
      <c r="J89" s="47">
        <f>IF(J12="","",J12)</f>
        <v>44310</v>
      </c>
      <c r="K89" s="105"/>
      <c r="L89" s="4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</row>
    <row r="90" spans="1:47" s="5" customFormat="1" ht="6.95" customHeight="1" x14ac:dyDescent="0.2">
      <c r="A90" s="105"/>
      <c r="B90" s="4"/>
      <c r="C90" s="105"/>
      <c r="D90" s="105"/>
      <c r="E90" s="105"/>
      <c r="F90" s="105"/>
      <c r="G90" s="105"/>
      <c r="H90" s="105"/>
      <c r="I90" s="105"/>
      <c r="J90" s="105"/>
      <c r="K90" s="105"/>
      <c r="L90" s="4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</row>
    <row r="91" spans="1:47" s="5" customFormat="1" ht="38.25" x14ac:dyDescent="0.2">
      <c r="A91" s="105"/>
      <c r="B91" s="4"/>
      <c r="C91" s="106" t="s">
        <v>20</v>
      </c>
      <c r="D91" s="105"/>
      <c r="E91" s="105"/>
      <c r="F91" s="108" t="str">
        <f>E15</f>
        <v>Filozofická fakulta, UK</v>
      </c>
      <c r="G91" s="105"/>
      <c r="H91" s="105"/>
      <c r="I91" s="106" t="s">
        <v>24</v>
      </c>
      <c r="J91" s="109" t="str">
        <f>E21</f>
        <v>Škarda architekti - ing.arch. Václav Škarda</v>
      </c>
      <c r="K91" s="105"/>
      <c r="L91" s="4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</row>
    <row r="92" spans="1:47" s="5" customFormat="1" ht="15.2" customHeight="1" x14ac:dyDescent="0.2">
      <c r="A92" s="105"/>
      <c r="B92" s="4"/>
      <c r="C92" s="106" t="s">
        <v>23</v>
      </c>
      <c r="D92" s="105"/>
      <c r="E92" s="105"/>
      <c r="F92" s="108" t="str">
        <f>IF(E18="","",E18)</f>
        <v xml:space="preserve"> </v>
      </c>
      <c r="G92" s="105"/>
      <c r="H92" s="105"/>
      <c r="I92" s="106" t="s">
        <v>26</v>
      </c>
      <c r="J92" s="109" t="str">
        <f>E24</f>
        <v>Vladimír Mrázek</v>
      </c>
      <c r="K92" s="105"/>
      <c r="L92" s="4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</row>
    <row r="93" spans="1:47" s="5" customFormat="1" ht="10.35" customHeight="1" x14ac:dyDescent="0.2">
      <c r="A93" s="105"/>
      <c r="B93" s="4"/>
      <c r="C93" s="105"/>
      <c r="D93" s="105"/>
      <c r="E93" s="105"/>
      <c r="F93" s="105"/>
      <c r="G93" s="105"/>
      <c r="H93" s="105"/>
      <c r="I93" s="105"/>
      <c r="J93" s="105"/>
      <c r="K93" s="105"/>
      <c r="L93" s="4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</row>
    <row r="94" spans="1:47" s="5" customFormat="1" ht="29.25" customHeight="1" x14ac:dyDescent="0.2">
      <c r="A94" s="105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</row>
    <row r="95" spans="1:47" s="5" customFormat="1" ht="10.35" customHeight="1" x14ac:dyDescent="0.2">
      <c r="A95" s="105"/>
      <c r="B95" s="4"/>
      <c r="C95" s="105"/>
      <c r="D95" s="105"/>
      <c r="E95" s="105"/>
      <c r="F95" s="105"/>
      <c r="G95" s="105"/>
      <c r="H95" s="105"/>
      <c r="I95" s="105"/>
      <c r="J95" s="105"/>
      <c r="K95" s="105"/>
      <c r="L95" s="4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</row>
    <row r="96" spans="1:47" s="5" customFormat="1" ht="22.9" customHeight="1" x14ac:dyDescent="0.2">
      <c r="A96" s="105"/>
      <c r="B96" s="4"/>
      <c r="C96" s="78" t="s">
        <v>91</v>
      </c>
      <c r="D96" s="105"/>
      <c r="E96" s="105"/>
      <c r="F96" s="105"/>
      <c r="G96" s="105"/>
      <c r="H96" s="105"/>
      <c r="I96" s="105"/>
      <c r="J96" s="55">
        <f>J138</f>
        <v>0</v>
      </c>
      <c r="K96" s="105"/>
      <c r="L96" s="4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U96" s="13" t="s">
        <v>92</v>
      </c>
    </row>
    <row r="97" spans="2:12" s="80" customFormat="1" ht="24.95" customHeight="1" x14ac:dyDescent="0.2">
      <c r="B97" s="79"/>
      <c r="D97" s="81" t="s">
        <v>1002</v>
      </c>
      <c r="E97" s="82"/>
      <c r="F97" s="82"/>
      <c r="G97" s="82"/>
      <c r="H97" s="82"/>
      <c r="I97" s="82"/>
      <c r="J97" s="83">
        <f>J139</f>
        <v>0</v>
      </c>
      <c r="L97" s="79"/>
    </row>
    <row r="98" spans="2:12" s="80" customFormat="1" ht="24.95" customHeight="1" x14ac:dyDescent="0.2">
      <c r="B98" s="79"/>
      <c r="D98" s="81" t="s">
        <v>1003</v>
      </c>
      <c r="E98" s="82"/>
      <c r="F98" s="82"/>
      <c r="G98" s="82"/>
      <c r="H98" s="82"/>
      <c r="I98" s="82"/>
      <c r="J98" s="83">
        <f>J151</f>
        <v>0</v>
      </c>
      <c r="L98" s="79"/>
    </row>
    <row r="99" spans="2:12" s="80" customFormat="1" ht="24.95" customHeight="1" x14ac:dyDescent="0.2">
      <c r="B99" s="79"/>
      <c r="D99" s="81" t="s">
        <v>1004</v>
      </c>
      <c r="E99" s="82"/>
      <c r="F99" s="82"/>
      <c r="G99" s="82"/>
      <c r="H99" s="82"/>
      <c r="I99" s="82"/>
      <c r="J99" s="83">
        <f>J158</f>
        <v>0</v>
      </c>
      <c r="L99" s="79"/>
    </row>
    <row r="100" spans="2:12" s="80" customFormat="1" ht="24.95" customHeight="1" x14ac:dyDescent="0.2">
      <c r="B100" s="79"/>
      <c r="D100" s="81" t="s">
        <v>1005</v>
      </c>
      <c r="E100" s="82"/>
      <c r="F100" s="82"/>
      <c r="G100" s="82"/>
      <c r="H100" s="82"/>
      <c r="I100" s="82"/>
      <c r="J100" s="83">
        <f>J168</f>
        <v>0</v>
      </c>
      <c r="L100" s="79"/>
    </row>
    <row r="101" spans="2:12" s="80" customFormat="1" ht="24.95" customHeight="1" x14ac:dyDescent="0.2">
      <c r="B101" s="79"/>
      <c r="D101" s="81" t="s">
        <v>1006</v>
      </c>
      <c r="E101" s="82"/>
      <c r="F101" s="82"/>
      <c r="G101" s="82"/>
      <c r="H101" s="82"/>
      <c r="I101" s="82"/>
      <c r="J101" s="83">
        <f>J177</f>
        <v>0</v>
      </c>
      <c r="L101" s="79"/>
    </row>
    <row r="102" spans="2:12" s="80" customFormat="1" ht="24.95" customHeight="1" x14ac:dyDescent="0.2">
      <c r="B102" s="79"/>
      <c r="D102" s="81" t="s">
        <v>1007</v>
      </c>
      <c r="E102" s="82"/>
      <c r="F102" s="82"/>
      <c r="G102" s="82"/>
      <c r="H102" s="82"/>
      <c r="I102" s="82"/>
      <c r="J102" s="83">
        <f>J183</f>
        <v>0</v>
      </c>
      <c r="L102" s="79"/>
    </row>
    <row r="103" spans="2:12" s="80" customFormat="1" ht="24.95" customHeight="1" x14ac:dyDescent="0.2">
      <c r="B103" s="79"/>
      <c r="D103" s="81" t="s">
        <v>1008</v>
      </c>
      <c r="E103" s="82"/>
      <c r="F103" s="82"/>
      <c r="G103" s="82"/>
      <c r="H103" s="82"/>
      <c r="I103" s="82"/>
      <c r="J103" s="83">
        <f>J192</f>
        <v>0</v>
      </c>
      <c r="L103" s="79"/>
    </row>
    <row r="104" spans="2:12" s="80" customFormat="1" ht="24.95" customHeight="1" x14ac:dyDescent="0.2">
      <c r="B104" s="79"/>
      <c r="D104" s="81" t="s">
        <v>1009</v>
      </c>
      <c r="E104" s="82"/>
      <c r="F104" s="82"/>
      <c r="G104" s="82"/>
      <c r="H104" s="82"/>
      <c r="I104" s="82"/>
      <c r="J104" s="83">
        <f>J204</f>
        <v>0</v>
      </c>
      <c r="L104" s="79"/>
    </row>
    <row r="105" spans="2:12" s="80" customFormat="1" ht="24.95" customHeight="1" x14ac:dyDescent="0.2">
      <c r="B105" s="79"/>
      <c r="D105" s="81" t="s">
        <v>1010</v>
      </c>
      <c r="E105" s="82"/>
      <c r="F105" s="82"/>
      <c r="G105" s="82"/>
      <c r="H105" s="82"/>
      <c r="I105" s="82"/>
      <c r="J105" s="83">
        <f>J210</f>
        <v>0</v>
      </c>
      <c r="L105" s="79"/>
    </row>
    <row r="106" spans="2:12" s="80" customFormat="1" ht="24.95" customHeight="1" x14ac:dyDescent="0.2">
      <c r="B106" s="79"/>
      <c r="D106" s="81" t="s">
        <v>1011</v>
      </c>
      <c r="E106" s="82"/>
      <c r="F106" s="82"/>
      <c r="G106" s="82"/>
      <c r="H106" s="82"/>
      <c r="I106" s="82"/>
      <c r="J106" s="83">
        <f>J219</f>
        <v>0</v>
      </c>
      <c r="L106" s="79"/>
    </row>
    <row r="107" spans="2:12" s="80" customFormat="1" ht="24.95" customHeight="1" x14ac:dyDescent="0.2">
      <c r="B107" s="79"/>
      <c r="D107" s="81" t="s">
        <v>1012</v>
      </c>
      <c r="E107" s="82"/>
      <c r="F107" s="82"/>
      <c r="G107" s="82"/>
      <c r="H107" s="82"/>
      <c r="I107" s="82"/>
      <c r="J107" s="83">
        <f>J228</f>
        <v>0</v>
      </c>
      <c r="L107" s="79"/>
    </row>
    <row r="108" spans="2:12" s="80" customFormat="1" ht="24.95" customHeight="1" x14ac:dyDescent="0.2">
      <c r="B108" s="79"/>
      <c r="D108" s="81" t="s">
        <v>1013</v>
      </c>
      <c r="E108" s="82"/>
      <c r="F108" s="82"/>
      <c r="G108" s="82"/>
      <c r="H108" s="82"/>
      <c r="I108" s="82"/>
      <c r="J108" s="83">
        <f>J235</f>
        <v>0</v>
      </c>
      <c r="L108" s="79"/>
    </row>
    <row r="109" spans="2:12" s="80" customFormat="1" ht="24.95" customHeight="1" x14ac:dyDescent="0.2">
      <c r="B109" s="79"/>
      <c r="D109" s="81" t="s">
        <v>1014</v>
      </c>
      <c r="E109" s="82"/>
      <c r="F109" s="82"/>
      <c r="G109" s="82"/>
      <c r="H109" s="82"/>
      <c r="I109" s="82"/>
      <c r="J109" s="83">
        <f>J244</f>
        <v>0</v>
      </c>
      <c r="L109" s="79"/>
    </row>
    <row r="110" spans="2:12" s="80" customFormat="1" ht="24.95" customHeight="1" x14ac:dyDescent="0.2">
      <c r="B110" s="79"/>
      <c r="D110" s="81" t="s">
        <v>1015</v>
      </c>
      <c r="E110" s="82"/>
      <c r="F110" s="82"/>
      <c r="G110" s="82"/>
      <c r="H110" s="82"/>
      <c r="I110" s="82"/>
      <c r="J110" s="83">
        <f>J253</f>
        <v>0</v>
      </c>
      <c r="L110" s="79"/>
    </row>
    <row r="111" spans="2:12" s="80" customFormat="1" ht="24.95" customHeight="1" x14ac:dyDescent="0.2">
      <c r="B111" s="79"/>
      <c r="D111" s="81" t="s">
        <v>1016</v>
      </c>
      <c r="E111" s="82"/>
      <c r="F111" s="82"/>
      <c r="G111" s="82"/>
      <c r="H111" s="82"/>
      <c r="I111" s="82"/>
      <c r="J111" s="83">
        <f>J266</f>
        <v>0</v>
      </c>
      <c r="L111" s="79"/>
    </row>
    <row r="112" spans="2:12" s="80" customFormat="1" ht="24.95" customHeight="1" x14ac:dyDescent="0.2">
      <c r="B112" s="79"/>
      <c r="D112" s="81" t="s">
        <v>1017</v>
      </c>
      <c r="E112" s="82"/>
      <c r="F112" s="82"/>
      <c r="G112" s="82"/>
      <c r="H112" s="82"/>
      <c r="I112" s="82"/>
      <c r="J112" s="83">
        <f>J272</f>
        <v>0</v>
      </c>
      <c r="L112" s="79"/>
    </row>
    <row r="113" spans="1:31" s="80" customFormat="1" ht="24.95" customHeight="1" x14ac:dyDescent="0.2">
      <c r="B113" s="79"/>
      <c r="D113" s="81" t="s">
        <v>1018</v>
      </c>
      <c r="E113" s="82"/>
      <c r="F113" s="82"/>
      <c r="G113" s="82"/>
      <c r="H113" s="82"/>
      <c r="I113" s="82"/>
      <c r="J113" s="83">
        <f>J279</f>
        <v>0</v>
      </c>
      <c r="L113" s="79"/>
    </row>
    <row r="114" spans="1:31" s="80" customFormat="1" ht="24.95" customHeight="1" x14ac:dyDescent="0.2">
      <c r="B114" s="79"/>
      <c r="D114" s="81" t="s">
        <v>1019</v>
      </c>
      <c r="E114" s="82"/>
      <c r="F114" s="82"/>
      <c r="G114" s="82"/>
      <c r="H114" s="82"/>
      <c r="I114" s="82"/>
      <c r="J114" s="83">
        <f>J288</f>
        <v>0</v>
      </c>
      <c r="L114" s="79"/>
    </row>
    <row r="115" spans="1:31" s="80" customFormat="1" ht="24.95" customHeight="1" x14ac:dyDescent="0.2">
      <c r="B115" s="79"/>
      <c r="D115" s="81" t="s">
        <v>1020</v>
      </c>
      <c r="E115" s="82"/>
      <c r="F115" s="82"/>
      <c r="G115" s="82"/>
      <c r="H115" s="82"/>
      <c r="I115" s="82"/>
      <c r="J115" s="83">
        <f>J297</f>
        <v>0</v>
      </c>
      <c r="L115" s="79"/>
    </row>
    <row r="116" spans="1:31" s="80" customFormat="1" ht="24.95" customHeight="1" x14ac:dyDescent="0.2">
      <c r="B116" s="79"/>
      <c r="D116" s="81" t="s">
        <v>1021</v>
      </c>
      <c r="E116" s="82"/>
      <c r="F116" s="82"/>
      <c r="G116" s="82"/>
      <c r="H116" s="82"/>
      <c r="I116" s="82"/>
      <c r="J116" s="83">
        <f>J304</f>
        <v>0</v>
      </c>
      <c r="L116" s="79"/>
    </row>
    <row r="117" spans="1:31" s="80" customFormat="1" ht="24.95" customHeight="1" x14ac:dyDescent="0.2">
      <c r="B117" s="79"/>
      <c r="D117" s="81" t="s">
        <v>1022</v>
      </c>
      <c r="E117" s="82"/>
      <c r="F117" s="82"/>
      <c r="G117" s="82"/>
      <c r="H117" s="82"/>
      <c r="I117" s="82"/>
      <c r="J117" s="83">
        <f>J309</f>
        <v>0</v>
      </c>
      <c r="L117" s="79"/>
    </row>
    <row r="118" spans="1:31" s="5" customFormat="1" ht="21.75" customHeight="1" x14ac:dyDescent="0.2">
      <c r="A118" s="105"/>
      <c r="B118" s="4"/>
      <c r="C118" s="105"/>
      <c r="D118" s="105"/>
      <c r="E118" s="105"/>
      <c r="F118" s="105"/>
      <c r="G118" s="105"/>
      <c r="H118" s="105"/>
      <c r="I118" s="105"/>
      <c r="J118" s="105"/>
      <c r="K118" s="105"/>
      <c r="L118" s="45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5"/>
    </row>
    <row r="119" spans="1:31" s="5" customFormat="1" ht="6.95" customHeight="1" x14ac:dyDescent="0.2">
      <c r="A119" s="105"/>
      <c r="B119" s="2"/>
      <c r="C119" s="3"/>
      <c r="D119" s="3"/>
      <c r="E119" s="3"/>
      <c r="F119" s="3"/>
      <c r="G119" s="3"/>
      <c r="H119" s="3"/>
      <c r="I119" s="3"/>
      <c r="J119" s="3"/>
      <c r="K119" s="3"/>
      <c r="L119" s="45"/>
      <c r="S119" s="105"/>
      <c r="T119" s="105"/>
      <c r="U119" s="105"/>
      <c r="V119" s="105"/>
      <c r="W119" s="105"/>
      <c r="X119" s="105"/>
      <c r="Y119" s="105"/>
      <c r="Z119" s="105"/>
      <c r="AA119" s="105"/>
      <c r="AB119" s="105"/>
      <c r="AC119" s="105"/>
      <c r="AD119" s="105"/>
      <c r="AE119" s="105"/>
    </row>
    <row r="123" spans="1:31" s="5" customFormat="1" ht="6.95" customHeight="1" x14ac:dyDescent="0.2">
      <c r="A123" s="105"/>
      <c r="B123" s="182"/>
      <c r="C123" s="183"/>
      <c r="D123" s="183"/>
      <c r="E123" s="183"/>
      <c r="F123" s="183"/>
      <c r="G123" s="183"/>
      <c r="H123" s="183"/>
      <c r="I123" s="183"/>
      <c r="J123" s="183"/>
      <c r="K123" s="184"/>
      <c r="L123" s="16"/>
      <c r="S123" s="105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  <c r="AE123" s="105"/>
    </row>
    <row r="124" spans="1:31" s="5" customFormat="1" ht="24.95" customHeight="1" x14ac:dyDescent="0.2">
      <c r="A124" s="105"/>
      <c r="B124" s="140"/>
      <c r="C124" s="185" t="s">
        <v>115</v>
      </c>
      <c r="D124" s="17"/>
      <c r="E124" s="17"/>
      <c r="F124" s="17"/>
      <c r="G124" s="17"/>
      <c r="H124" s="17"/>
      <c r="I124" s="17"/>
      <c r="J124" s="17"/>
      <c r="K124" s="143"/>
      <c r="L124" s="16"/>
      <c r="S124" s="105"/>
      <c r="T124" s="105"/>
      <c r="U124" s="105"/>
      <c r="V124" s="105"/>
      <c r="W124" s="105"/>
      <c r="X124" s="105"/>
      <c r="Y124" s="105"/>
      <c r="Z124" s="105"/>
      <c r="AA124" s="105"/>
      <c r="AB124" s="105"/>
      <c r="AC124" s="105"/>
      <c r="AD124" s="105"/>
      <c r="AE124" s="105"/>
    </row>
    <row r="125" spans="1:31" s="5" customFormat="1" ht="6.95" customHeight="1" x14ac:dyDescent="0.2">
      <c r="A125" s="105"/>
      <c r="B125" s="140"/>
      <c r="C125" s="17"/>
      <c r="D125" s="17"/>
      <c r="E125" s="17"/>
      <c r="F125" s="17"/>
      <c r="G125" s="17"/>
      <c r="H125" s="17"/>
      <c r="I125" s="17"/>
      <c r="J125" s="17"/>
      <c r="K125" s="143"/>
      <c r="L125" s="16"/>
      <c r="S125" s="105"/>
      <c r="T125" s="105"/>
      <c r="U125" s="105"/>
      <c r="V125" s="105"/>
      <c r="W125" s="105"/>
      <c r="X125" s="105"/>
      <c r="Y125" s="105"/>
      <c r="Z125" s="105"/>
      <c r="AA125" s="105"/>
      <c r="AB125" s="105"/>
      <c r="AC125" s="105"/>
      <c r="AD125" s="105"/>
      <c r="AE125" s="105"/>
    </row>
    <row r="126" spans="1:31" s="5" customFormat="1" ht="12" customHeight="1" x14ac:dyDescent="0.2">
      <c r="A126" s="105"/>
      <c r="B126" s="140"/>
      <c r="C126" s="186" t="s">
        <v>14</v>
      </c>
      <c r="D126" s="17"/>
      <c r="E126" s="17"/>
      <c r="F126" s="17"/>
      <c r="G126" s="17"/>
      <c r="H126" s="17"/>
      <c r="I126" s="17"/>
      <c r="J126" s="17"/>
      <c r="K126" s="143"/>
      <c r="L126" s="16"/>
      <c r="S126" s="105"/>
      <c r="T126" s="105"/>
      <c r="U126" s="105"/>
      <c r="V126" s="105"/>
      <c r="W126" s="105"/>
      <c r="X126" s="105"/>
      <c r="Y126" s="105"/>
      <c r="Z126" s="105"/>
      <c r="AA126" s="105"/>
      <c r="AB126" s="105"/>
      <c r="AC126" s="105"/>
      <c r="AD126" s="105"/>
      <c r="AE126" s="105"/>
    </row>
    <row r="127" spans="1:31" s="5" customFormat="1" ht="16.5" customHeight="1" x14ac:dyDescent="0.2">
      <c r="A127" s="105"/>
      <c r="B127" s="140"/>
      <c r="C127" s="17"/>
      <c r="D127" s="17"/>
      <c r="E127" s="316" t="str">
        <f>E7</f>
        <v>REKONSTRUKCE A DOSTAVBA BUDOV FF UK - DVD</v>
      </c>
      <c r="F127" s="317"/>
      <c r="G127" s="317"/>
      <c r="H127" s="317"/>
      <c r="I127" s="17"/>
      <c r="J127" s="17"/>
      <c r="K127" s="143"/>
      <c r="L127" s="16"/>
      <c r="S127" s="105"/>
      <c r="T127" s="105"/>
      <c r="U127" s="105"/>
      <c r="V127" s="105"/>
      <c r="W127" s="105"/>
      <c r="X127" s="105"/>
      <c r="Y127" s="105"/>
      <c r="Z127" s="105"/>
      <c r="AA127" s="105"/>
      <c r="AB127" s="105"/>
      <c r="AC127" s="105"/>
      <c r="AD127" s="105"/>
      <c r="AE127" s="105"/>
    </row>
    <row r="128" spans="1:31" s="5" customFormat="1" ht="12" customHeight="1" x14ac:dyDescent="0.2">
      <c r="A128" s="105"/>
      <c r="B128" s="140"/>
      <c r="C128" s="186" t="s">
        <v>87</v>
      </c>
      <c r="D128" s="17"/>
      <c r="E128" s="17"/>
      <c r="F128" s="17"/>
      <c r="G128" s="17"/>
      <c r="H128" s="17"/>
      <c r="I128" s="17"/>
      <c r="J128" s="17"/>
      <c r="K128" s="143"/>
      <c r="L128" s="16"/>
      <c r="S128" s="105"/>
      <c r="T128" s="105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  <c r="AE128" s="105"/>
    </row>
    <row r="129" spans="1:65" s="5" customFormat="1" ht="16.5" customHeight="1" x14ac:dyDescent="0.2">
      <c r="A129" s="105"/>
      <c r="B129" s="140"/>
      <c r="C129" s="17"/>
      <c r="D129" s="17"/>
      <c r="E129" s="318" t="str">
        <f>E9</f>
        <v>13 - RESTAURÁTORSKÝ ZÁMĚR - Kovářská část, společně pro objekty A, B a C</v>
      </c>
      <c r="F129" s="319"/>
      <c r="G129" s="319"/>
      <c r="H129" s="319"/>
      <c r="I129" s="17"/>
      <c r="J129" s="17"/>
      <c r="K129" s="143"/>
      <c r="L129" s="16"/>
      <c r="S129" s="105"/>
      <c r="T129" s="105"/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</row>
    <row r="130" spans="1:65" s="5" customFormat="1" ht="6.95" customHeight="1" x14ac:dyDescent="0.2">
      <c r="A130" s="105"/>
      <c r="B130" s="140"/>
      <c r="C130" s="17"/>
      <c r="D130" s="17"/>
      <c r="E130" s="17"/>
      <c r="F130" s="17"/>
      <c r="G130" s="17"/>
      <c r="H130" s="17"/>
      <c r="I130" s="17"/>
      <c r="J130" s="17"/>
      <c r="K130" s="143"/>
      <c r="L130" s="16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105"/>
      <c r="AD130" s="105"/>
      <c r="AE130" s="105"/>
    </row>
    <row r="131" spans="1:65" s="5" customFormat="1" ht="12" customHeight="1" x14ac:dyDescent="0.2">
      <c r="A131" s="105"/>
      <c r="B131" s="140"/>
      <c r="C131" s="186" t="s">
        <v>17</v>
      </c>
      <c r="D131" s="17"/>
      <c r="E131" s="17"/>
      <c r="F131" s="188" t="str">
        <f>F12</f>
        <v>OPLETALOVA 47,49 - PRAHA 1</v>
      </c>
      <c r="G131" s="17"/>
      <c r="H131" s="17"/>
      <c r="I131" s="186" t="s">
        <v>19</v>
      </c>
      <c r="J131" s="189">
        <f>IF(J12="","",J12)</f>
        <v>44310</v>
      </c>
      <c r="K131" s="143"/>
      <c r="L131" s="16"/>
      <c r="S131" s="105"/>
      <c r="T131" s="105"/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</row>
    <row r="132" spans="1:65" s="5" customFormat="1" ht="6.95" customHeight="1" x14ac:dyDescent="0.2">
      <c r="A132" s="105"/>
      <c r="B132" s="140"/>
      <c r="C132" s="17"/>
      <c r="D132" s="17"/>
      <c r="E132" s="17"/>
      <c r="F132" s="17"/>
      <c r="G132" s="17"/>
      <c r="H132" s="17"/>
      <c r="I132" s="17"/>
      <c r="J132" s="17"/>
      <c r="K132" s="143"/>
      <c r="L132" s="16"/>
      <c r="S132" s="105"/>
      <c r="T132" s="105"/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</row>
    <row r="133" spans="1:65" s="5" customFormat="1" ht="38.25" x14ac:dyDescent="0.2">
      <c r="A133" s="105"/>
      <c r="B133" s="140"/>
      <c r="C133" s="186" t="s">
        <v>20</v>
      </c>
      <c r="D133" s="17"/>
      <c r="E133" s="17"/>
      <c r="F133" s="188" t="str">
        <f>E15</f>
        <v>Filozofická fakulta, UK</v>
      </c>
      <c r="G133" s="17"/>
      <c r="H133" s="17"/>
      <c r="I133" s="186" t="s">
        <v>24</v>
      </c>
      <c r="J133" s="190" t="str">
        <f>E21</f>
        <v>Škarda architekti - ing.arch. Václav Škarda</v>
      </c>
      <c r="K133" s="143"/>
      <c r="L133" s="16"/>
      <c r="S133" s="105"/>
      <c r="T133" s="105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</row>
    <row r="134" spans="1:65" s="5" customFormat="1" ht="15.2" customHeight="1" x14ac:dyDescent="0.2">
      <c r="A134" s="105"/>
      <c r="B134" s="140"/>
      <c r="C134" s="186" t="s">
        <v>23</v>
      </c>
      <c r="D134" s="17"/>
      <c r="E134" s="17"/>
      <c r="F134" s="188" t="str">
        <f>IF(E18="","",E18)</f>
        <v xml:space="preserve"> </v>
      </c>
      <c r="G134" s="17"/>
      <c r="H134" s="17"/>
      <c r="I134" s="186" t="s">
        <v>26</v>
      </c>
      <c r="J134" s="190" t="str">
        <f>E24</f>
        <v>Vladimír Mrázek</v>
      </c>
      <c r="K134" s="143"/>
      <c r="L134" s="16"/>
      <c r="S134" s="105"/>
      <c r="T134" s="105"/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</row>
    <row r="135" spans="1:65" s="5" customFormat="1" ht="10.35" customHeight="1" x14ac:dyDescent="0.2">
      <c r="A135" s="105"/>
      <c r="B135" s="140"/>
      <c r="C135" s="17"/>
      <c r="D135" s="17"/>
      <c r="E135" s="17"/>
      <c r="F135" s="17"/>
      <c r="G135" s="17"/>
      <c r="H135" s="17"/>
      <c r="I135" s="17"/>
      <c r="J135" s="17"/>
      <c r="K135" s="143"/>
      <c r="L135" s="16"/>
      <c r="S135" s="105"/>
      <c r="T135" s="105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</row>
    <row r="136" spans="1:65" s="93" customFormat="1" ht="29.25" customHeight="1" x14ac:dyDescent="0.2">
      <c r="A136" s="84"/>
      <c r="B136" s="191"/>
      <c r="C136" s="86" t="s">
        <v>116</v>
      </c>
      <c r="D136" s="87" t="s">
        <v>53</v>
      </c>
      <c r="E136" s="87" t="s">
        <v>49</v>
      </c>
      <c r="F136" s="87" t="s">
        <v>50</v>
      </c>
      <c r="G136" s="87" t="s">
        <v>117</v>
      </c>
      <c r="H136" s="87" t="s">
        <v>118</v>
      </c>
      <c r="I136" s="87" t="s">
        <v>119</v>
      </c>
      <c r="J136" s="87" t="s">
        <v>90</v>
      </c>
      <c r="K136" s="192" t="s">
        <v>120</v>
      </c>
      <c r="L136" s="193"/>
      <c r="M136" s="90" t="s">
        <v>1</v>
      </c>
      <c r="N136" s="91" t="s">
        <v>32</v>
      </c>
      <c r="O136" s="91" t="s">
        <v>121</v>
      </c>
      <c r="P136" s="91" t="s">
        <v>122</v>
      </c>
      <c r="Q136" s="91" t="s">
        <v>123</v>
      </c>
      <c r="R136" s="91" t="s">
        <v>124</v>
      </c>
      <c r="S136" s="91" t="s">
        <v>125</v>
      </c>
      <c r="T136" s="92" t="s">
        <v>126</v>
      </c>
      <c r="U136" s="84"/>
      <c r="V136" s="84"/>
      <c r="W136" s="84"/>
      <c r="X136" s="84"/>
      <c r="Y136" s="84"/>
      <c r="Z136" s="84"/>
      <c r="AA136" s="84"/>
      <c r="AB136" s="84"/>
      <c r="AC136" s="84"/>
      <c r="AD136" s="84"/>
      <c r="AE136" s="84"/>
    </row>
    <row r="137" spans="1:65" s="93" customFormat="1" ht="52.5" customHeight="1" x14ac:dyDescent="0.2">
      <c r="B137" s="194"/>
      <c r="C137" s="314" t="s">
        <v>1149</v>
      </c>
      <c r="D137" s="314"/>
      <c r="E137" s="314"/>
      <c r="F137" s="314"/>
      <c r="G137" s="314"/>
      <c r="H137" s="314"/>
      <c r="I137" s="314"/>
      <c r="J137" s="314"/>
      <c r="K137" s="315"/>
      <c r="L137" s="94"/>
      <c r="M137" s="198"/>
      <c r="N137" s="95"/>
      <c r="O137" s="96"/>
      <c r="P137" s="96"/>
      <c r="Q137" s="96"/>
      <c r="R137" s="96"/>
      <c r="S137" s="96"/>
      <c r="T137" s="96"/>
      <c r="U137" s="97"/>
    </row>
    <row r="138" spans="1:65" s="5" customFormat="1" ht="22.9" customHeight="1" x14ac:dyDescent="0.25">
      <c r="A138" s="105"/>
      <c r="B138" s="140"/>
      <c r="C138" s="196" t="s">
        <v>127</v>
      </c>
      <c r="D138" s="17"/>
      <c r="E138" s="17"/>
      <c r="F138" s="17"/>
      <c r="G138" s="17"/>
      <c r="H138" s="17"/>
      <c r="I138" s="17"/>
      <c r="J138" s="197">
        <f>BK138</f>
        <v>0</v>
      </c>
      <c r="K138" s="143"/>
      <c r="L138" s="17"/>
      <c r="M138" s="100"/>
      <c r="N138" s="101"/>
      <c r="O138" s="53"/>
      <c r="P138" s="102">
        <f>P139+P151+P158+P168+P177+P183+P192+P204+P210+P219+P228+P235+P244+P253+P266+P272+P279+P288+P297+P304+P309</f>
        <v>0</v>
      </c>
      <c r="Q138" s="53"/>
      <c r="R138" s="102">
        <f>R139+R151+R158+R168+R177+R183+R192+R204+R210+R219+R228+R235+R244+R253+R266+R272+R279+R288+R297+R304+R309</f>
        <v>0</v>
      </c>
      <c r="S138" s="53"/>
      <c r="T138" s="103">
        <f>T139+T151+T158+T168+T177+T183+T192+T204+T210+T219+T228+T235+T244+T253+T266+T272+T279+T288+T297+T304+T309</f>
        <v>0</v>
      </c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  <c r="AE138" s="105"/>
      <c r="AT138" s="13" t="s">
        <v>67</v>
      </c>
      <c r="AU138" s="13" t="s">
        <v>92</v>
      </c>
      <c r="BK138" s="104">
        <f>BK139+BK151+BK158+BK168+BK177+BK183+BK192+BK204+BK210+BK219+BK228+BK235+BK244+BK253+BK266+BK272+BK279+BK288+BK297+BK304+BK309</f>
        <v>0</v>
      </c>
    </row>
    <row r="139" spans="1:65" s="20" customFormat="1" ht="25.9" customHeight="1" x14ac:dyDescent="0.2">
      <c r="B139" s="172"/>
      <c r="C139" s="23"/>
      <c r="D139" s="173" t="s">
        <v>67</v>
      </c>
      <c r="E139" s="174" t="s">
        <v>128</v>
      </c>
      <c r="F139" s="174" t="s">
        <v>1023</v>
      </c>
      <c r="G139" s="23"/>
      <c r="H139" s="23"/>
      <c r="I139" s="23"/>
      <c r="J139" s="175">
        <f>BK139</f>
        <v>0</v>
      </c>
      <c r="K139" s="176"/>
      <c r="L139" s="23"/>
      <c r="M139" s="22"/>
      <c r="N139" s="23"/>
      <c r="O139" s="23"/>
      <c r="P139" s="24">
        <f>SUM(P142:P150)</f>
        <v>0</v>
      </c>
      <c r="Q139" s="23"/>
      <c r="R139" s="24">
        <f>SUM(R142:R150)</f>
        <v>0</v>
      </c>
      <c r="S139" s="23"/>
      <c r="T139" s="25">
        <f>SUM(T142:T150)</f>
        <v>0</v>
      </c>
      <c r="AR139" s="26" t="s">
        <v>74</v>
      </c>
      <c r="AT139" s="27" t="s">
        <v>67</v>
      </c>
      <c r="AU139" s="27" t="s">
        <v>68</v>
      </c>
      <c r="AY139" s="26" t="s">
        <v>130</v>
      </c>
      <c r="BK139" s="28">
        <f>SUM(BK142:BK150)</f>
        <v>0</v>
      </c>
    </row>
    <row r="140" spans="1:65" s="5" customFormat="1" x14ac:dyDescent="0.2">
      <c r="B140" s="177"/>
      <c r="C140" s="16"/>
      <c r="D140" s="178" t="s">
        <v>340</v>
      </c>
      <c r="E140" s="16"/>
      <c r="F140" s="179" t="s">
        <v>1214</v>
      </c>
      <c r="G140" s="16"/>
      <c r="H140" s="180">
        <f>4.84*1.11</f>
        <v>5.3724000000000007</v>
      </c>
      <c r="I140" s="16"/>
      <c r="J140" s="16"/>
      <c r="K140" s="181"/>
      <c r="L140" s="199"/>
      <c r="M140" s="52"/>
      <c r="N140" s="128"/>
      <c r="U140" s="129"/>
      <c r="AU140" s="126" t="s">
        <v>148</v>
      </c>
      <c r="AV140" s="126" t="s">
        <v>74</v>
      </c>
    </row>
    <row r="141" spans="1:65" s="5" customFormat="1" ht="16.5" customHeight="1" x14ac:dyDescent="0.2">
      <c r="B141" s="177"/>
      <c r="C141" s="16"/>
      <c r="D141" s="178" t="s">
        <v>340</v>
      </c>
      <c r="E141" s="16"/>
      <c r="F141" s="179" t="s">
        <v>1215</v>
      </c>
      <c r="G141" s="180"/>
      <c r="H141" s="16"/>
      <c r="I141" s="16"/>
      <c r="J141" s="16"/>
      <c r="K141" s="181"/>
      <c r="L141" s="199"/>
      <c r="M141" s="52"/>
      <c r="N141" s="128"/>
      <c r="U141" s="129"/>
      <c r="AU141" s="126" t="s">
        <v>148</v>
      </c>
      <c r="AV141" s="126" t="s">
        <v>74</v>
      </c>
    </row>
    <row r="142" spans="1:65" s="5" customFormat="1" ht="16.5" customHeight="1" x14ac:dyDescent="0.2">
      <c r="A142" s="105"/>
      <c r="B142" s="140"/>
      <c r="C142" s="33" t="s">
        <v>74</v>
      </c>
      <c r="D142" s="33" t="s">
        <v>131</v>
      </c>
      <c r="E142" s="34" t="s">
        <v>1024</v>
      </c>
      <c r="F142" s="7" t="s">
        <v>1025</v>
      </c>
      <c r="G142" s="35" t="s">
        <v>134</v>
      </c>
      <c r="H142" s="36">
        <v>5.3719999999999999</v>
      </c>
      <c r="I142" s="1"/>
      <c r="J142" s="6">
        <f>ROUND(I142*H142,2)</f>
        <v>0</v>
      </c>
      <c r="K142" s="151" t="s">
        <v>1</v>
      </c>
      <c r="L142" s="17"/>
      <c r="M142" s="8" t="s">
        <v>1</v>
      </c>
      <c r="N142" s="9" t="s">
        <v>33</v>
      </c>
      <c r="O142" s="10">
        <v>0</v>
      </c>
      <c r="P142" s="10">
        <f>O142*H142</f>
        <v>0</v>
      </c>
      <c r="Q142" s="10">
        <v>0</v>
      </c>
      <c r="R142" s="10">
        <f>Q142*H142</f>
        <v>0</v>
      </c>
      <c r="S142" s="10">
        <v>0</v>
      </c>
      <c r="T142" s="11">
        <f>S142*H142</f>
        <v>0</v>
      </c>
      <c r="U142" s="105"/>
      <c r="V142" s="105"/>
      <c r="W142" s="105"/>
      <c r="X142" s="105"/>
      <c r="Y142" s="105"/>
      <c r="Z142" s="105"/>
      <c r="AA142" s="105"/>
      <c r="AB142" s="105"/>
      <c r="AC142" s="105"/>
      <c r="AD142" s="105"/>
      <c r="AE142" s="105"/>
      <c r="AR142" s="12" t="s">
        <v>135</v>
      </c>
      <c r="AT142" s="12" t="s">
        <v>131</v>
      </c>
      <c r="AU142" s="12" t="s">
        <v>74</v>
      </c>
      <c r="AY142" s="13" t="s">
        <v>130</v>
      </c>
      <c r="BE142" s="14">
        <f>IF(N142="základní",J142,0)</f>
        <v>0</v>
      </c>
      <c r="BF142" s="14">
        <f>IF(N142="snížená",J142,0)</f>
        <v>0</v>
      </c>
      <c r="BG142" s="14">
        <f>IF(N142="zákl. přenesená",J142,0)</f>
        <v>0</v>
      </c>
      <c r="BH142" s="14">
        <f>IF(N142="sníž. přenesená",J142,0)</f>
        <v>0</v>
      </c>
      <c r="BI142" s="14">
        <f>IF(N142="nulová",J142,0)</f>
        <v>0</v>
      </c>
      <c r="BJ142" s="13" t="s">
        <v>74</v>
      </c>
      <c r="BK142" s="14">
        <f>ROUND(I142*H142,2)</f>
        <v>0</v>
      </c>
      <c r="BL142" s="13" t="s">
        <v>135</v>
      </c>
      <c r="BM142" s="12" t="s">
        <v>76</v>
      </c>
    </row>
    <row r="143" spans="1:65" s="5" customFormat="1" ht="16.5" customHeight="1" x14ac:dyDescent="0.2">
      <c r="A143" s="105"/>
      <c r="B143" s="140"/>
      <c r="C143" s="33" t="s">
        <v>76</v>
      </c>
      <c r="D143" s="33" t="s">
        <v>131</v>
      </c>
      <c r="E143" s="34" t="s">
        <v>1026</v>
      </c>
      <c r="F143" s="7" t="s">
        <v>1027</v>
      </c>
      <c r="G143" s="35" t="s">
        <v>134</v>
      </c>
      <c r="H143" s="36">
        <v>5.3719999999999999</v>
      </c>
      <c r="I143" s="1"/>
      <c r="J143" s="6">
        <f>ROUND(I143*H143,2)</f>
        <v>0</v>
      </c>
      <c r="K143" s="151" t="s">
        <v>1</v>
      </c>
      <c r="L143" s="17"/>
      <c r="M143" s="8" t="s">
        <v>1</v>
      </c>
      <c r="N143" s="9" t="s">
        <v>33</v>
      </c>
      <c r="O143" s="10">
        <v>0</v>
      </c>
      <c r="P143" s="10">
        <f>O143*H143</f>
        <v>0</v>
      </c>
      <c r="Q143" s="10">
        <v>0</v>
      </c>
      <c r="R143" s="10">
        <f>Q143*H143</f>
        <v>0</v>
      </c>
      <c r="S143" s="10">
        <v>0</v>
      </c>
      <c r="T143" s="11">
        <f>S143*H143</f>
        <v>0</v>
      </c>
      <c r="U143" s="105"/>
      <c r="V143" s="105"/>
      <c r="W143" s="105"/>
      <c r="X143" s="105"/>
      <c r="Y143" s="105"/>
      <c r="Z143" s="105"/>
      <c r="AA143" s="105"/>
      <c r="AB143" s="105"/>
      <c r="AC143" s="105"/>
      <c r="AD143" s="105"/>
      <c r="AE143" s="105"/>
      <c r="AR143" s="12" t="s">
        <v>135</v>
      </c>
      <c r="AT143" s="12" t="s">
        <v>131</v>
      </c>
      <c r="AU143" s="12" t="s">
        <v>74</v>
      </c>
      <c r="AY143" s="13" t="s">
        <v>130</v>
      </c>
      <c r="BE143" s="14">
        <f>IF(N143="základní",J143,0)</f>
        <v>0</v>
      </c>
      <c r="BF143" s="14">
        <f>IF(N143="snížená",J143,0)</f>
        <v>0</v>
      </c>
      <c r="BG143" s="14">
        <f>IF(N143="zákl. přenesená",J143,0)</f>
        <v>0</v>
      </c>
      <c r="BH143" s="14">
        <f>IF(N143="sníž. přenesená",J143,0)</f>
        <v>0</v>
      </c>
      <c r="BI143" s="14">
        <f>IF(N143="nulová",J143,0)</f>
        <v>0</v>
      </c>
      <c r="BJ143" s="13" t="s">
        <v>74</v>
      </c>
      <c r="BK143" s="14">
        <f>ROUND(I143*H143,2)</f>
        <v>0</v>
      </c>
      <c r="BL143" s="13" t="s">
        <v>135</v>
      </c>
      <c r="BM143" s="12" t="s">
        <v>135</v>
      </c>
    </row>
    <row r="144" spans="1:65" s="5" customFormat="1" ht="16.5" customHeight="1" x14ac:dyDescent="0.2">
      <c r="A144" s="105"/>
      <c r="B144" s="140"/>
      <c r="C144" s="33" t="s">
        <v>141</v>
      </c>
      <c r="D144" s="33" t="s">
        <v>131</v>
      </c>
      <c r="E144" s="34" t="s">
        <v>1028</v>
      </c>
      <c r="F144" s="7" t="s">
        <v>1029</v>
      </c>
      <c r="G144" s="35" t="s">
        <v>134</v>
      </c>
      <c r="H144" s="36">
        <v>5.3719999999999999</v>
      </c>
      <c r="I144" s="1"/>
      <c r="J144" s="6">
        <f>ROUND(I144*H144,2)</f>
        <v>0</v>
      </c>
      <c r="K144" s="151" t="s">
        <v>1</v>
      </c>
      <c r="L144" s="17"/>
      <c r="M144" s="8" t="s">
        <v>1</v>
      </c>
      <c r="N144" s="9" t="s">
        <v>33</v>
      </c>
      <c r="O144" s="10">
        <v>0</v>
      </c>
      <c r="P144" s="10">
        <f>O144*H144</f>
        <v>0</v>
      </c>
      <c r="Q144" s="10">
        <v>0</v>
      </c>
      <c r="R144" s="10">
        <f>Q144*H144</f>
        <v>0</v>
      </c>
      <c r="S144" s="10">
        <v>0</v>
      </c>
      <c r="T144" s="11">
        <f>S144*H144</f>
        <v>0</v>
      </c>
      <c r="U144" s="105"/>
      <c r="V144" s="105"/>
      <c r="W144" s="105"/>
      <c r="X144" s="105"/>
      <c r="Y144" s="105"/>
      <c r="Z144" s="105"/>
      <c r="AA144" s="105"/>
      <c r="AB144" s="105"/>
      <c r="AC144" s="105"/>
      <c r="AD144" s="105"/>
      <c r="AE144" s="105"/>
      <c r="AR144" s="12" t="s">
        <v>135</v>
      </c>
      <c r="AT144" s="12" t="s">
        <v>131</v>
      </c>
      <c r="AU144" s="12" t="s">
        <v>74</v>
      </c>
      <c r="AY144" s="13" t="s">
        <v>130</v>
      </c>
      <c r="BE144" s="14">
        <f>IF(N144="základní",J144,0)</f>
        <v>0</v>
      </c>
      <c r="BF144" s="14">
        <f>IF(N144="snížená",J144,0)</f>
        <v>0</v>
      </c>
      <c r="BG144" s="14">
        <f>IF(N144="zákl. přenesená",J144,0)</f>
        <v>0</v>
      </c>
      <c r="BH144" s="14">
        <f>IF(N144="sníž. přenesená",J144,0)</f>
        <v>0</v>
      </c>
      <c r="BI144" s="14">
        <f>IF(N144="nulová",J144,0)</f>
        <v>0</v>
      </c>
      <c r="BJ144" s="13" t="s">
        <v>74</v>
      </c>
      <c r="BK144" s="14">
        <f>ROUND(I144*H144,2)</f>
        <v>0</v>
      </c>
      <c r="BL144" s="13" t="s">
        <v>135</v>
      </c>
      <c r="BM144" s="12" t="s">
        <v>144</v>
      </c>
    </row>
    <row r="145" spans="1:65" s="5" customFormat="1" ht="16.5" customHeight="1" x14ac:dyDescent="0.2">
      <c r="A145" s="105"/>
      <c r="B145" s="140"/>
      <c r="C145" s="33" t="s">
        <v>135</v>
      </c>
      <c r="D145" s="33" t="s">
        <v>131</v>
      </c>
      <c r="E145" s="34" t="s">
        <v>1030</v>
      </c>
      <c r="F145" s="7" t="s">
        <v>1031</v>
      </c>
      <c r="G145" s="35" t="s">
        <v>134</v>
      </c>
      <c r="H145" s="36">
        <v>5.3719999999999999</v>
      </c>
      <c r="I145" s="1"/>
      <c r="J145" s="6">
        <f>ROUND(I145*H145,2)</f>
        <v>0</v>
      </c>
      <c r="K145" s="151" t="s">
        <v>1</v>
      </c>
      <c r="L145" s="17"/>
      <c r="M145" s="8" t="s">
        <v>1</v>
      </c>
      <c r="N145" s="9" t="s">
        <v>33</v>
      </c>
      <c r="O145" s="10">
        <v>0</v>
      </c>
      <c r="P145" s="10">
        <f>O145*H145</f>
        <v>0</v>
      </c>
      <c r="Q145" s="10">
        <v>0</v>
      </c>
      <c r="R145" s="10">
        <f>Q145*H145</f>
        <v>0</v>
      </c>
      <c r="S145" s="10">
        <v>0</v>
      </c>
      <c r="T145" s="11">
        <f>S145*H145</f>
        <v>0</v>
      </c>
      <c r="U145" s="105"/>
      <c r="V145" s="105"/>
      <c r="W145" s="105"/>
      <c r="X145" s="105"/>
      <c r="Y145" s="105"/>
      <c r="Z145" s="105"/>
      <c r="AA145" s="105"/>
      <c r="AB145" s="105"/>
      <c r="AC145" s="105"/>
      <c r="AD145" s="105"/>
      <c r="AE145" s="105"/>
      <c r="AR145" s="12" t="s">
        <v>135</v>
      </c>
      <c r="AT145" s="12" t="s">
        <v>131</v>
      </c>
      <c r="AU145" s="12" t="s">
        <v>74</v>
      </c>
      <c r="AY145" s="13" t="s">
        <v>130</v>
      </c>
      <c r="BE145" s="14">
        <f>IF(N145="základní",J145,0)</f>
        <v>0</v>
      </c>
      <c r="BF145" s="14">
        <f>IF(N145="snížená",J145,0)</f>
        <v>0</v>
      </c>
      <c r="BG145" s="14">
        <f>IF(N145="zákl. přenesená",J145,0)</f>
        <v>0</v>
      </c>
      <c r="BH145" s="14">
        <f>IF(N145="sníž. přenesená",J145,0)</f>
        <v>0</v>
      </c>
      <c r="BI145" s="14">
        <f>IF(N145="nulová",J145,0)</f>
        <v>0</v>
      </c>
      <c r="BJ145" s="13" t="s">
        <v>74</v>
      </c>
      <c r="BK145" s="14">
        <f>ROUND(I145*H145,2)</f>
        <v>0</v>
      </c>
      <c r="BL145" s="13" t="s">
        <v>135</v>
      </c>
      <c r="BM145" s="12" t="s">
        <v>147</v>
      </c>
    </row>
    <row r="146" spans="1:65" s="5" customFormat="1" ht="16.5" customHeight="1" x14ac:dyDescent="0.2">
      <c r="A146" s="105"/>
      <c r="B146" s="140"/>
      <c r="C146" s="33" t="s">
        <v>150</v>
      </c>
      <c r="D146" s="33" t="s">
        <v>131</v>
      </c>
      <c r="E146" s="34" t="s">
        <v>1032</v>
      </c>
      <c r="F146" s="7" t="s">
        <v>1033</v>
      </c>
      <c r="G146" s="35" t="s">
        <v>134</v>
      </c>
      <c r="H146" s="36">
        <v>10.744999999999999</v>
      </c>
      <c r="I146" s="1"/>
      <c r="J146" s="6">
        <f>ROUND(I146*H146,2)</f>
        <v>0</v>
      </c>
      <c r="K146" s="151" t="s">
        <v>1</v>
      </c>
      <c r="L146" s="17"/>
      <c r="M146" s="8" t="s">
        <v>1</v>
      </c>
      <c r="N146" s="9" t="s">
        <v>33</v>
      </c>
      <c r="O146" s="10">
        <v>0</v>
      </c>
      <c r="P146" s="10">
        <f>O146*H146</f>
        <v>0</v>
      </c>
      <c r="Q146" s="10">
        <v>0</v>
      </c>
      <c r="R146" s="10">
        <f>Q146*H146</f>
        <v>0</v>
      </c>
      <c r="S146" s="10">
        <v>0</v>
      </c>
      <c r="T146" s="11">
        <f>S146*H146</f>
        <v>0</v>
      </c>
      <c r="U146" s="105"/>
      <c r="V146" s="105"/>
      <c r="W146" s="105"/>
      <c r="X146" s="105"/>
      <c r="Y146" s="105"/>
      <c r="Z146" s="105"/>
      <c r="AA146" s="105"/>
      <c r="AB146" s="105"/>
      <c r="AC146" s="105"/>
      <c r="AD146" s="105"/>
      <c r="AE146" s="105"/>
      <c r="AR146" s="12" t="s">
        <v>135</v>
      </c>
      <c r="AT146" s="12" t="s">
        <v>131</v>
      </c>
      <c r="AU146" s="12" t="s">
        <v>74</v>
      </c>
      <c r="AY146" s="13" t="s">
        <v>130</v>
      </c>
      <c r="BE146" s="14">
        <f>IF(N146="základní",J146,0)</f>
        <v>0</v>
      </c>
      <c r="BF146" s="14">
        <f>IF(N146="snížená",J146,0)</f>
        <v>0</v>
      </c>
      <c r="BG146" s="14">
        <f>IF(N146="zákl. přenesená",J146,0)</f>
        <v>0</v>
      </c>
      <c r="BH146" s="14">
        <f>IF(N146="sníž. přenesená",J146,0)</f>
        <v>0</v>
      </c>
      <c r="BI146" s="14">
        <f>IF(N146="nulová",J146,0)</f>
        <v>0</v>
      </c>
      <c r="BJ146" s="13" t="s">
        <v>74</v>
      </c>
      <c r="BK146" s="14">
        <f>ROUND(I146*H146,2)</f>
        <v>0</v>
      </c>
      <c r="BL146" s="13" t="s">
        <v>135</v>
      </c>
      <c r="BM146" s="12" t="s">
        <v>72</v>
      </c>
    </row>
    <row r="147" spans="1:65" s="152" customFormat="1" x14ac:dyDescent="0.2">
      <c r="B147" s="153"/>
      <c r="C147" s="154"/>
      <c r="D147" s="141" t="s">
        <v>340</v>
      </c>
      <c r="E147" s="155" t="s">
        <v>1</v>
      </c>
      <c r="F147" s="156" t="s">
        <v>1034</v>
      </c>
      <c r="G147" s="154"/>
      <c r="H147" s="157"/>
      <c r="I147" s="154"/>
      <c r="J147" s="154"/>
      <c r="K147" s="158"/>
      <c r="L147" s="154"/>
      <c r="M147" s="159"/>
      <c r="N147" s="154"/>
      <c r="O147" s="154"/>
      <c r="P147" s="154"/>
      <c r="Q147" s="154"/>
      <c r="R147" s="154"/>
      <c r="S147" s="154"/>
      <c r="T147" s="160"/>
      <c r="AT147" s="161" t="s">
        <v>340</v>
      </c>
      <c r="AU147" s="161" t="s">
        <v>74</v>
      </c>
      <c r="AV147" s="152" t="s">
        <v>76</v>
      </c>
      <c r="AW147" s="152" t="s">
        <v>25</v>
      </c>
      <c r="AX147" s="152" t="s">
        <v>68</v>
      </c>
      <c r="AY147" s="161" t="s">
        <v>130</v>
      </c>
    </row>
    <row r="148" spans="1:65" s="162" customFormat="1" x14ac:dyDescent="0.2">
      <c r="B148" s="163"/>
      <c r="C148" s="164"/>
      <c r="D148" s="141" t="s">
        <v>340</v>
      </c>
      <c r="E148" s="165" t="s">
        <v>1</v>
      </c>
      <c r="F148" s="166" t="s">
        <v>342</v>
      </c>
      <c r="G148" s="164"/>
      <c r="H148" s="167">
        <v>10.744999999999999</v>
      </c>
      <c r="I148" s="164"/>
      <c r="J148" s="164"/>
      <c r="K148" s="168"/>
      <c r="L148" s="164"/>
      <c r="M148" s="169"/>
      <c r="N148" s="164"/>
      <c r="O148" s="164"/>
      <c r="P148" s="164"/>
      <c r="Q148" s="164"/>
      <c r="R148" s="164"/>
      <c r="S148" s="164"/>
      <c r="T148" s="170"/>
      <c r="AT148" s="171" t="s">
        <v>340</v>
      </c>
      <c r="AU148" s="171" t="s">
        <v>74</v>
      </c>
      <c r="AV148" s="162" t="s">
        <v>135</v>
      </c>
      <c r="AW148" s="162" t="s">
        <v>25</v>
      </c>
      <c r="AX148" s="162" t="s">
        <v>74</v>
      </c>
      <c r="AY148" s="171" t="s">
        <v>130</v>
      </c>
    </row>
    <row r="149" spans="1:65" s="5" customFormat="1" ht="16.5" customHeight="1" x14ac:dyDescent="0.2">
      <c r="A149" s="105"/>
      <c r="B149" s="140"/>
      <c r="C149" s="33" t="s">
        <v>144</v>
      </c>
      <c r="D149" s="33" t="s">
        <v>131</v>
      </c>
      <c r="E149" s="34" t="s">
        <v>1035</v>
      </c>
      <c r="F149" s="7" t="s">
        <v>1036</v>
      </c>
      <c r="G149" s="35" t="s">
        <v>1037</v>
      </c>
      <c r="H149" s="36">
        <v>3</v>
      </c>
      <c r="I149" s="1"/>
      <c r="J149" s="6">
        <f>ROUND(I149*H149,2)</f>
        <v>0</v>
      </c>
      <c r="K149" s="151" t="s">
        <v>1</v>
      </c>
      <c r="L149" s="17"/>
      <c r="M149" s="8" t="s">
        <v>1</v>
      </c>
      <c r="N149" s="9" t="s">
        <v>33</v>
      </c>
      <c r="O149" s="10">
        <v>0</v>
      </c>
      <c r="P149" s="10">
        <f>O149*H149</f>
        <v>0</v>
      </c>
      <c r="Q149" s="10">
        <v>0</v>
      </c>
      <c r="R149" s="10">
        <f>Q149*H149</f>
        <v>0</v>
      </c>
      <c r="S149" s="10">
        <v>0</v>
      </c>
      <c r="T149" s="11">
        <f>S149*H149</f>
        <v>0</v>
      </c>
      <c r="U149" s="105"/>
      <c r="V149" s="105"/>
      <c r="W149" s="105"/>
      <c r="X149" s="105"/>
      <c r="Y149" s="105"/>
      <c r="Z149" s="105"/>
      <c r="AA149" s="105"/>
      <c r="AB149" s="105"/>
      <c r="AC149" s="105"/>
      <c r="AD149" s="105"/>
      <c r="AE149" s="105"/>
      <c r="AR149" s="12" t="s">
        <v>135</v>
      </c>
      <c r="AT149" s="12" t="s">
        <v>131</v>
      </c>
      <c r="AU149" s="12" t="s">
        <v>74</v>
      </c>
      <c r="AY149" s="13" t="s">
        <v>130</v>
      </c>
      <c r="BE149" s="14">
        <f>IF(N149="základní",J149,0)</f>
        <v>0</v>
      </c>
      <c r="BF149" s="14">
        <f>IF(N149="snížená",J149,0)</f>
        <v>0</v>
      </c>
      <c r="BG149" s="14">
        <f>IF(N149="zákl. přenesená",J149,0)</f>
        <v>0</v>
      </c>
      <c r="BH149" s="14">
        <f>IF(N149="sníž. přenesená",J149,0)</f>
        <v>0</v>
      </c>
      <c r="BI149" s="14">
        <f>IF(N149="nulová",J149,0)</f>
        <v>0</v>
      </c>
      <c r="BJ149" s="13" t="s">
        <v>74</v>
      </c>
      <c r="BK149" s="14">
        <f>ROUND(I149*H149,2)</f>
        <v>0</v>
      </c>
      <c r="BL149" s="13" t="s">
        <v>135</v>
      </c>
      <c r="BM149" s="12" t="s">
        <v>79</v>
      </c>
    </row>
    <row r="150" spans="1:65" s="5" customFormat="1" ht="16.5" customHeight="1" x14ac:dyDescent="0.2">
      <c r="A150" s="105"/>
      <c r="B150" s="140"/>
      <c r="C150" s="33" t="s">
        <v>544</v>
      </c>
      <c r="D150" s="33" t="s">
        <v>131</v>
      </c>
      <c r="E150" s="34" t="s">
        <v>1038</v>
      </c>
      <c r="F150" s="7" t="s">
        <v>1039</v>
      </c>
      <c r="G150" s="35" t="s">
        <v>1037</v>
      </c>
      <c r="H150" s="36">
        <v>1</v>
      </c>
      <c r="I150" s="1"/>
      <c r="J150" s="6">
        <f>ROUND(I150*H150,2)</f>
        <v>0</v>
      </c>
      <c r="K150" s="151" t="s">
        <v>1</v>
      </c>
      <c r="L150" s="17"/>
      <c r="M150" s="8" t="s">
        <v>1</v>
      </c>
      <c r="N150" s="9" t="s">
        <v>33</v>
      </c>
      <c r="O150" s="10">
        <v>0</v>
      </c>
      <c r="P150" s="10">
        <f>O150*H150</f>
        <v>0</v>
      </c>
      <c r="Q150" s="10">
        <v>0</v>
      </c>
      <c r="R150" s="10">
        <f>Q150*H150</f>
        <v>0</v>
      </c>
      <c r="S150" s="10">
        <v>0</v>
      </c>
      <c r="T150" s="11">
        <f>S150*H150</f>
        <v>0</v>
      </c>
      <c r="U150" s="105"/>
      <c r="V150" s="105"/>
      <c r="W150" s="105"/>
      <c r="X150" s="105"/>
      <c r="Y150" s="105"/>
      <c r="Z150" s="105"/>
      <c r="AA150" s="105"/>
      <c r="AB150" s="105"/>
      <c r="AC150" s="105"/>
      <c r="AD150" s="105"/>
      <c r="AE150" s="105"/>
      <c r="AR150" s="12" t="s">
        <v>135</v>
      </c>
      <c r="AT150" s="12" t="s">
        <v>131</v>
      </c>
      <c r="AU150" s="12" t="s">
        <v>74</v>
      </c>
      <c r="AY150" s="13" t="s">
        <v>130</v>
      </c>
      <c r="BE150" s="14">
        <f>IF(N150="základní",J150,0)</f>
        <v>0</v>
      </c>
      <c r="BF150" s="14">
        <f>IF(N150="snížená",J150,0)</f>
        <v>0</v>
      </c>
      <c r="BG150" s="14">
        <f>IF(N150="zákl. přenesená",J150,0)</f>
        <v>0</v>
      </c>
      <c r="BH150" s="14">
        <f>IF(N150="sníž. přenesená",J150,0)</f>
        <v>0</v>
      </c>
      <c r="BI150" s="14">
        <f>IF(N150="nulová",J150,0)</f>
        <v>0</v>
      </c>
      <c r="BJ150" s="13" t="s">
        <v>74</v>
      </c>
      <c r="BK150" s="14">
        <f>ROUND(I150*H150,2)</f>
        <v>0</v>
      </c>
      <c r="BL150" s="13" t="s">
        <v>135</v>
      </c>
      <c r="BM150" s="12" t="s">
        <v>83</v>
      </c>
    </row>
    <row r="151" spans="1:65" s="20" customFormat="1" ht="25.9" customHeight="1" x14ac:dyDescent="0.2">
      <c r="B151" s="172"/>
      <c r="C151" s="23"/>
      <c r="D151" s="173" t="s">
        <v>67</v>
      </c>
      <c r="E151" s="174" t="s">
        <v>139</v>
      </c>
      <c r="F151" s="174" t="s">
        <v>1040</v>
      </c>
      <c r="G151" s="23"/>
      <c r="H151" s="23"/>
      <c r="I151" s="23"/>
      <c r="J151" s="175">
        <f>BK151</f>
        <v>0</v>
      </c>
      <c r="K151" s="176"/>
      <c r="L151" s="23"/>
      <c r="M151" s="22"/>
      <c r="N151" s="23"/>
      <c r="O151" s="23"/>
      <c r="P151" s="24">
        <f>SUM(P153:P157)</f>
        <v>0</v>
      </c>
      <c r="Q151" s="23"/>
      <c r="R151" s="24">
        <f>SUM(R153:R157)</f>
        <v>0</v>
      </c>
      <c r="S151" s="23"/>
      <c r="T151" s="25">
        <f>SUM(T153:T157)</f>
        <v>0</v>
      </c>
      <c r="AR151" s="26" t="s">
        <v>74</v>
      </c>
      <c r="AT151" s="27" t="s">
        <v>67</v>
      </c>
      <c r="AU151" s="27" t="s">
        <v>68</v>
      </c>
      <c r="AY151" s="26" t="s">
        <v>130</v>
      </c>
      <c r="BK151" s="28">
        <f>SUM(BK153:BK157)</f>
        <v>0</v>
      </c>
    </row>
    <row r="152" spans="1:65" s="5" customFormat="1" ht="10.15" customHeight="1" x14ac:dyDescent="0.2">
      <c r="B152" s="177"/>
      <c r="C152" s="16"/>
      <c r="D152" s="178" t="s">
        <v>340</v>
      </c>
      <c r="E152" s="16"/>
      <c r="F152" s="179" t="s">
        <v>1216</v>
      </c>
      <c r="G152" s="16"/>
      <c r="H152" s="180">
        <f>(8.89*2*3.14*0.0125)+(6*3.14*0.0125*0.0125)</f>
        <v>0.7008087500000002</v>
      </c>
      <c r="I152" s="16"/>
      <c r="J152" s="16"/>
      <c r="K152" s="181"/>
      <c r="L152" s="16"/>
      <c r="S152" s="129"/>
      <c r="AS152" s="126" t="s">
        <v>148</v>
      </c>
      <c r="AT152" s="126" t="s">
        <v>74</v>
      </c>
    </row>
    <row r="153" spans="1:65" s="5" customFormat="1" ht="16.5" customHeight="1" x14ac:dyDescent="0.2">
      <c r="A153" s="105"/>
      <c r="B153" s="140"/>
      <c r="C153" s="33" t="s">
        <v>158</v>
      </c>
      <c r="D153" s="33" t="s">
        <v>131</v>
      </c>
      <c r="E153" s="34" t="s">
        <v>1024</v>
      </c>
      <c r="F153" s="7" t="s">
        <v>1025</v>
      </c>
      <c r="G153" s="35" t="s">
        <v>134</v>
      </c>
      <c r="H153" s="36">
        <v>0.70099999999999996</v>
      </c>
      <c r="I153" s="1"/>
      <c r="J153" s="6">
        <f>ROUND(I153*H153,2)</f>
        <v>0</v>
      </c>
      <c r="K153" s="151" t="s">
        <v>1</v>
      </c>
      <c r="L153" s="17"/>
      <c r="M153" s="8" t="s">
        <v>1</v>
      </c>
      <c r="N153" s="9" t="s">
        <v>33</v>
      </c>
      <c r="O153" s="10">
        <v>0</v>
      </c>
      <c r="P153" s="10">
        <f>O153*H153</f>
        <v>0</v>
      </c>
      <c r="Q153" s="10">
        <v>0</v>
      </c>
      <c r="R153" s="10">
        <f>Q153*H153</f>
        <v>0</v>
      </c>
      <c r="S153" s="10">
        <v>0</v>
      </c>
      <c r="T153" s="11">
        <f>S153*H153</f>
        <v>0</v>
      </c>
      <c r="U153" s="105"/>
      <c r="V153" s="105"/>
      <c r="W153" s="105"/>
      <c r="X153" s="105"/>
      <c r="Y153" s="105"/>
      <c r="Z153" s="105"/>
      <c r="AA153" s="105"/>
      <c r="AB153" s="105"/>
      <c r="AC153" s="105"/>
      <c r="AD153" s="105"/>
      <c r="AE153" s="105"/>
      <c r="AR153" s="12" t="s">
        <v>135</v>
      </c>
      <c r="AT153" s="12" t="s">
        <v>131</v>
      </c>
      <c r="AU153" s="12" t="s">
        <v>74</v>
      </c>
      <c r="AY153" s="13" t="s">
        <v>130</v>
      </c>
      <c r="BE153" s="14">
        <f>IF(N153="základní",J153,0)</f>
        <v>0</v>
      </c>
      <c r="BF153" s="14">
        <f>IF(N153="snížená",J153,0)</f>
        <v>0</v>
      </c>
      <c r="BG153" s="14">
        <f>IF(N153="zákl. přenesená",J153,0)</f>
        <v>0</v>
      </c>
      <c r="BH153" s="14">
        <f>IF(N153="sníž. přenesená",J153,0)</f>
        <v>0</v>
      </c>
      <c r="BI153" s="14">
        <f>IF(N153="nulová",J153,0)</f>
        <v>0</v>
      </c>
      <c r="BJ153" s="13" t="s">
        <v>74</v>
      </c>
      <c r="BK153" s="14">
        <f>ROUND(I153*H153,2)</f>
        <v>0</v>
      </c>
      <c r="BL153" s="13" t="s">
        <v>135</v>
      </c>
      <c r="BM153" s="12" t="s">
        <v>163</v>
      </c>
    </row>
    <row r="154" spans="1:65" s="5" customFormat="1" ht="16.5" customHeight="1" x14ac:dyDescent="0.2">
      <c r="A154" s="105"/>
      <c r="B154" s="140"/>
      <c r="C154" s="33" t="s">
        <v>147</v>
      </c>
      <c r="D154" s="33" t="s">
        <v>131</v>
      </c>
      <c r="E154" s="34" t="s">
        <v>1026</v>
      </c>
      <c r="F154" s="7" t="s">
        <v>1027</v>
      </c>
      <c r="G154" s="35" t="s">
        <v>134</v>
      </c>
      <c r="H154" s="36">
        <v>0.70099999999999996</v>
      </c>
      <c r="I154" s="1"/>
      <c r="J154" s="6">
        <f>ROUND(I154*H154,2)</f>
        <v>0</v>
      </c>
      <c r="K154" s="151" t="s">
        <v>1</v>
      </c>
      <c r="L154" s="17"/>
      <c r="M154" s="8" t="s">
        <v>1</v>
      </c>
      <c r="N154" s="9" t="s">
        <v>33</v>
      </c>
      <c r="O154" s="10">
        <v>0</v>
      </c>
      <c r="P154" s="10">
        <f>O154*H154</f>
        <v>0</v>
      </c>
      <c r="Q154" s="10">
        <v>0</v>
      </c>
      <c r="R154" s="10">
        <f>Q154*H154</f>
        <v>0</v>
      </c>
      <c r="S154" s="10">
        <v>0</v>
      </c>
      <c r="T154" s="11">
        <f>S154*H154</f>
        <v>0</v>
      </c>
      <c r="U154" s="105"/>
      <c r="V154" s="105"/>
      <c r="W154" s="105"/>
      <c r="X154" s="105"/>
      <c r="Y154" s="105"/>
      <c r="Z154" s="105"/>
      <c r="AA154" s="105"/>
      <c r="AB154" s="105"/>
      <c r="AC154" s="105"/>
      <c r="AD154" s="105"/>
      <c r="AE154" s="105"/>
      <c r="AR154" s="12" t="s">
        <v>135</v>
      </c>
      <c r="AT154" s="12" t="s">
        <v>131</v>
      </c>
      <c r="AU154" s="12" t="s">
        <v>74</v>
      </c>
      <c r="AY154" s="13" t="s">
        <v>130</v>
      </c>
      <c r="BE154" s="14">
        <f>IF(N154="základní",J154,0)</f>
        <v>0</v>
      </c>
      <c r="BF154" s="14">
        <f>IF(N154="snížená",J154,0)</f>
        <v>0</v>
      </c>
      <c r="BG154" s="14">
        <f>IF(N154="zákl. přenesená",J154,0)</f>
        <v>0</v>
      </c>
      <c r="BH154" s="14">
        <f>IF(N154="sníž. přenesená",J154,0)</f>
        <v>0</v>
      </c>
      <c r="BI154" s="14">
        <f>IF(N154="nulová",J154,0)</f>
        <v>0</v>
      </c>
      <c r="BJ154" s="13" t="s">
        <v>74</v>
      </c>
      <c r="BK154" s="14">
        <f>ROUND(I154*H154,2)</f>
        <v>0</v>
      </c>
      <c r="BL154" s="13" t="s">
        <v>135</v>
      </c>
      <c r="BM154" s="12" t="s">
        <v>165</v>
      </c>
    </row>
    <row r="155" spans="1:65" s="5" customFormat="1" ht="16.5" customHeight="1" x14ac:dyDescent="0.2">
      <c r="A155" s="105"/>
      <c r="B155" s="140"/>
      <c r="C155" s="33" t="s">
        <v>164</v>
      </c>
      <c r="D155" s="33" t="s">
        <v>131</v>
      </c>
      <c r="E155" s="34" t="s">
        <v>1028</v>
      </c>
      <c r="F155" s="7" t="s">
        <v>1029</v>
      </c>
      <c r="G155" s="35" t="s">
        <v>134</v>
      </c>
      <c r="H155" s="36">
        <v>0.70099999999999996</v>
      </c>
      <c r="I155" s="1"/>
      <c r="J155" s="6">
        <f>ROUND(I155*H155,2)</f>
        <v>0</v>
      </c>
      <c r="K155" s="151" t="s">
        <v>1</v>
      </c>
      <c r="L155" s="17"/>
      <c r="M155" s="8" t="s">
        <v>1</v>
      </c>
      <c r="N155" s="9" t="s">
        <v>33</v>
      </c>
      <c r="O155" s="10">
        <v>0</v>
      </c>
      <c r="P155" s="10">
        <f>O155*H155</f>
        <v>0</v>
      </c>
      <c r="Q155" s="10">
        <v>0</v>
      </c>
      <c r="R155" s="10">
        <f>Q155*H155</f>
        <v>0</v>
      </c>
      <c r="S155" s="10">
        <v>0</v>
      </c>
      <c r="T155" s="11">
        <f>S155*H155</f>
        <v>0</v>
      </c>
      <c r="U155" s="105"/>
      <c r="V155" s="105"/>
      <c r="W155" s="105"/>
      <c r="X155" s="105"/>
      <c r="Y155" s="105"/>
      <c r="Z155" s="105"/>
      <c r="AA155" s="105"/>
      <c r="AB155" s="105"/>
      <c r="AC155" s="105"/>
      <c r="AD155" s="105"/>
      <c r="AE155" s="105"/>
      <c r="AR155" s="12" t="s">
        <v>135</v>
      </c>
      <c r="AT155" s="12" t="s">
        <v>131</v>
      </c>
      <c r="AU155" s="12" t="s">
        <v>74</v>
      </c>
      <c r="AY155" s="13" t="s">
        <v>130</v>
      </c>
      <c r="BE155" s="14">
        <f>IF(N155="základní",J155,0)</f>
        <v>0</v>
      </c>
      <c r="BF155" s="14">
        <f>IF(N155="snížená",J155,0)</f>
        <v>0</v>
      </c>
      <c r="BG155" s="14">
        <f>IF(N155="zákl. přenesená",J155,0)</f>
        <v>0</v>
      </c>
      <c r="BH155" s="14">
        <f>IF(N155="sníž. přenesená",J155,0)</f>
        <v>0</v>
      </c>
      <c r="BI155" s="14">
        <f>IF(N155="nulová",J155,0)</f>
        <v>0</v>
      </c>
      <c r="BJ155" s="13" t="s">
        <v>74</v>
      </c>
      <c r="BK155" s="14">
        <f>ROUND(I155*H155,2)</f>
        <v>0</v>
      </c>
      <c r="BL155" s="13" t="s">
        <v>135</v>
      </c>
      <c r="BM155" s="12" t="s">
        <v>171</v>
      </c>
    </row>
    <row r="156" spans="1:65" s="5" customFormat="1" ht="16.5" customHeight="1" x14ac:dyDescent="0.2">
      <c r="A156" s="105"/>
      <c r="B156" s="140"/>
      <c r="C156" s="33" t="s">
        <v>72</v>
      </c>
      <c r="D156" s="33" t="s">
        <v>131</v>
      </c>
      <c r="E156" s="34" t="s">
        <v>1030</v>
      </c>
      <c r="F156" s="7" t="s">
        <v>1031</v>
      </c>
      <c r="G156" s="35" t="s">
        <v>134</v>
      </c>
      <c r="H156" s="36">
        <v>0.70099999999999996</v>
      </c>
      <c r="I156" s="1"/>
      <c r="J156" s="6">
        <f>ROUND(I156*H156,2)</f>
        <v>0</v>
      </c>
      <c r="K156" s="151" t="s">
        <v>1</v>
      </c>
      <c r="L156" s="17"/>
      <c r="M156" s="8" t="s">
        <v>1</v>
      </c>
      <c r="N156" s="9" t="s">
        <v>33</v>
      </c>
      <c r="O156" s="10">
        <v>0</v>
      </c>
      <c r="P156" s="10">
        <f>O156*H156</f>
        <v>0</v>
      </c>
      <c r="Q156" s="10">
        <v>0</v>
      </c>
      <c r="R156" s="10">
        <f>Q156*H156</f>
        <v>0</v>
      </c>
      <c r="S156" s="10">
        <v>0</v>
      </c>
      <c r="T156" s="11">
        <f>S156*H156</f>
        <v>0</v>
      </c>
      <c r="U156" s="105"/>
      <c r="V156" s="105"/>
      <c r="W156" s="105"/>
      <c r="X156" s="105"/>
      <c r="Y156" s="105"/>
      <c r="Z156" s="105"/>
      <c r="AA156" s="105"/>
      <c r="AB156" s="105"/>
      <c r="AC156" s="105"/>
      <c r="AD156" s="105"/>
      <c r="AE156" s="105"/>
      <c r="AR156" s="12" t="s">
        <v>135</v>
      </c>
      <c r="AT156" s="12" t="s">
        <v>131</v>
      </c>
      <c r="AU156" s="12" t="s">
        <v>74</v>
      </c>
      <c r="AY156" s="13" t="s">
        <v>130</v>
      </c>
      <c r="BE156" s="14">
        <f>IF(N156="základní",J156,0)</f>
        <v>0</v>
      </c>
      <c r="BF156" s="14">
        <f>IF(N156="snížená",J156,0)</f>
        <v>0</v>
      </c>
      <c r="BG156" s="14">
        <f>IF(N156="zákl. přenesená",J156,0)</f>
        <v>0</v>
      </c>
      <c r="BH156" s="14">
        <f>IF(N156="sníž. přenesená",J156,0)</f>
        <v>0</v>
      </c>
      <c r="BI156" s="14">
        <f>IF(N156="nulová",J156,0)</f>
        <v>0</v>
      </c>
      <c r="BJ156" s="13" t="s">
        <v>74</v>
      </c>
      <c r="BK156" s="14">
        <f>ROUND(I156*H156,2)</f>
        <v>0</v>
      </c>
      <c r="BL156" s="13" t="s">
        <v>135</v>
      </c>
      <c r="BM156" s="12" t="s">
        <v>174</v>
      </c>
    </row>
    <row r="157" spans="1:65" s="5" customFormat="1" ht="16.5" customHeight="1" x14ac:dyDescent="0.2">
      <c r="A157" s="105"/>
      <c r="B157" s="140"/>
      <c r="C157" s="33" t="s">
        <v>77</v>
      </c>
      <c r="D157" s="33" t="s">
        <v>131</v>
      </c>
      <c r="E157" s="34" t="s">
        <v>1032</v>
      </c>
      <c r="F157" s="7" t="s">
        <v>1033</v>
      </c>
      <c r="G157" s="35" t="s">
        <v>134</v>
      </c>
      <c r="H157" s="36">
        <v>0.70099999999999996</v>
      </c>
      <c r="I157" s="1"/>
      <c r="J157" s="6">
        <f>ROUND(I157*H157,2)</f>
        <v>0</v>
      </c>
      <c r="K157" s="151" t="s">
        <v>1</v>
      </c>
      <c r="L157" s="17"/>
      <c r="M157" s="8" t="s">
        <v>1</v>
      </c>
      <c r="N157" s="9" t="s">
        <v>33</v>
      </c>
      <c r="O157" s="10">
        <v>0</v>
      </c>
      <c r="P157" s="10">
        <f>O157*H157</f>
        <v>0</v>
      </c>
      <c r="Q157" s="10">
        <v>0</v>
      </c>
      <c r="R157" s="10">
        <f>Q157*H157</f>
        <v>0</v>
      </c>
      <c r="S157" s="10">
        <v>0</v>
      </c>
      <c r="T157" s="11">
        <f>S157*H157</f>
        <v>0</v>
      </c>
      <c r="U157" s="105"/>
      <c r="V157" s="105"/>
      <c r="W157" s="105"/>
      <c r="X157" s="105"/>
      <c r="Y157" s="105"/>
      <c r="Z157" s="105"/>
      <c r="AA157" s="105"/>
      <c r="AB157" s="105"/>
      <c r="AC157" s="105"/>
      <c r="AD157" s="105"/>
      <c r="AE157" s="105"/>
      <c r="AR157" s="12" t="s">
        <v>135</v>
      </c>
      <c r="AT157" s="12" t="s">
        <v>131</v>
      </c>
      <c r="AU157" s="12" t="s">
        <v>74</v>
      </c>
      <c r="AY157" s="13" t="s">
        <v>130</v>
      </c>
      <c r="BE157" s="14">
        <f>IF(N157="základní",J157,0)</f>
        <v>0</v>
      </c>
      <c r="BF157" s="14">
        <f>IF(N157="snížená",J157,0)</f>
        <v>0</v>
      </c>
      <c r="BG157" s="14">
        <f>IF(N157="zákl. přenesená",J157,0)</f>
        <v>0</v>
      </c>
      <c r="BH157" s="14">
        <f>IF(N157="sníž. přenesená",J157,0)</f>
        <v>0</v>
      </c>
      <c r="BI157" s="14">
        <f>IF(N157="nulová",J157,0)</f>
        <v>0</v>
      </c>
      <c r="BJ157" s="13" t="s">
        <v>74</v>
      </c>
      <c r="BK157" s="14">
        <f>ROUND(I157*H157,2)</f>
        <v>0</v>
      </c>
      <c r="BL157" s="13" t="s">
        <v>135</v>
      </c>
      <c r="BM157" s="12" t="s">
        <v>177</v>
      </c>
    </row>
    <row r="158" spans="1:65" s="20" customFormat="1" ht="25.9" customHeight="1" x14ac:dyDescent="0.2">
      <c r="B158" s="172"/>
      <c r="C158" s="23"/>
      <c r="D158" s="173" t="s">
        <v>67</v>
      </c>
      <c r="E158" s="174" t="s">
        <v>153</v>
      </c>
      <c r="F158" s="174" t="s">
        <v>1041</v>
      </c>
      <c r="G158" s="23"/>
      <c r="H158" s="23"/>
      <c r="I158" s="23"/>
      <c r="J158" s="175">
        <f>BK158</f>
        <v>0</v>
      </c>
      <c r="K158" s="176"/>
      <c r="L158" s="23"/>
      <c r="M158" s="22"/>
      <c r="N158" s="23"/>
      <c r="O158" s="23"/>
      <c r="P158" s="24">
        <f>SUM(P161:P167)</f>
        <v>0</v>
      </c>
      <c r="Q158" s="23"/>
      <c r="R158" s="24">
        <f>SUM(R161:R167)</f>
        <v>0</v>
      </c>
      <c r="S158" s="23"/>
      <c r="T158" s="25">
        <f>SUM(T161:T167)</f>
        <v>0</v>
      </c>
      <c r="AR158" s="26" t="s">
        <v>74</v>
      </c>
      <c r="AT158" s="27" t="s">
        <v>67</v>
      </c>
      <c r="AU158" s="27" t="s">
        <v>68</v>
      </c>
      <c r="AY158" s="26" t="s">
        <v>130</v>
      </c>
      <c r="BK158" s="28">
        <f>SUM(BK161:BK167)</f>
        <v>0</v>
      </c>
    </row>
    <row r="159" spans="1:65" s="5" customFormat="1" x14ac:dyDescent="0.2">
      <c r="B159" s="177"/>
      <c r="C159" s="16"/>
      <c r="D159" s="178" t="s">
        <v>340</v>
      </c>
      <c r="E159" s="16"/>
      <c r="F159" s="179" t="s">
        <v>1217</v>
      </c>
      <c r="G159" s="16"/>
      <c r="H159" s="180">
        <f>1.26*0.9</f>
        <v>1.1340000000000001</v>
      </c>
      <c r="I159" s="16"/>
      <c r="J159" s="16"/>
      <c r="K159" s="181"/>
      <c r="L159" s="16"/>
      <c r="S159" s="129"/>
      <c r="AS159" s="126" t="s">
        <v>148</v>
      </c>
      <c r="AT159" s="126" t="s">
        <v>74</v>
      </c>
    </row>
    <row r="160" spans="1:65" s="5" customFormat="1" ht="10.15" customHeight="1" x14ac:dyDescent="0.2">
      <c r="B160" s="177"/>
      <c r="C160" s="16"/>
      <c r="D160" s="178" t="s">
        <v>340</v>
      </c>
      <c r="E160" s="16"/>
      <c r="F160" s="179" t="s">
        <v>1215</v>
      </c>
      <c r="G160" s="180"/>
      <c r="H160" s="16"/>
      <c r="I160" s="16"/>
      <c r="J160" s="16"/>
      <c r="K160" s="181"/>
      <c r="L160" s="16"/>
      <c r="S160" s="129"/>
      <c r="AS160" s="126" t="s">
        <v>148</v>
      </c>
      <c r="AT160" s="126" t="s">
        <v>74</v>
      </c>
    </row>
    <row r="161" spans="1:65" s="5" customFormat="1" ht="16.5" customHeight="1" x14ac:dyDescent="0.2">
      <c r="A161" s="105"/>
      <c r="B161" s="140"/>
      <c r="C161" s="33" t="s">
        <v>79</v>
      </c>
      <c r="D161" s="33" t="s">
        <v>131</v>
      </c>
      <c r="E161" s="34" t="s">
        <v>1024</v>
      </c>
      <c r="F161" s="7" t="s">
        <v>1025</v>
      </c>
      <c r="G161" s="35" t="s">
        <v>134</v>
      </c>
      <c r="H161" s="36">
        <v>1.1339999999999999</v>
      </c>
      <c r="I161" s="1"/>
      <c r="J161" s="6">
        <f>ROUND(I161*H161,2)</f>
        <v>0</v>
      </c>
      <c r="K161" s="151" t="s">
        <v>1</v>
      </c>
      <c r="L161" s="17"/>
      <c r="M161" s="8" t="s">
        <v>1</v>
      </c>
      <c r="N161" s="9" t="s">
        <v>33</v>
      </c>
      <c r="O161" s="10">
        <v>0</v>
      </c>
      <c r="P161" s="10">
        <f>O161*H161</f>
        <v>0</v>
      </c>
      <c r="Q161" s="10">
        <v>0</v>
      </c>
      <c r="R161" s="10">
        <f>Q161*H161</f>
        <v>0</v>
      </c>
      <c r="S161" s="10">
        <v>0</v>
      </c>
      <c r="T161" s="11">
        <f>S161*H161</f>
        <v>0</v>
      </c>
      <c r="U161" s="105"/>
      <c r="V161" s="105"/>
      <c r="W161" s="105"/>
      <c r="X161" s="105"/>
      <c r="Y161" s="105"/>
      <c r="Z161" s="105"/>
      <c r="AA161" s="105"/>
      <c r="AB161" s="105"/>
      <c r="AC161" s="105"/>
      <c r="AD161" s="105"/>
      <c r="AE161" s="105"/>
      <c r="AR161" s="12" t="s">
        <v>135</v>
      </c>
      <c r="AT161" s="12" t="s">
        <v>131</v>
      </c>
      <c r="AU161" s="12" t="s">
        <v>74</v>
      </c>
      <c r="AY161" s="13" t="s">
        <v>130</v>
      </c>
      <c r="BE161" s="14">
        <f>IF(N161="základní",J161,0)</f>
        <v>0</v>
      </c>
      <c r="BF161" s="14">
        <f>IF(N161="snížená",J161,0)</f>
        <v>0</v>
      </c>
      <c r="BG161" s="14">
        <f>IF(N161="zákl. přenesená",J161,0)</f>
        <v>0</v>
      </c>
      <c r="BH161" s="14">
        <f>IF(N161="sníž. přenesená",J161,0)</f>
        <v>0</v>
      </c>
      <c r="BI161" s="14">
        <f>IF(N161="nulová",J161,0)</f>
        <v>0</v>
      </c>
      <c r="BJ161" s="13" t="s">
        <v>74</v>
      </c>
      <c r="BK161" s="14">
        <f>ROUND(I161*H161,2)</f>
        <v>0</v>
      </c>
      <c r="BL161" s="13" t="s">
        <v>135</v>
      </c>
      <c r="BM161" s="12" t="s">
        <v>180</v>
      </c>
    </row>
    <row r="162" spans="1:65" s="5" customFormat="1" ht="16.5" customHeight="1" x14ac:dyDescent="0.2">
      <c r="A162" s="105"/>
      <c r="B162" s="140"/>
      <c r="C162" s="33" t="s">
        <v>81</v>
      </c>
      <c r="D162" s="33" t="s">
        <v>131</v>
      </c>
      <c r="E162" s="34" t="s">
        <v>1026</v>
      </c>
      <c r="F162" s="7" t="s">
        <v>1027</v>
      </c>
      <c r="G162" s="35" t="s">
        <v>134</v>
      </c>
      <c r="H162" s="36">
        <v>1.1339999999999999</v>
      </c>
      <c r="I162" s="1"/>
      <c r="J162" s="6">
        <f>ROUND(I162*H162,2)</f>
        <v>0</v>
      </c>
      <c r="K162" s="151" t="s">
        <v>1</v>
      </c>
      <c r="L162" s="17"/>
      <c r="M162" s="8" t="s">
        <v>1</v>
      </c>
      <c r="N162" s="9" t="s">
        <v>33</v>
      </c>
      <c r="O162" s="10">
        <v>0</v>
      </c>
      <c r="P162" s="10">
        <f>O162*H162</f>
        <v>0</v>
      </c>
      <c r="Q162" s="10">
        <v>0</v>
      </c>
      <c r="R162" s="10">
        <f>Q162*H162</f>
        <v>0</v>
      </c>
      <c r="S162" s="10">
        <v>0</v>
      </c>
      <c r="T162" s="11">
        <f>S162*H162</f>
        <v>0</v>
      </c>
      <c r="U162" s="105"/>
      <c r="V162" s="105"/>
      <c r="W162" s="105"/>
      <c r="X162" s="105"/>
      <c r="Y162" s="105"/>
      <c r="Z162" s="105"/>
      <c r="AA162" s="105"/>
      <c r="AB162" s="105"/>
      <c r="AC162" s="105"/>
      <c r="AD162" s="105"/>
      <c r="AE162" s="105"/>
      <c r="AR162" s="12" t="s">
        <v>135</v>
      </c>
      <c r="AT162" s="12" t="s">
        <v>131</v>
      </c>
      <c r="AU162" s="12" t="s">
        <v>74</v>
      </c>
      <c r="AY162" s="13" t="s">
        <v>130</v>
      </c>
      <c r="BE162" s="14">
        <f>IF(N162="základní",J162,0)</f>
        <v>0</v>
      </c>
      <c r="BF162" s="14">
        <f>IF(N162="snížená",J162,0)</f>
        <v>0</v>
      </c>
      <c r="BG162" s="14">
        <f>IF(N162="zákl. přenesená",J162,0)</f>
        <v>0</v>
      </c>
      <c r="BH162" s="14">
        <f>IF(N162="sníž. přenesená",J162,0)</f>
        <v>0</v>
      </c>
      <c r="BI162" s="14">
        <f>IF(N162="nulová",J162,0)</f>
        <v>0</v>
      </c>
      <c r="BJ162" s="13" t="s">
        <v>74</v>
      </c>
      <c r="BK162" s="14">
        <f>ROUND(I162*H162,2)</f>
        <v>0</v>
      </c>
      <c r="BL162" s="13" t="s">
        <v>135</v>
      </c>
      <c r="BM162" s="12" t="s">
        <v>183</v>
      </c>
    </row>
    <row r="163" spans="1:65" s="5" customFormat="1" ht="16.5" customHeight="1" x14ac:dyDescent="0.2">
      <c r="A163" s="105"/>
      <c r="B163" s="140"/>
      <c r="C163" s="33" t="s">
        <v>83</v>
      </c>
      <c r="D163" s="33" t="s">
        <v>131</v>
      </c>
      <c r="E163" s="34" t="s">
        <v>1028</v>
      </c>
      <c r="F163" s="7" t="s">
        <v>1029</v>
      </c>
      <c r="G163" s="35" t="s">
        <v>134</v>
      </c>
      <c r="H163" s="36">
        <v>1.1339999999999999</v>
      </c>
      <c r="I163" s="1"/>
      <c r="J163" s="6">
        <f>ROUND(I163*H163,2)</f>
        <v>0</v>
      </c>
      <c r="K163" s="151" t="s">
        <v>1</v>
      </c>
      <c r="L163" s="17"/>
      <c r="M163" s="8" t="s">
        <v>1</v>
      </c>
      <c r="N163" s="9" t="s">
        <v>33</v>
      </c>
      <c r="O163" s="10">
        <v>0</v>
      </c>
      <c r="P163" s="10">
        <f>O163*H163</f>
        <v>0</v>
      </c>
      <c r="Q163" s="10">
        <v>0</v>
      </c>
      <c r="R163" s="10">
        <f>Q163*H163</f>
        <v>0</v>
      </c>
      <c r="S163" s="10">
        <v>0</v>
      </c>
      <c r="T163" s="11">
        <f>S163*H163</f>
        <v>0</v>
      </c>
      <c r="U163" s="105"/>
      <c r="V163" s="105"/>
      <c r="W163" s="105"/>
      <c r="X163" s="105"/>
      <c r="Y163" s="105"/>
      <c r="Z163" s="105"/>
      <c r="AA163" s="105"/>
      <c r="AB163" s="105"/>
      <c r="AC163" s="105"/>
      <c r="AD163" s="105"/>
      <c r="AE163" s="105"/>
      <c r="AR163" s="12" t="s">
        <v>135</v>
      </c>
      <c r="AT163" s="12" t="s">
        <v>131</v>
      </c>
      <c r="AU163" s="12" t="s">
        <v>74</v>
      </c>
      <c r="AY163" s="13" t="s">
        <v>130</v>
      </c>
      <c r="BE163" s="14">
        <f>IF(N163="základní",J163,0)</f>
        <v>0</v>
      </c>
      <c r="BF163" s="14">
        <f>IF(N163="snížená",J163,0)</f>
        <v>0</v>
      </c>
      <c r="BG163" s="14">
        <f>IF(N163="zákl. přenesená",J163,0)</f>
        <v>0</v>
      </c>
      <c r="BH163" s="14">
        <f>IF(N163="sníž. přenesená",J163,0)</f>
        <v>0</v>
      </c>
      <c r="BI163" s="14">
        <f>IF(N163="nulová",J163,0)</f>
        <v>0</v>
      </c>
      <c r="BJ163" s="13" t="s">
        <v>74</v>
      </c>
      <c r="BK163" s="14">
        <f>ROUND(I163*H163,2)</f>
        <v>0</v>
      </c>
      <c r="BL163" s="13" t="s">
        <v>135</v>
      </c>
      <c r="BM163" s="12" t="s">
        <v>186</v>
      </c>
    </row>
    <row r="164" spans="1:65" s="5" customFormat="1" ht="16.5" customHeight="1" x14ac:dyDescent="0.2">
      <c r="A164" s="105"/>
      <c r="B164" s="140"/>
      <c r="C164" s="33" t="s">
        <v>8</v>
      </c>
      <c r="D164" s="33" t="s">
        <v>131</v>
      </c>
      <c r="E164" s="34" t="s">
        <v>1030</v>
      </c>
      <c r="F164" s="7" t="s">
        <v>1031</v>
      </c>
      <c r="G164" s="35" t="s">
        <v>134</v>
      </c>
      <c r="H164" s="36">
        <v>1.1339999999999999</v>
      </c>
      <c r="I164" s="1"/>
      <c r="J164" s="6">
        <f>ROUND(I164*H164,2)</f>
        <v>0</v>
      </c>
      <c r="K164" s="151" t="s">
        <v>1</v>
      </c>
      <c r="L164" s="17"/>
      <c r="M164" s="8" t="s">
        <v>1</v>
      </c>
      <c r="N164" s="9" t="s">
        <v>33</v>
      </c>
      <c r="O164" s="10">
        <v>0</v>
      </c>
      <c r="P164" s="10">
        <f>O164*H164</f>
        <v>0</v>
      </c>
      <c r="Q164" s="10">
        <v>0</v>
      </c>
      <c r="R164" s="10">
        <f>Q164*H164</f>
        <v>0</v>
      </c>
      <c r="S164" s="10">
        <v>0</v>
      </c>
      <c r="T164" s="11">
        <f>S164*H164</f>
        <v>0</v>
      </c>
      <c r="U164" s="105"/>
      <c r="V164" s="105"/>
      <c r="W164" s="105"/>
      <c r="X164" s="105"/>
      <c r="Y164" s="105"/>
      <c r="Z164" s="105"/>
      <c r="AA164" s="105"/>
      <c r="AB164" s="105"/>
      <c r="AC164" s="105"/>
      <c r="AD164" s="105"/>
      <c r="AE164" s="105"/>
      <c r="AR164" s="12" t="s">
        <v>135</v>
      </c>
      <c r="AT164" s="12" t="s">
        <v>131</v>
      </c>
      <c r="AU164" s="12" t="s">
        <v>74</v>
      </c>
      <c r="AY164" s="13" t="s">
        <v>130</v>
      </c>
      <c r="BE164" s="14">
        <f>IF(N164="základní",J164,0)</f>
        <v>0</v>
      </c>
      <c r="BF164" s="14">
        <f>IF(N164="snížená",J164,0)</f>
        <v>0</v>
      </c>
      <c r="BG164" s="14">
        <f>IF(N164="zákl. přenesená",J164,0)</f>
        <v>0</v>
      </c>
      <c r="BH164" s="14">
        <f>IF(N164="sníž. přenesená",J164,0)</f>
        <v>0</v>
      </c>
      <c r="BI164" s="14">
        <f>IF(N164="nulová",J164,0)</f>
        <v>0</v>
      </c>
      <c r="BJ164" s="13" t="s">
        <v>74</v>
      </c>
      <c r="BK164" s="14">
        <f>ROUND(I164*H164,2)</f>
        <v>0</v>
      </c>
      <c r="BL164" s="13" t="s">
        <v>135</v>
      </c>
      <c r="BM164" s="12" t="s">
        <v>189</v>
      </c>
    </row>
    <row r="165" spans="1:65" s="5" customFormat="1" ht="16.5" customHeight="1" x14ac:dyDescent="0.2">
      <c r="A165" s="105"/>
      <c r="B165" s="140"/>
      <c r="C165" s="33" t="s">
        <v>163</v>
      </c>
      <c r="D165" s="33" t="s">
        <v>131</v>
      </c>
      <c r="E165" s="34" t="s">
        <v>1032</v>
      </c>
      <c r="F165" s="7" t="s">
        <v>1033</v>
      </c>
      <c r="G165" s="35" t="s">
        <v>134</v>
      </c>
      <c r="H165" s="36">
        <v>2.2679999999999998</v>
      </c>
      <c r="I165" s="1"/>
      <c r="J165" s="6">
        <f>ROUND(I165*H165,2)</f>
        <v>0</v>
      </c>
      <c r="K165" s="151" t="s">
        <v>1</v>
      </c>
      <c r="L165" s="17"/>
      <c r="M165" s="8" t="s">
        <v>1</v>
      </c>
      <c r="N165" s="9" t="s">
        <v>33</v>
      </c>
      <c r="O165" s="10">
        <v>0</v>
      </c>
      <c r="P165" s="10">
        <f>O165*H165</f>
        <v>0</v>
      </c>
      <c r="Q165" s="10">
        <v>0</v>
      </c>
      <c r="R165" s="10">
        <f>Q165*H165</f>
        <v>0</v>
      </c>
      <c r="S165" s="10">
        <v>0</v>
      </c>
      <c r="T165" s="11">
        <f>S165*H165</f>
        <v>0</v>
      </c>
      <c r="U165" s="105"/>
      <c r="V165" s="105"/>
      <c r="W165" s="105"/>
      <c r="X165" s="105"/>
      <c r="Y165" s="105"/>
      <c r="Z165" s="105"/>
      <c r="AA165" s="105"/>
      <c r="AB165" s="105"/>
      <c r="AC165" s="105"/>
      <c r="AD165" s="105"/>
      <c r="AE165" s="105"/>
      <c r="AR165" s="12" t="s">
        <v>135</v>
      </c>
      <c r="AT165" s="12" t="s">
        <v>131</v>
      </c>
      <c r="AU165" s="12" t="s">
        <v>74</v>
      </c>
      <c r="AY165" s="13" t="s">
        <v>130</v>
      </c>
      <c r="BE165" s="14">
        <f>IF(N165="základní",J165,0)</f>
        <v>0</v>
      </c>
      <c r="BF165" s="14">
        <f>IF(N165="snížená",J165,0)</f>
        <v>0</v>
      </c>
      <c r="BG165" s="14">
        <f>IF(N165="zákl. přenesená",J165,0)</f>
        <v>0</v>
      </c>
      <c r="BH165" s="14">
        <f>IF(N165="sníž. přenesená",J165,0)</f>
        <v>0</v>
      </c>
      <c r="BI165" s="14">
        <f>IF(N165="nulová",J165,0)</f>
        <v>0</v>
      </c>
      <c r="BJ165" s="13" t="s">
        <v>74</v>
      </c>
      <c r="BK165" s="14">
        <f>ROUND(I165*H165,2)</f>
        <v>0</v>
      </c>
      <c r="BL165" s="13" t="s">
        <v>135</v>
      </c>
      <c r="BM165" s="12" t="s">
        <v>196</v>
      </c>
    </row>
    <row r="166" spans="1:65" s="152" customFormat="1" x14ac:dyDescent="0.2">
      <c r="B166" s="153"/>
      <c r="C166" s="154"/>
      <c r="D166" s="141" t="s">
        <v>340</v>
      </c>
      <c r="E166" s="155" t="s">
        <v>1</v>
      </c>
      <c r="F166" s="156" t="s">
        <v>1042</v>
      </c>
      <c r="G166" s="154"/>
      <c r="H166" s="157"/>
      <c r="I166" s="154"/>
      <c r="J166" s="154"/>
      <c r="K166" s="158"/>
      <c r="L166" s="154"/>
      <c r="M166" s="159"/>
      <c r="N166" s="154"/>
      <c r="O166" s="154"/>
      <c r="P166" s="154"/>
      <c r="Q166" s="154"/>
      <c r="R166" s="154"/>
      <c r="S166" s="154"/>
      <c r="T166" s="160"/>
      <c r="AT166" s="161" t="s">
        <v>340</v>
      </c>
      <c r="AU166" s="161" t="s">
        <v>74</v>
      </c>
      <c r="AV166" s="152" t="s">
        <v>76</v>
      </c>
      <c r="AW166" s="152" t="s">
        <v>25</v>
      </c>
      <c r="AX166" s="152" t="s">
        <v>68</v>
      </c>
      <c r="AY166" s="161" t="s">
        <v>130</v>
      </c>
    </row>
    <row r="167" spans="1:65" s="162" customFormat="1" x14ac:dyDescent="0.2">
      <c r="B167" s="163"/>
      <c r="C167" s="164"/>
      <c r="D167" s="141" t="s">
        <v>340</v>
      </c>
      <c r="E167" s="165" t="s">
        <v>1</v>
      </c>
      <c r="F167" s="166" t="s">
        <v>342</v>
      </c>
      <c r="G167" s="164"/>
      <c r="H167" s="167">
        <v>2.2679999999999998</v>
      </c>
      <c r="I167" s="164"/>
      <c r="J167" s="164"/>
      <c r="K167" s="168"/>
      <c r="L167" s="164"/>
      <c r="M167" s="169"/>
      <c r="N167" s="164"/>
      <c r="O167" s="164"/>
      <c r="P167" s="164"/>
      <c r="Q167" s="164"/>
      <c r="R167" s="164"/>
      <c r="S167" s="164"/>
      <c r="T167" s="170"/>
      <c r="AT167" s="171" t="s">
        <v>340</v>
      </c>
      <c r="AU167" s="171" t="s">
        <v>74</v>
      </c>
      <c r="AV167" s="162" t="s">
        <v>135</v>
      </c>
      <c r="AW167" s="162" t="s">
        <v>25</v>
      </c>
      <c r="AX167" s="162" t="s">
        <v>74</v>
      </c>
      <c r="AY167" s="171" t="s">
        <v>130</v>
      </c>
    </row>
    <row r="168" spans="1:65" s="20" customFormat="1" ht="25.9" customHeight="1" x14ac:dyDescent="0.2">
      <c r="B168" s="172"/>
      <c r="C168" s="23"/>
      <c r="D168" s="173" t="s">
        <v>67</v>
      </c>
      <c r="E168" s="174" t="s">
        <v>161</v>
      </c>
      <c r="F168" s="174" t="s">
        <v>1043</v>
      </c>
      <c r="G168" s="23"/>
      <c r="H168" s="23"/>
      <c r="I168" s="23"/>
      <c r="J168" s="175">
        <f>BK168</f>
        <v>0</v>
      </c>
      <c r="K168" s="176"/>
      <c r="L168" s="23"/>
      <c r="M168" s="22"/>
      <c r="N168" s="23"/>
      <c r="O168" s="23"/>
      <c r="P168" s="24">
        <f>SUM(P171:P176)</f>
        <v>0</v>
      </c>
      <c r="Q168" s="23"/>
      <c r="R168" s="24">
        <f>SUM(R171:R176)</f>
        <v>0</v>
      </c>
      <c r="S168" s="23"/>
      <c r="T168" s="25">
        <f>SUM(T171:T176)</f>
        <v>0</v>
      </c>
      <c r="AR168" s="26" t="s">
        <v>74</v>
      </c>
      <c r="AT168" s="27" t="s">
        <v>67</v>
      </c>
      <c r="AU168" s="27" t="s">
        <v>68</v>
      </c>
      <c r="AY168" s="26" t="s">
        <v>130</v>
      </c>
      <c r="BK168" s="28">
        <f>SUM(BK171:BK176)</f>
        <v>0</v>
      </c>
    </row>
    <row r="169" spans="1:65" s="5" customFormat="1" ht="10.15" customHeight="1" x14ac:dyDescent="0.2">
      <c r="B169" s="177"/>
      <c r="C169" s="16"/>
      <c r="D169" s="178" t="s">
        <v>340</v>
      </c>
      <c r="E169" s="16"/>
      <c r="F169" s="179" t="s">
        <v>1218</v>
      </c>
      <c r="G169" s="16"/>
      <c r="H169" s="180">
        <f>6.2*1.1</f>
        <v>6.8200000000000012</v>
      </c>
      <c r="I169" s="16"/>
      <c r="J169" s="16"/>
      <c r="K169" s="181"/>
      <c r="L169" s="16"/>
      <c r="S169" s="129"/>
      <c r="AS169" s="126" t="s">
        <v>148</v>
      </c>
      <c r="AT169" s="126" t="s">
        <v>74</v>
      </c>
    </row>
    <row r="170" spans="1:65" s="5" customFormat="1" ht="10.15" customHeight="1" x14ac:dyDescent="0.2">
      <c r="B170" s="177"/>
      <c r="C170" s="16"/>
      <c r="D170" s="178" t="s">
        <v>340</v>
      </c>
      <c r="E170" s="16"/>
      <c r="F170" s="179" t="s">
        <v>1215</v>
      </c>
      <c r="G170" s="180"/>
      <c r="H170" s="16"/>
      <c r="I170" s="16"/>
      <c r="J170" s="16"/>
      <c r="K170" s="181"/>
      <c r="L170" s="16"/>
      <c r="S170" s="129"/>
      <c r="AS170" s="126" t="s">
        <v>148</v>
      </c>
      <c r="AT170" s="126" t="s">
        <v>74</v>
      </c>
    </row>
    <row r="171" spans="1:65" s="5" customFormat="1" ht="16.5" customHeight="1" x14ac:dyDescent="0.2">
      <c r="A171" s="105"/>
      <c r="B171" s="140"/>
      <c r="C171" s="33" t="s">
        <v>193</v>
      </c>
      <c r="D171" s="33" t="s">
        <v>131</v>
      </c>
      <c r="E171" s="34" t="s">
        <v>1024</v>
      </c>
      <c r="F171" s="7" t="s">
        <v>1025</v>
      </c>
      <c r="G171" s="35" t="s">
        <v>134</v>
      </c>
      <c r="H171" s="36">
        <v>6.82</v>
      </c>
      <c r="I171" s="1"/>
      <c r="J171" s="6">
        <f>ROUND(I171*H171,2)</f>
        <v>0</v>
      </c>
      <c r="K171" s="151" t="s">
        <v>1</v>
      </c>
      <c r="L171" s="17"/>
      <c r="M171" s="8" t="s">
        <v>1</v>
      </c>
      <c r="N171" s="9" t="s">
        <v>33</v>
      </c>
      <c r="O171" s="10">
        <v>0</v>
      </c>
      <c r="P171" s="10">
        <f>O171*H171</f>
        <v>0</v>
      </c>
      <c r="Q171" s="10">
        <v>0</v>
      </c>
      <c r="R171" s="10">
        <f>Q171*H171</f>
        <v>0</v>
      </c>
      <c r="S171" s="10">
        <v>0</v>
      </c>
      <c r="T171" s="11">
        <f>S171*H171</f>
        <v>0</v>
      </c>
      <c r="U171" s="105"/>
      <c r="V171" s="105"/>
      <c r="W171" s="105"/>
      <c r="X171" s="105"/>
      <c r="Y171" s="105"/>
      <c r="Z171" s="105"/>
      <c r="AA171" s="105"/>
      <c r="AB171" s="105"/>
      <c r="AC171" s="105"/>
      <c r="AD171" s="105"/>
      <c r="AE171" s="105"/>
      <c r="AR171" s="12" t="s">
        <v>135</v>
      </c>
      <c r="AT171" s="12" t="s">
        <v>131</v>
      </c>
      <c r="AU171" s="12" t="s">
        <v>74</v>
      </c>
      <c r="AY171" s="13" t="s">
        <v>130</v>
      </c>
      <c r="BE171" s="14">
        <f>IF(N171="základní",J171,0)</f>
        <v>0</v>
      </c>
      <c r="BF171" s="14">
        <f>IF(N171="snížená",J171,0)</f>
        <v>0</v>
      </c>
      <c r="BG171" s="14">
        <f>IF(N171="zákl. přenesená",J171,0)</f>
        <v>0</v>
      </c>
      <c r="BH171" s="14">
        <f>IF(N171="sníž. přenesená",J171,0)</f>
        <v>0</v>
      </c>
      <c r="BI171" s="14">
        <f>IF(N171="nulová",J171,0)</f>
        <v>0</v>
      </c>
      <c r="BJ171" s="13" t="s">
        <v>74</v>
      </c>
      <c r="BK171" s="14">
        <f>ROUND(I171*H171,2)</f>
        <v>0</v>
      </c>
      <c r="BL171" s="13" t="s">
        <v>135</v>
      </c>
      <c r="BM171" s="12" t="s">
        <v>199</v>
      </c>
    </row>
    <row r="172" spans="1:65" s="5" customFormat="1" ht="16.5" customHeight="1" x14ac:dyDescent="0.2">
      <c r="A172" s="105"/>
      <c r="B172" s="140"/>
      <c r="C172" s="33" t="s">
        <v>165</v>
      </c>
      <c r="D172" s="33" t="s">
        <v>131</v>
      </c>
      <c r="E172" s="34" t="s">
        <v>1026</v>
      </c>
      <c r="F172" s="7" t="s">
        <v>1027</v>
      </c>
      <c r="G172" s="35" t="s">
        <v>134</v>
      </c>
      <c r="H172" s="36">
        <v>6.82</v>
      </c>
      <c r="I172" s="1"/>
      <c r="J172" s="6">
        <f>ROUND(I172*H172,2)</f>
        <v>0</v>
      </c>
      <c r="K172" s="151" t="s">
        <v>1</v>
      </c>
      <c r="L172" s="17"/>
      <c r="M172" s="8" t="s">
        <v>1</v>
      </c>
      <c r="N172" s="9" t="s">
        <v>33</v>
      </c>
      <c r="O172" s="10">
        <v>0</v>
      </c>
      <c r="P172" s="10">
        <f>O172*H172</f>
        <v>0</v>
      </c>
      <c r="Q172" s="10">
        <v>0</v>
      </c>
      <c r="R172" s="10">
        <f>Q172*H172</f>
        <v>0</v>
      </c>
      <c r="S172" s="10">
        <v>0</v>
      </c>
      <c r="T172" s="11">
        <f>S172*H172</f>
        <v>0</v>
      </c>
      <c r="U172" s="105"/>
      <c r="V172" s="105"/>
      <c r="W172" s="105"/>
      <c r="X172" s="105"/>
      <c r="Y172" s="105"/>
      <c r="Z172" s="105"/>
      <c r="AA172" s="105"/>
      <c r="AB172" s="105"/>
      <c r="AC172" s="105"/>
      <c r="AD172" s="105"/>
      <c r="AE172" s="105"/>
      <c r="AR172" s="12" t="s">
        <v>135</v>
      </c>
      <c r="AT172" s="12" t="s">
        <v>131</v>
      </c>
      <c r="AU172" s="12" t="s">
        <v>74</v>
      </c>
      <c r="AY172" s="13" t="s">
        <v>130</v>
      </c>
      <c r="BE172" s="14">
        <f>IF(N172="základní",J172,0)</f>
        <v>0</v>
      </c>
      <c r="BF172" s="14">
        <f>IF(N172="snížená",J172,0)</f>
        <v>0</v>
      </c>
      <c r="BG172" s="14">
        <f>IF(N172="zákl. přenesená",J172,0)</f>
        <v>0</v>
      </c>
      <c r="BH172" s="14">
        <f>IF(N172="sníž. přenesená",J172,0)</f>
        <v>0</v>
      </c>
      <c r="BI172" s="14">
        <f>IF(N172="nulová",J172,0)</f>
        <v>0</v>
      </c>
      <c r="BJ172" s="13" t="s">
        <v>74</v>
      </c>
      <c r="BK172" s="14">
        <f>ROUND(I172*H172,2)</f>
        <v>0</v>
      </c>
      <c r="BL172" s="13" t="s">
        <v>135</v>
      </c>
      <c r="BM172" s="12" t="s">
        <v>201</v>
      </c>
    </row>
    <row r="173" spans="1:65" s="5" customFormat="1" ht="16.5" customHeight="1" x14ac:dyDescent="0.2">
      <c r="A173" s="105"/>
      <c r="B173" s="140"/>
      <c r="C173" s="33" t="s">
        <v>171</v>
      </c>
      <c r="D173" s="33" t="s">
        <v>131</v>
      </c>
      <c r="E173" s="34" t="s">
        <v>1030</v>
      </c>
      <c r="F173" s="7" t="s">
        <v>1031</v>
      </c>
      <c r="G173" s="35" t="s">
        <v>134</v>
      </c>
      <c r="H173" s="36">
        <v>6.82</v>
      </c>
      <c r="I173" s="1"/>
      <c r="J173" s="6">
        <f>ROUND(I173*H173,2)</f>
        <v>0</v>
      </c>
      <c r="K173" s="151" t="s">
        <v>1</v>
      </c>
      <c r="L173" s="17"/>
      <c r="M173" s="8" t="s">
        <v>1</v>
      </c>
      <c r="N173" s="9" t="s">
        <v>33</v>
      </c>
      <c r="O173" s="10">
        <v>0</v>
      </c>
      <c r="P173" s="10">
        <f>O173*H173</f>
        <v>0</v>
      </c>
      <c r="Q173" s="10">
        <v>0</v>
      </c>
      <c r="R173" s="10">
        <f>Q173*H173</f>
        <v>0</v>
      </c>
      <c r="S173" s="10">
        <v>0</v>
      </c>
      <c r="T173" s="11">
        <f>S173*H173</f>
        <v>0</v>
      </c>
      <c r="U173" s="105"/>
      <c r="V173" s="105"/>
      <c r="W173" s="105"/>
      <c r="X173" s="105"/>
      <c r="Y173" s="105"/>
      <c r="Z173" s="105"/>
      <c r="AA173" s="105"/>
      <c r="AB173" s="105"/>
      <c r="AC173" s="105"/>
      <c r="AD173" s="105"/>
      <c r="AE173" s="105"/>
      <c r="AR173" s="12" t="s">
        <v>135</v>
      </c>
      <c r="AT173" s="12" t="s">
        <v>131</v>
      </c>
      <c r="AU173" s="12" t="s">
        <v>74</v>
      </c>
      <c r="AY173" s="13" t="s">
        <v>130</v>
      </c>
      <c r="BE173" s="14">
        <f>IF(N173="základní",J173,0)</f>
        <v>0</v>
      </c>
      <c r="BF173" s="14">
        <f>IF(N173="snížená",J173,0)</f>
        <v>0</v>
      </c>
      <c r="BG173" s="14">
        <f>IF(N173="zákl. přenesená",J173,0)</f>
        <v>0</v>
      </c>
      <c r="BH173" s="14">
        <f>IF(N173="sníž. přenesená",J173,0)</f>
        <v>0</v>
      </c>
      <c r="BI173" s="14">
        <f>IF(N173="nulová",J173,0)</f>
        <v>0</v>
      </c>
      <c r="BJ173" s="13" t="s">
        <v>74</v>
      </c>
      <c r="BK173" s="14">
        <f>ROUND(I173*H173,2)</f>
        <v>0</v>
      </c>
      <c r="BL173" s="13" t="s">
        <v>135</v>
      </c>
      <c r="BM173" s="12" t="s">
        <v>202</v>
      </c>
    </row>
    <row r="174" spans="1:65" s="5" customFormat="1" ht="16.5" customHeight="1" x14ac:dyDescent="0.2">
      <c r="A174" s="105"/>
      <c r="B174" s="140"/>
      <c r="C174" s="33" t="s">
        <v>7</v>
      </c>
      <c r="D174" s="33" t="s">
        <v>131</v>
      </c>
      <c r="E174" s="34" t="s">
        <v>1032</v>
      </c>
      <c r="F174" s="7" t="s">
        <v>1033</v>
      </c>
      <c r="G174" s="35" t="s">
        <v>134</v>
      </c>
      <c r="H174" s="36">
        <v>13.64</v>
      </c>
      <c r="I174" s="1"/>
      <c r="J174" s="6">
        <f>ROUND(I174*H174,2)</f>
        <v>0</v>
      </c>
      <c r="K174" s="151" t="s">
        <v>1</v>
      </c>
      <c r="L174" s="17"/>
      <c r="M174" s="8" t="s">
        <v>1</v>
      </c>
      <c r="N174" s="9" t="s">
        <v>33</v>
      </c>
      <c r="O174" s="10">
        <v>0</v>
      </c>
      <c r="P174" s="10">
        <f>O174*H174</f>
        <v>0</v>
      </c>
      <c r="Q174" s="10">
        <v>0</v>
      </c>
      <c r="R174" s="10">
        <f>Q174*H174</f>
        <v>0</v>
      </c>
      <c r="S174" s="10">
        <v>0</v>
      </c>
      <c r="T174" s="11">
        <f>S174*H174</f>
        <v>0</v>
      </c>
      <c r="U174" s="105"/>
      <c r="V174" s="105"/>
      <c r="W174" s="105"/>
      <c r="X174" s="105"/>
      <c r="Y174" s="105"/>
      <c r="Z174" s="105"/>
      <c r="AA174" s="105"/>
      <c r="AB174" s="105"/>
      <c r="AC174" s="105"/>
      <c r="AD174" s="105"/>
      <c r="AE174" s="105"/>
      <c r="AR174" s="12" t="s">
        <v>135</v>
      </c>
      <c r="AT174" s="12" t="s">
        <v>131</v>
      </c>
      <c r="AU174" s="12" t="s">
        <v>74</v>
      </c>
      <c r="AY174" s="13" t="s">
        <v>130</v>
      </c>
      <c r="BE174" s="14">
        <f>IF(N174="základní",J174,0)</f>
        <v>0</v>
      </c>
      <c r="BF174" s="14">
        <f>IF(N174="snížená",J174,0)</f>
        <v>0</v>
      </c>
      <c r="BG174" s="14">
        <f>IF(N174="zákl. přenesená",J174,0)</f>
        <v>0</v>
      </c>
      <c r="BH174" s="14">
        <f>IF(N174="sníž. přenesená",J174,0)</f>
        <v>0</v>
      </c>
      <c r="BI174" s="14">
        <f>IF(N174="nulová",J174,0)</f>
        <v>0</v>
      </c>
      <c r="BJ174" s="13" t="s">
        <v>74</v>
      </c>
      <c r="BK174" s="14">
        <f>ROUND(I174*H174,2)</f>
        <v>0</v>
      </c>
      <c r="BL174" s="13" t="s">
        <v>135</v>
      </c>
      <c r="BM174" s="12" t="s">
        <v>205</v>
      </c>
    </row>
    <row r="175" spans="1:65" s="152" customFormat="1" x14ac:dyDescent="0.2">
      <c r="B175" s="153"/>
      <c r="C175" s="154"/>
      <c r="D175" s="141" t="s">
        <v>340</v>
      </c>
      <c r="E175" s="155" t="s">
        <v>1</v>
      </c>
      <c r="F175" s="156" t="s">
        <v>1044</v>
      </c>
      <c r="G175" s="154"/>
      <c r="H175" s="157"/>
      <c r="I175" s="154"/>
      <c r="J175" s="154"/>
      <c r="K175" s="158"/>
      <c r="L175" s="154"/>
      <c r="M175" s="159"/>
      <c r="N175" s="154"/>
      <c r="O175" s="154"/>
      <c r="P175" s="154"/>
      <c r="Q175" s="154"/>
      <c r="R175" s="154"/>
      <c r="S175" s="154"/>
      <c r="T175" s="160"/>
      <c r="AT175" s="161" t="s">
        <v>340</v>
      </c>
      <c r="AU175" s="161" t="s">
        <v>74</v>
      </c>
      <c r="AV175" s="152" t="s">
        <v>76</v>
      </c>
      <c r="AW175" s="152" t="s">
        <v>25</v>
      </c>
      <c r="AX175" s="152" t="s">
        <v>68</v>
      </c>
      <c r="AY175" s="161" t="s">
        <v>130</v>
      </c>
    </row>
    <row r="176" spans="1:65" s="162" customFormat="1" x14ac:dyDescent="0.2">
      <c r="B176" s="163"/>
      <c r="C176" s="164"/>
      <c r="D176" s="141" t="s">
        <v>340</v>
      </c>
      <c r="E176" s="165" t="s">
        <v>1</v>
      </c>
      <c r="F176" s="166" t="s">
        <v>342</v>
      </c>
      <c r="G176" s="164"/>
      <c r="H176" s="167">
        <v>13.64</v>
      </c>
      <c r="I176" s="164"/>
      <c r="J176" s="164"/>
      <c r="K176" s="168"/>
      <c r="L176" s="164"/>
      <c r="M176" s="169"/>
      <c r="N176" s="164"/>
      <c r="O176" s="164"/>
      <c r="P176" s="164"/>
      <c r="Q176" s="164"/>
      <c r="R176" s="164"/>
      <c r="S176" s="164"/>
      <c r="T176" s="170"/>
      <c r="AT176" s="171" t="s">
        <v>340</v>
      </c>
      <c r="AU176" s="171" t="s">
        <v>74</v>
      </c>
      <c r="AV176" s="162" t="s">
        <v>135</v>
      </c>
      <c r="AW176" s="162" t="s">
        <v>25</v>
      </c>
      <c r="AX176" s="162" t="s">
        <v>74</v>
      </c>
      <c r="AY176" s="171" t="s">
        <v>130</v>
      </c>
    </row>
    <row r="177" spans="1:65" s="20" customFormat="1" ht="25.9" customHeight="1" x14ac:dyDescent="0.2">
      <c r="B177" s="172"/>
      <c r="C177" s="23"/>
      <c r="D177" s="173" t="s">
        <v>67</v>
      </c>
      <c r="E177" s="174" t="s">
        <v>166</v>
      </c>
      <c r="F177" s="174" t="s">
        <v>1045</v>
      </c>
      <c r="G177" s="23"/>
      <c r="H177" s="23"/>
      <c r="I177" s="23"/>
      <c r="J177" s="175">
        <f>BK177</f>
        <v>0</v>
      </c>
      <c r="K177" s="176"/>
      <c r="L177" s="23"/>
      <c r="M177" s="22"/>
      <c r="N177" s="23"/>
      <c r="O177" s="23"/>
      <c r="P177" s="24">
        <f>SUM(P179:P182)</f>
        <v>0</v>
      </c>
      <c r="Q177" s="23"/>
      <c r="R177" s="24">
        <f>SUM(R179:R182)</f>
        <v>0</v>
      </c>
      <c r="S177" s="23"/>
      <c r="T177" s="25">
        <f>SUM(T179:T182)</f>
        <v>0</v>
      </c>
      <c r="AR177" s="26" t="s">
        <v>74</v>
      </c>
      <c r="AT177" s="27" t="s">
        <v>67</v>
      </c>
      <c r="AU177" s="27" t="s">
        <v>68</v>
      </c>
      <c r="AY177" s="26" t="s">
        <v>130</v>
      </c>
      <c r="BK177" s="28">
        <f>SUM(BK179:BK182)</f>
        <v>0</v>
      </c>
    </row>
    <row r="178" spans="1:65" s="5" customFormat="1" ht="10.15" customHeight="1" x14ac:dyDescent="0.2">
      <c r="B178" s="177"/>
      <c r="C178" s="16"/>
      <c r="D178" s="178" t="s">
        <v>340</v>
      </c>
      <c r="E178" s="16"/>
      <c r="F178" s="179" t="s">
        <v>1219</v>
      </c>
      <c r="G178" s="16"/>
      <c r="H178" s="180">
        <f>(10.13*2*3.14*0.025)+(6*3.14*0.0225*0.0225)</f>
        <v>1.5999477500000003</v>
      </c>
      <c r="I178" s="16"/>
      <c r="J178" s="16"/>
      <c r="K178" s="181"/>
      <c r="L178" s="16"/>
      <c r="S178" s="129"/>
      <c r="AS178" s="126" t="s">
        <v>148</v>
      </c>
      <c r="AT178" s="126" t="s">
        <v>74</v>
      </c>
    </row>
    <row r="179" spans="1:65" s="5" customFormat="1" ht="16.5" customHeight="1" x14ac:dyDescent="0.2">
      <c r="A179" s="105"/>
      <c r="B179" s="140"/>
      <c r="C179" s="33" t="s">
        <v>174</v>
      </c>
      <c r="D179" s="33" t="s">
        <v>131</v>
      </c>
      <c r="E179" s="34" t="s">
        <v>1024</v>
      </c>
      <c r="F179" s="7" t="s">
        <v>1025</v>
      </c>
      <c r="G179" s="35" t="s">
        <v>134</v>
      </c>
      <c r="H179" s="36">
        <v>1.6</v>
      </c>
      <c r="I179" s="1"/>
      <c r="J179" s="6">
        <f>ROUND(I179*H179,2)</f>
        <v>0</v>
      </c>
      <c r="K179" s="151" t="s">
        <v>1</v>
      </c>
      <c r="L179" s="17"/>
      <c r="M179" s="8" t="s">
        <v>1</v>
      </c>
      <c r="N179" s="9" t="s">
        <v>33</v>
      </c>
      <c r="O179" s="10">
        <v>0</v>
      </c>
      <c r="P179" s="10">
        <f>O179*H179</f>
        <v>0</v>
      </c>
      <c r="Q179" s="10">
        <v>0</v>
      </c>
      <c r="R179" s="10">
        <f>Q179*H179</f>
        <v>0</v>
      </c>
      <c r="S179" s="10">
        <v>0</v>
      </c>
      <c r="T179" s="11">
        <f>S179*H179</f>
        <v>0</v>
      </c>
      <c r="U179" s="105"/>
      <c r="V179" s="105"/>
      <c r="W179" s="105"/>
      <c r="X179" s="105"/>
      <c r="Y179" s="105"/>
      <c r="Z179" s="105"/>
      <c r="AA179" s="105"/>
      <c r="AB179" s="105"/>
      <c r="AC179" s="105"/>
      <c r="AD179" s="105"/>
      <c r="AE179" s="105"/>
      <c r="AR179" s="12" t="s">
        <v>135</v>
      </c>
      <c r="AT179" s="12" t="s">
        <v>131</v>
      </c>
      <c r="AU179" s="12" t="s">
        <v>74</v>
      </c>
      <c r="AY179" s="13" t="s">
        <v>130</v>
      </c>
      <c r="BE179" s="14">
        <f>IF(N179="základní",J179,0)</f>
        <v>0</v>
      </c>
      <c r="BF179" s="14">
        <f>IF(N179="snížená",J179,0)</f>
        <v>0</v>
      </c>
      <c r="BG179" s="14">
        <f>IF(N179="zákl. přenesená",J179,0)</f>
        <v>0</v>
      </c>
      <c r="BH179" s="14">
        <f>IF(N179="sníž. přenesená",J179,0)</f>
        <v>0</v>
      </c>
      <c r="BI179" s="14">
        <f>IF(N179="nulová",J179,0)</f>
        <v>0</v>
      </c>
      <c r="BJ179" s="13" t="s">
        <v>74</v>
      </c>
      <c r="BK179" s="14">
        <f>ROUND(I179*H179,2)</f>
        <v>0</v>
      </c>
      <c r="BL179" s="13" t="s">
        <v>135</v>
      </c>
      <c r="BM179" s="12" t="s">
        <v>206</v>
      </c>
    </row>
    <row r="180" spans="1:65" s="5" customFormat="1" ht="16.5" customHeight="1" x14ac:dyDescent="0.2">
      <c r="A180" s="105"/>
      <c r="B180" s="140"/>
      <c r="C180" s="33" t="s">
        <v>209</v>
      </c>
      <c r="D180" s="33" t="s">
        <v>131</v>
      </c>
      <c r="E180" s="34" t="s">
        <v>1026</v>
      </c>
      <c r="F180" s="7" t="s">
        <v>1027</v>
      </c>
      <c r="G180" s="35" t="s">
        <v>134</v>
      </c>
      <c r="H180" s="36">
        <v>1.6</v>
      </c>
      <c r="I180" s="1"/>
      <c r="J180" s="6">
        <f>ROUND(I180*H180,2)</f>
        <v>0</v>
      </c>
      <c r="K180" s="151" t="s">
        <v>1</v>
      </c>
      <c r="L180" s="17"/>
      <c r="M180" s="8" t="s">
        <v>1</v>
      </c>
      <c r="N180" s="9" t="s">
        <v>33</v>
      </c>
      <c r="O180" s="10">
        <v>0</v>
      </c>
      <c r="P180" s="10">
        <f>O180*H180</f>
        <v>0</v>
      </c>
      <c r="Q180" s="10">
        <v>0</v>
      </c>
      <c r="R180" s="10">
        <f>Q180*H180</f>
        <v>0</v>
      </c>
      <c r="S180" s="10">
        <v>0</v>
      </c>
      <c r="T180" s="11">
        <f>S180*H180</f>
        <v>0</v>
      </c>
      <c r="U180" s="105"/>
      <c r="V180" s="105"/>
      <c r="W180" s="105"/>
      <c r="X180" s="105"/>
      <c r="Y180" s="105"/>
      <c r="Z180" s="105"/>
      <c r="AA180" s="105"/>
      <c r="AB180" s="105"/>
      <c r="AC180" s="105"/>
      <c r="AD180" s="105"/>
      <c r="AE180" s="105"/>
      <c r="AR180" s="12" t="s">
        <v>135</v>
      </c>
      <c r="AT180" s="12" t="s">
        <v>131</v>
      </c>
      <c r="AU180" s="12" t="s">
        <v>74</v>
      </c>
      <c r="AY180" s="13" t="s">
        <v>130</v>
      </c>
      <c r="BE180" s="14">
        <f>IF(N180="základní",J180,0)</f>
        <v>0</v>
      </c>
      <c r="BF180" s="14">
        <f>IF(N180="snížená",J180,0)</f>
        <v>0</v>
      </c>
      <c r="BG180" s="14">
        <f>IF(N180="zákl. přenesená",J180,0)</f>
        <v>0</v>
      </c>
      <c r="BH180" s="14">
        <f>IF(N180="sníž. přenesená",J180,0)</f>
        <v>0</v>
      </c>
      <c r="BI180" s="14">
        <f>IF(N180="nulová",J180,0)</f>
        <v>0</v>
      </c>
      <c r="BJ180" s="13" t="s">
        <v>74</v>
      </c>
      <c r="BK180" s="14">
        <f>ROUND(I180*H180,2)</f>
        <v>0</v>
      </c>
      <c r="BL180" s="13" t="s">
        <v>135</v>
      </c>
      <c r="BM180" s="12" t="s">
        <v>210</v>
      </c>
    </row>
    <row r="181" spans="1:65" s="5" customFormat="1" ht="16.5" customHeight="1" x14ac:dyDescent="0.2">
      <c r="A181" s="105"/>
      <c r="B181" s="140"/>
      <c r="C181" s="33" t="s">
        <v>214</v>
      </c>
      <c r="D181" s="33" t="s">
        <v>131</v>
      </c>
      <c r="E181" s="34" t="s">
        <v>1030</v>
      </c>
      <c r="F181" s="7" t="s">
        <v>1031</v>
      </c>
      <c r="G181" s="35" t="s">
        <v>134</v>
      </c>
      <c r="H181" s="36">
        <v>1.6</v>
      </c>
      <c r="I181" s="1"/>
      <c r="J181" s="6">
        <f>ROUND(I181*H181,2)</f>
        <v>0</v>
      </c>
      <c r="K181" s="151" t="s">
        <v>1</v>
      </c>
      <c r="L181" s="17"/>
      <c r="M181" s="8" t="s">
        <v>1</v>
      </c>
      <c r="N181" s="9" t="s">
        <v>33</v>
      </c>
      <c r="O181" s="10">
        <v>0</v>
      </c>
      <c r="P181" s="10">
        <f>O181*H181</f>
        <v>0</v>
      </c>
      <c r="Q181" s="10">
        <v>0</v>
      </c>
      <c r="R181" s="10">
        <f>Q181*H181</f>
        <v>0</v>
      </c>
      <c r="S181" s="10">
        <v>0</v>
      </c>
      <c r="T181" s="11">
        <f>S181*H181</f>
        <v>0</v>
      </c>
      <c r="U181" s="105"/>
      <c r="V181" s="105"/>
      <c r="W181" s="105"/>
      <c r="X181" s="105"/>
      <c r="Y181" s="105"/>
      <c r="Z181" s="105"/>
      <c r="AA181" s="105"/>
      <c r="AB181" s="105"/>
      <c r="AC181" s="105"/>
      <c r="AD181" s="105"/>
      <c r="AE181" s="105"/>
      <c r="AR181" s="12" t="s">
        <v>135</v>
      </c>
      <c r="AT181" s="12" t="s">
        <v>131</v>
      </c>
      <c r="AU181" s="12" t="s">
        <v>74</v>
      </c>
      <c r="AY181" s="13" t="s">
        <v>130</v>
      </c>
      <c r="BE181" s="14">
        <f>IF(N181="základní",J181,0)</f>
        <v>0</v>
      </c>
      <c r="BF181" s="14">
        <f>IF(N181="snížená",J181,0)</f>
        <v>0</v>
      </c>
      <c r="BG181" s="14">
        <f>IF(N181="zákl. přenesená",J181,0)</f>
        <v>0</v>
      </c>
      <c r="BH181" s="14">
        <f>IF(N181="sníž. přenesená",J181,0)</f>
        <v>0</v>
      </c>
      <c r="BI181" s="14">
        <f>IF(N181="nulová",J181,0)</f>
        <v>0</v>
      </c>
      <c r="BJ181" s="13" t="s">
        <v>74</v>
      </c>
      <c r="BK181" s="14">
        <f>ROUND(I181*H181,2)</f>
        <v>0</v>
      </c>
      <c r="BL181" s="13" t="s">
        <v>135</v>
      </c>
      <c r="BM181" s="12" t="s">
        <v>211</v>
      </c>
    </row>
    <row r="182" spans="1:65" s="5" customFormat="1" ht="16.5" customHeight="1" x14ac:dyDescent="0.2">
      <c r="A182" s="105"/>
      <c r="B182" s="140"/>
      <c r="C182" s="33" t="s">
        <v>180</v>
      </c>
      <c r="D182" s="33" t="s">
        <v>131</v>
      </c>
      <c r="E182" s="34" t="s">
        <v>1032</v>
      </c>
      <c r="F182" s="7" t="s">
        <v>1033</v>
      </c>
      <c r="G182" s="35" t="s">
        <v>134</v>
      </c>
      <c r="H182" s="36">
        <v>1.6</v>
      </c>
      <c r="I182" s="1"/>
      <c r="J182" s="6">
        <f>ROUND(I182*H182,2)</f>
        <v>0</v>
      </c>
      <c r="K182" s="151" t="s">
        <v>1</v>
      </c>
      <c r="L182" s="17"/>
      <c r="M182" s="8" t="s">
        <v>1</v>
      </c>
      <c r="N182" s="9" t="s">
        <v>33</v>
      </c>
      <c r="O182" s="10">
        <v>0</v>
      </c>
      <c r="P182" s="10">
        <f>O182*H182</f>
        <v>0</v>
      </c>
      <c r="Q182" s="10">
        <v>0</v>
      </c>
      <c r="R182" s="10">
        <f>Q182*H182</f>
        <v>0</v>
      </c>
      <c r="S182" s="10">
        <v>0</v>
      </c>
      <c r="T182" s="11">
        <f>S182*H182</f>
        <v>0</v>
      </c>
      <c r="U182" s="105"/>
      <c r="V182" s="105"/>
      <c r="W182" s="105"/>
      <c r="X182" s="105"/>
      <c r="Y182" s="105"/>
      <c r="Z182" s="105"/>
      <c r="AA182" s="105"/>
      <c r="AB182" s="105"/>
      <c r="AC182" s="105"/>
      <c r="AD182" s="105"/>
      <c r="AE182" s="105"/>
      <c r="AR182" s="12" t="s">
        <v>135</v>
      </c>
      <c r="AT182" s="12" t="s">
        <v>131</v>
      </c>
      <c r="AU182" s="12" t="s">
        <v>74</v>
      </c>
      <c r="AY182" s="13" t="s">
        <v>130</v>
      </c>
      <c r="BE182" s="14">
        <f>IF(N182="základní",J182,0)</f>
        <v>0</v>
      </c>
      <c r="BF182" s="14">
        <f>IF(N182="snížená",J182,0)</f>
        <v>0</v>
      </c>
      <c r="BG182" s="14">
        <f>IF(N182="zákl. přenesená",J182,0)</f>
        <v>0</v>
      </c>
      <c r="BH182" s="14">
        <f>IF(N182="sníž. přenesená",J182,0)</f>
        <v>0</v>
      </c>
      <c r="BI182" s="14">
        <f>IF(N182="nulová",J182,0)</f>
        <v>0</v>
      </c>
      <c r="BJ182" s="13" t="s">
        <v>74</v>
      </c>
      <c r="BK182" s="14">
        <f>ROUND(I182*H182,2)</f>
        <v>0</v>
      </c>
      <c r="BL182" s="13" t="s">
        <v>135</v>
      </c>
      <c r="BM182" s="12" t="s">
        <v>215</v>
      </c>
    </row>
    <row r="183" spans="1:65" s="20" customFormat="1" ht="25.9" customHeight="1" x14ac:dyDescent="0.2">
      <c r="B183" s="172"/>
      <c r="C183" s="23"/>
      <c r="D183" s="173" t="s">
        <v>67</v>
      </c>
      <c r="E183" s="174" t="s">
        <v>178</v>
      </c>
      <c r="F183" s="174" t="s">
        <v>1046</v>
      </c>
      <c r="G183" s="23"/>
      <c r="H183" s="23"/>
      <c r="I183" s="23"/>
      <c r="J183" s="175">
        <f>BK183</f>
        <v>0</v>
      </c>
      <c r="K183" s="176"/>
      <c r="L183" s="23"/>
      <c r="M183" s="22"/>
      <c r="N183" s="23"/>
      <c r="O183" s="23"/>
      <c r="P183" s="24">
        <f>SUM(P186:P191)</f>
        <v>0</v>
      </c>
      <c r="Q183" s="23"/>
      <c r="R183" s="24">
        <f>SUM(R186:R191)</f>
        <v>0</v>
      </c>
      <c r="S183" s="23"/>
      <c r="T183" s="25">
        <f>SUM(T186:T191)</f>
        <v>0</v>
      </c>
      <c r="AR183" s="26" t="s">
        <v>74</v>
      </c>
      <c r="AT183" s="27" t="s">
        <v>67</v>
      </c>
      <c r="AU183" s="27" t="s">
        <v>68</v>
      </c>
      <c r="AY183" s="26" t="s">
        <v>130</v>
      </c>
      <c r="BK183" s="28">
        <f>SUM(BK186:BK191)</f>
        <v>0</v>
      </c>
    </row>
    <row r="184" spans="1:65" s="5" customFormat="1" ht="10.15" customHeight="1" x14ac:dyDescent="0.2">
      <c r="B184" s="177"/>
      <c r="C184" s="16"/>
      <c r="D184" s="178" t="s">
        <v>340</v>
      </c>
      <c r="E184" s="16"/>
      <c r="F184" s="179" t="s">
        <v>1220</v>
      </c>
      <c r="G184" s="16"/>
      <c r="H184" s="180">
        <f>(3*2.76*1.1)/2</f>
        <v>4.5540000000000003</v>
      </c>
      <c r="I184" s="16"/>
      <c r="J184" s="16"/>
      <c r="K184" s="181"/>
      <c r="L184" s="16"/>
      <c r="S184" s="129"/>
      <c r="AS184" s="126" t="s">
        <v>148</v>
      </c>
      <c r="AT184" s="126" t="s">
        <v>74</v>
      </c>
    </row>
    <row r="185" spans="1:65" s="5" customFormat="1" ht="10.15" customHeight="1" x14ac:dyDescent="0.2">
      <c r="B185" s="177"/>
      <c r="C185" s="16"/>
      <c r="D185" s="178" t="s">
        <v>340</v>
      </c>
      <c r="E185" s="16"/>
      <c r="F185" s="179" t="s">
        <v>1215</v>
      </c>
      <c r="G185" s="180"/>
      <c r="H185" s="16"/>
      <c r="I185" s="16"/>
      <c r="J185" s="16"/>
      <c r="K185" s="181"/>
      <c r="L185" s="16"/>
      <c r="S185" s="129"/>
      <c r="AS185" s="126" t="s">
        <v>148</v>
      </c>
      <c r="AT185" s="126" t="s">
        <v>74</v>
      </c>
    </row>
    <row r="186" spans="1:65" s="5" customFormat="1" ht="16.5" customHeight="1" x14ac:dyDescent="0.2">
      <c r="A186" s="105"/>
      <c r="B186" s="140"/>
      <c r="C186" s="33" t="s">
        <v>217</v>
      </c>
      <c r="D186" s="33" t="s">
        <v>131</v>
      </c>
      <c r="E186" s="34" t="s">
        <v>1024</v>
      </c>
      <c r="F186" s="7" t="s">
        <v>1025</v>
      </c>
      <c r="G186" s="35" t="s">
        <v>134</v>
      </c>
      <c r="H186" s="36">
        <v>4.5540000000000003</v>
      </c>
      <c r="I186" s="1"/>
      <c r="J186" s="6">
        <f>ROUND(I186*H186,2)</f>
        <v>0</v>
      </c>
      <c r="K186" s="151" t="s">
        <v>1</v>
      </c>
      <c r="L186" s="17"/>
      <c r="M186" s="8" t="s">
        <v>1</v>
      </c>
      <c r="N186" s="9" t="s">
        <v>33</v>
      </c>
      <c r="O186" s="10">
        <v>0</v>
      </c>
      <c r="P186" s="10">
        <f>O186*H186</f>
        <v>0</v>
      </c>
      <c r="Q186" s="10">
        <v>0</v>
      </c>
      <c r="R186" s="10">
        <f>Q186*H186</f>
        <v>0</v>
      </c>
      <c r="S186" s="10">
        <v>0</v>
      </c>
      <c r="T186" s="11">
        <f>S186*H186</f>
        <v>0</v>
      </c>
      <c r="U186" s="105"/>
      <c r="V186" s="105"/>
      <c r="W186" s="105"/>
      <c r="X186" s="105"/>
      <c r="Y186" s="105"/>
      <c r="Z186" s="105"/>
      <c r="AA186" s="105"/>
      <c r="AB186" s="105"/>
      <c r="AC186" s="105"/>
      <c r="AD186" s="105"/>
      <c r="AE186" s="105"/>
      <c r="AR186" s="12" t="s">
        <v>135</v>
      </c>
      <c r="AT186" s="12" t="s">
        <v>131</v>
      </c>
      <c r="AU186" s="12" t="s">
        <v>74</v>
      </c>
      <c r="AY186" s="13" t="s">
        <v>130</v>
      </c>
      <c r="BE186" s="14">
        <f>IF(N186="základní",J186,0)</f>
        <v>0</v>
      </c>
      <c r="BF186" s="14">
        <f>IF(N186="snížená",J186,0)</f>
        <v>0</v>
      </c>
      <c r="BG186" s="14">
        <f>IF(N186="zákl. přenesená",J186,0)</f>
        <v>0</v>
      </c>
      <c r="BH186" s="14">
        <f>IF(N186="sníž. přenesená",J186,0)</f>
        <v>0</v>
      </c>
      <c r="BI186" s="14">
        <f>IF(N186="nulová",J186,0)</f>
        <v>0</v>
      </c>
      <c r="BJ186" s="13" t="s">
        <v>74</v>
      </c>
      <c r="BK186" s="14">
        <f>ROUND(I186*H186,2)</f>
        <v>0</v>
      </c>
      <c r="BL186" s="13" t="s">
        <v>135</v>
      </c>
      <c r="BM186" s="12" t="s">
        <v>216</v>
      </c>
    </row>
    <row r="187" spans="1:65" s="5" customFormat="1" ht="16.5" customHeight="1" x14ac:dyDescent="0.2">
      <c r="A187" s="105"/>
      <c r="B187" s="140"/>
      <c r="C187" s="33" t="s">
        <v>183</v>
      </c>
      <c r="D187" s="33" t="s">
        <v>131</v>
      </c>
      <c r="E187" s="34" t="s">
        <v>1026</v>
      </c>
      <c r="F187" s="7" t="s">
        <v>1027</v>
      </c>
      <c r="G187" s="35" t="s">
        <v>134</v>
      </c>
      <c r="H187" s="36">
        <v>4.5540000000000003</v>
      </c>
      <c r="I187" s="1"/>
      <c r="J187" s="6">
        <f>ROUND(I187*H187,2)</f>
        <v>0</v>
      </c>
      <c r="K187" s="151" t="s">
        <v>1</v>
      </c>
      <c r="L187" s="17"/>
      <c r="M187" s="8" t="s">
        <v>1</v>
      </c>
      <c r="N187" s="9" t="s">
        <v>33</v>
      </c>
      <c r="O187" s="10">
        <v>0</v>
      </c>
      <c r="P187" s="10">
        <f>O187*H187</f>
        <v>0</v>
      </c>
      <c r="Q187" s="10">
        <v>0</v>
      </c>
      <c r="R187" s="10">
        <f>Q187*H187</f>
        <v>0</v>
      </c>
      <c r="S187" s="10">
        <v>0</v>
      </c>
      <c r="T187" s="11">
        <f>S187*H187</f>
        <v>0</v>
      </c>
      <c r="U187" s="105"/>
      <c r="V187" s="105"/>
      <c r="W187" s="105"/>
      <c r="X187" s="105"/>
      <c r="Y187" s="105"/>
      <c r="Z187" s="105"/>
      <c r="AA187" s="105"/>
      <c r="AB187" s="105"/>
      <c r="AC187" s="105"/>
      <c r="AD187" s="105"/>
      <c r="AE187" s="105"/>
      <c r="AR187" s="12" t="s">
        <v>135</v>
      </c>
      <c r="AT187" s="12" t="s">
        <v>131</v>
      </c>
      <c r="AU187" s="12" t="s">
        <v>74</v>
      </c>
      <c r="AY187" s="13" t="s">
        <v>130</v>
      </c>
      <c r="BE187" s="14">
        <f>IF(N187="základní",J187,0)</f>
        <v>0</v>
      </c>
      <c r="BF187" s="14">
        <f>IF(N187="snížená",J187,0)</f>
        <v>0</v>
      </c>
      <c r="BG187" s="14">
        <f>IF(N187="zákl. přenesená",J187,0)</f>
        <v>0</v>
      </c>
      <c r="BH187" s="14">
        <f>IF(N187="sníž. přenesená",J187,0)</f>
        <v>0</v>
      </c>
      <c r="BI187" s="14">
        <f>IF(N187="nulová",J187,0)</f>
        <v>0</v>
      </c>
      <c r="BJ187" s="13" t="s">
        <v>74</v>
      </c>
      <c r="BK187" s="14">
        <f>ROUND(I187*H187,2)</f>
        <v>0</v>
      </c>
      <c r="BL187" s="13" t="s">
        <v>135</v>
      </c>
      <c r="BM187" s="12" t="s">
        <v>219</v>
      </c>
    </row>
    <row r="188" spans="1:65" s="5" customFormat="1" ht="16.5" customHeight="1" x14ac:dyDescent="0.2">
      <c r="A188" s="105"/>
      <c r="B188" s="140"/>
      <c r="C188" s="33" t="s">
        <v>186</v>
      </c>
      <c r="D188" s="33" t="s">
        <v>131</v>
      </c>
      <c r="E188" s="34" t="s">
        <v>1032</v>
      </c>
      <c r="F188" s="7" t="s">
        <v>1033</v>
      </c>
      <c r="G188" s="35" t="s">
        <v>134</v>
      </c>
      <c r="H188" s="36">
        <v>9.1080000000000005</v>
      </c>
      <c r="I188" s="1"/>
      <c r="J188" s="6">
        <f>ROUND(I188*H188,2)</f>
        <v>0</v>
      </c>
      <c r="K188" s="151" t="s">
        <v>1</v>
      </c>
      <c r="L188" s="17"/>
      <c r="M188" s="8" t="s">
        <v>1</v>
      </c>
      <c r="N188" s="9" t="s">
        <v>33</v>
      </c>
      <c r="O188" s="10">
        <v>0</v>
      </c>
      <c r="P188" s="10">
        <f>O188*H188</f>
        <v>0</v>
      </c>
      <c r="Q188" s="10">
        <v>0</v>
      </c>
      <c r="R188" s="10">
        <f>Q188*H188</f>
        <v>0</v>
      </c>
      <c r="S188" s="10">
        <v>0</v>
      </c>
      <c r="T188" s="11">
        <f>S188*H188</f>
        <v>0</v>
      </c>
      <c r="U188" s="105"/>
      <c r="V188" s="105"/>
      <c r="W188" s="105"/>
      <c r="X188" s="105"/>
      <c r="Y188" s="105"/>
      <c r="Z188" s="105"/>
      <c r="AA188" s="105"/>
      <c r="AB188" s="105"/>
      <c r="AC188" s="105"/>
      <c r="AD188" s="105"/>
      <c r="AE188" s="105"/>
      <c r="AR188" s="12" t="s">
        <v>135</v>
      </c>
      <c r="AT188" s="12" t="s">
        <v>131</v>
      </c>
      <c r="AU188" s="12" t="s">
        <v>74</v>
      </c>
      <c r="AY188" s="13" t="s">
        <v>130</v>
      </c>
      <c r="BE188" s="14">
        <f>IF(N188="základní",J188,0)</f>
        <v>0</v>
      </c>
      <c r="BF188" s="14">
        <f>IF(N188="snížená",J188,0)</f>
        <v>0</v>
      </c>
      <c r="BG188" s="14">
        <f>IF(N188="zákl. přenesená",J188,0)</f>
        <v>0</v>
      </c>
      <c r="BH188" s="14">
        <f>IF(N188="sníž. přenesená",J188,0)</f>
        <v>0</v>
      </c>
      <c r="BI188" s="14">
        <f>IF(N188="nulová",J188,0)</f>
        <v>0</v>
      </c>
      <c r="BJ188" s="13" t="s">
        <v>74</v>
      </c>
      <c r="BK188" s="14">
        <f>ROUND(I188*H188,2)</f>
        <v>0</v>
      </c>
      <c r="BL188" s="13" t="s">
        <v>135</v>
      </c>
      <c r="BM188" s="12" t="s">
        <v>222</v>
      </c>
    </row>
    <row r="189" spans="1:65" s="152" customFormat="1" x14ac:dyDescent="0.2">
      <c r="B189" s="153"/>
      <c r="C189" s="154"/>
      <c r="D189" s="141" t="s">
        <v>340</v>
      </c>
      <c r="E189" s="155" t="s">
        <v>1</v>
      </c>
      <c r="F189" s="156" t="s">
        <v>1047</v>
      </c>
      <c r="G189" s="154"/>
      <c r="H189" s="157"/>
      <c r="I189" s="154"/>
      <c r="J189" s="154"/>
      <c r="K189" s="158"/>
      <c r="L189" s="154"/>
      <c r="M189" s="159"/>
      <c r="N189" s="154"/>
      <c r="O189" s="154"/>
      <c r="P189" s="154"/>
      <c r="Q189" s="154"/>
      <c r="R189" s="154"/>
      <c r="S189" s="154"/>
      <c r="T189" s="160"/>
      <c r="AT189" s="161" t="s">
        <v>340</v>
      </c>
      <c r="AU189" s="161" t="s">
        <v>74</v>
      </c>
      <c r="AV189" s="152" t="s">
        <v>76</v>
      </c>
      <c r="AW189" s="152" t="s">
        <v>25</v>
      </c>
      <c r="AX189" s="152" t="s">
        <v>68</v>
      </c>
      <c r="AY189" s="161" t="s">
        <v>130</v>
      </c>
    </row>
    <row r="190" spans="1:65" s="162" customFormat="1" x14ac:dyDescent="0.2">
      <c r="B190" s="163"/>
      <c r="C190" s="164"/>
      <c r="D190" s="141" t="s">
        <v>340</v>
      </c>
      <c r="E190" s="165" t="s">
        <v>1</v>
      </c>
      <c r="F190" s="166" t="s">
        <v>342</v>
      </c>
      <c r="G190" s="164"/>
      <c r="H190" s="167">
        <v>9.1080000000000005</v>
      </c>
      <c r="I190" s="164"/>
      <c r="J190" s="164"/>
      <c r="K190" s="168"/>
      <c r="L190" s="164"/>
      <c r="M190" s="169"/>
      <c r="N190" s="164"/>
      <c r="O190" s="164"/>
      <c r="P190" s="164"/>
      <c r="Q190" s="164"/>
      <c r="R190" s="164"/>
      <c r="S190" s="164"/>
      <c r="T190" s="170"/>
      <c r="AT190" s="171" t="s">
        <v>340</v>
      </c>
      <c r="AU190" s="171" t="s">
        <v>74</v>
      </c>
      <c r="AV190" s="162" t="s">
        <v>135</v>
      </c>
      <c r="AW190" s="162" t="s">
        <v>25</v>
      </c>
      <c r="AX190" s="162" t="s">
        <v>74</v>
      </c>
      <c r="AY190" s="171" t="s">
        <v>130</v>
      </c>
    </row>
    <row r="191" spans="1:65" s="5" customFormat="1" ht="16.5" customHeight="1" x14ac:dyDescent="0.2">
      <c r="A191" s="105"/>
      <c r="B191" s="140"/>
      <c r="C191" s="33" t="s">
        <v>228</v>
      </c>
      <c r="D191" s="33" t="s">
        <v>131</v>
      </c>
      <c r="E191" s="34" t="s">
        <v>1048</v>
      </c>
      <c r="F191" s="7" t="s">
        <v>1049</v>
      </c>
      <c r="G191" s="35" t="s">
        <v>134</v>
      </c>
      <c r="H191" s="36">
        <v>4.5540000000000003</v>
      </c>
      <c r="I191" s="1"/>
      <c r="J191" s="6">
        <f>ROUND(I191*H191,2)</f>
        <v>0</v>
      </c>
      <c r="K191" s="151" t="s">
        <v>1</v>
      </c>
      <c r="L191" s="17"/>
      <c r="M191" s="8" t="s">
        <v>1</v>
      </c>
      <c r="N191" s="9" t="s">
        <v>33</v>
      </c>
      <c r="O191" s="10">
        <v>0</v>
      </c>
      <c r="P191" s="10">
        <f>O191*H191</f>
        <v>0</v>
      </c>
      <c r="Q191" s="10">
        <v>0</v>
      </c>
      <c r="R191" s="10">
        <f>Q191*H191</f>
        <v>0</v>
      </c>
      <c r="S191" s="10">
        <v>0</v>
      </c>
      <c r="T191" s="11">
        <f>S191*H191</f>
        <v>0</v>
      </c>
      <c r="U191" s="105"/>
      <c r="V191" s="105"/>
      <c r="W191" s="105"/>
      <c r="X191" s="105"/>
      <c r="Y191" s="105"/>
      <c r="Z191" s="105"/>
      <c r="AA191" s="105"/>
      <c r="AB191" s="105"/>
      <c r="AC191" s="105"/>
      <c r="AD191" s="105"/>
      <c r="AE191" s="105"/>
      <c r="AR191" s="12" t="s">
        <v>135</v>
      </c>
      <c r="AT191" s="12" t="s">
        <v>131</v>
      </c>
      <c r="AU191" s="12" t="s">
        <v>74</v>
      </c>
      <c r="AY191" s="13" t="s">
        <v>130</v>
      </c>
      <c r="BE191" s="14">
        <f>IF(N191="základní",J191,0)</f>
        <v>0</v>
      </c>
      <c r="BF191" s="14">
        <f>IF(N191="snížená",J191,0)</f>
        <v>0</v>
      </c>
      <c r="BG191" s="14">
        <f>IF(N191="zákl. přenesená",J191,0)</f>
        <v>0</v>
      </c>
      <c r="BH191" s="14">
        <f>IF(N191="sníž. přenesená",J191,0)</f>
        <v>0</v>
      </c>
      <c r="BI191" s="14">
        <f>IF(N191="nulová",J191,0)</f>
        <v>0</v>
      </c>
      <c r="BJ191" s="13" t="s">
        <v>74</v>
      </c>
      <c r="BK191" s="14">
        <f>ROUND(I191*H191,2)</f>
        <v>0</v>
      </c>
      <c r="BL191" s="13" t="s">
        <v>135</v>
      </c>
      <c r="BM191" s="12" t="s">
        <v>224</v>
      </c>
    </row>
    <row r="192" spans="1:65" s="20" customFormat="1" ht="25.9" customHeight="1" x14ac:dyDescent="0.2">
      <c r="B192" s="172"/>
      <c r="C192" s="23"/>
      <c r="D192" s="173" t="s">
        <v>67</v>
      </c>
      <c r="E192" s="174" t="s">
        <v>184</v>
      </c>
      <c r="F192" s="174" t="s">
        <v>1050</v>
      </c>
      <c r="G192" s="23"/>
      <c r="H192" s="23"/>
      <c r="I192" s="23"/>
      <c r="J192" s="175">
        <f>BK192</f>
        <v>0</v>
      </c>
      <c r="K192" s="176"/>
      <c r="L192" s="23"/>
      <c r="M192" s="22"/>
      <c r="N192" s="23"/>
      <c r="O192" s="23"/>
      <c r="P192" s="24">
        <f>SUM(P195:P203)</f>
        <v>0</v>
      </c>
      <c r="Q192" s="23"/>
      <c r="R192" s="24">
        <f>SUM(R195:R203)</f>
        <v>0</v>
      </c>
      <c r="S192" s="23"/>
      <c r="T192" s="25">
        <f>SUM(T195:T203)</f>
        <v>0</v>
      </c>
      <c r="AR192" s="26" t="s">
        <v>74</v>
      </c>
      <c r="AT192" s="27" t="s">
        <v>67</v>
      </c>
      <c r="AU192" s="27" t="s">
        <v>68</v>
      </c>
      <c r="AY192" s="26" t="s">
        <v>130</v>
      </c>
      <c r="BK192" s="28">
        <f>SUM(BK195:BK203)</f>
        <v>0</v>
      </c>
    </row>
    <row r="193" spans="1:65" s="5" customFormat="1" ht="10.15" customHeight="1" x14ac:dyDescent="0.2">
      <c r="B193" s="177"/>
      <c r="C193" s="16"/>
      <c r="D193" s="178" t="s">
        <v>340</v>
      </c>
      <c r="E193" s="16"/>
      <c r="F193" s="179" t="s">
        <v>1221</v>
      </c>
      <c r="G193" s="16"/>
      <c r="H193" s="180">
        <f>4.78*1.11</f>
        <v>5.3058000000000005</v>
      </c>
      <c r="I193" s="16"/>
      <c r="J193" s="16"/>
      <c r="K193" s="181"/>
      <c r="L193" s="16"/>
      <c r="S193" s="129"/>
      <c r="AS193" s="126" t="s">
        <v>148</v>
      </c>
      <c r="AT193" s="126" t="s">
        <v>74</v>
      </c>
    </row>
    <row r="194" spans="1:65" s="5" customFormat="1" ht="10.15" customHeight="1" x14ac:dyDescent="0.2">
      <c r="B194" s="177"/>
      <c r="C194" s="16"/>
      <c r="D194" s="178" t="s">
        <v>340</v>
      </c>
      <c r="E194" s="16"/>
      <c r="F194" s="179" t="s">
        <v>1215</v>
      </c>
      <c r="G194" s="180"/>
      <c r="H194" s="16"/>
      <c r="I194" s="16"/>
      <c r="J194" s="16"/>
      <c r="K194" s="181"/>
      <c r="L194" s="16"/>
      <c r="S194" s="129"/>
      <c r="AS194" s="126" t="s">
        <v>148</v>
      </c>
      <c r="AT194" s="126" t="s">
        <v>74</v>
      </c>
    </row>
    <row r="195" spans="1:65" s="5" customFormat="1" ht="16.5" customHeight="1" x14ac:dyDescent="0.2">
      <c r="A195" s="105"/>
      <c r="B195" s="140"/>
      <c r="C195" s="33" t="s">
        <v>189</v>
      </c>
      <c r="D195" s="33" t="s">
        <v>131</v>
      </c>
      <c r="E195" s="34" t="s">
        <v>1024</v>
      </c>
      <c r="F195" s="7" t="s">
        <v>1025</v>
      </c>
      <c r="G195" s="35" t="s">
        <v>134</v>
      </c>
      <c r="H195" s="36">
        <v>5.306</v>
      </c>
      <c r="I195" s="1"/>
      <c r="J195" s="6">
        <f>ROUND(I195*H195,2)</f>
        <v>0</v>
      </c>
      <c r="K195" s="151" t="s">
        <v>1</v>
      </c>
      <c r="L195" s="17"/>
      <c r="M195" s="8" t="s">
        <v>1</v>
      </c>
      <c r="N195" s="9" t="s">
        <v>33</v>
      </c>
      <c r="O195" s="10">
        <v>0</v>
      </c>
      <c r="P195" s="10">
        <f>O195*H195</f>
        <v>0</v>
      </c>
      <c r="Q195" s="10">
        <v>0</v>
      </c>
      <c r="R195" s="10">
        <f>Q195*H195</f>
        <v>0</v>
      </c>
      <c r="S195" s="10">
        <v>0</v>
      </c>
      <c r="T195" s="11">
        <f>S195*H195</f>
        <v>0</v>
      </c>
      <c r="U195" s="105"/>
      <c r="V195" s="105"/>
      <c r="W195" s="105"/>
      <c r="X195" s="105"/>
      <c r="Y195" s="105"/>
      <c r="Z195" s="105"/>
      <c r="AA195" s="105"/>
      <c r="AB195" s="105"/>
      <c r="AC195" s="105"/>
      <c r="AD195" s="105"/>
      <c r="AE195" s="105"/>
      <c r="AR195" s="12" t="s">
        <v>135</v>
      </c>
      <c r="AT195" s="12" t="s">
        <v>131</v>
      </c>
      <c r="AU195" s="12" t="s">
        <v>74</v>
      </c>
      <c r="AY195" s="13" t="s">
        <v>130</v>
      </c>
      <c r="BE195" s="14">
        <f>IF(N195="základní",J195,0)</f>
        <v>0</v>
      </c>
      <c r="BF195" s="14">
        <f>IF(N195="snížená",J195,0)</f>
        <v>0</v>
      </c>
      <c r="BG195" s="14">
        <f>IF(N195="zákl. přenesená",J195,0)</f>
        <v>0</v>
      </c>
      <c r="BH195" s="14">
        <f>IF(N195="sníž. přenesená",J195,0)</f>
        <v>0</v>
      </c>
      <c r="BI195" s="14">
        <f>IF(N195="nulová",J195,0)</f>
        <v>0</v>
      </c>
      <c r="BJ195" s="13" t="s">
        <v>74</v>
      </c>
      <c r="BK195" s="14">
        <f>ROUND(I195*H195,2)</f>
        <v>0</v>
      </c>
      <c r="BL195" s="13" t="s">
        <v>135</v>
      </c>
      <c r="BM195" s="12" t="s">
        <v>225</v>
      </c>
    </row>
    <row r="196" spans="1:65" s="5" customFormat="1" ht="16.5" customHeight="1" x14ac:dyDescent="0.2">
      <c r="A196" s="105"/>
      <c r="B196" s="140"/>
      <c r="C196" s="33" t="s">
        <v>238</v>
      </c>
      <c r="D196" s="33" t="s">
        <v>131</v>
      </c>
      <c r="E196" s="34" t="s">
        <v>1026</v>
      </c>
      <c r="F196" s="7" t="s">
        <v>1027</v>
      </c>
      <c r="G196" s="35" t="s">
        <v>134</v>
      </c>
      <c r="H196" s="36">
        <v>5.306</v>
      </c>
      <c r="I196" s="1"/>
      <c r="J196" s="6">
        <f>ROUND(I196*H196,2)</f>
        <v>0</v>
      </c>
      <c r="K196" s="151" t="s">
        <v>1</v>
      </c>
      <c r="L196" s="17"/>
      <c r="M196" s="8" t="s">
        <v>1</v>
      </c>
      <c r="N196" s="9" t="s">
        <v>33</v>
      </c>
      <c r="O196" s="10">
        <v>0</v>
      </c>
      <c r="P196" s="10">
        <f>O196*H196</f>
        <v>0</v>
      </c>
      <c r="Q196" s="10">
        <v>0</v>
      </c>
      <c r="R196" s="10">
        <f>Q196*H196</f>
        <v>0</v>
      </c>
      <c r="S196" s="10">
        <v>0</v>
      </c>
      <c r="T196" s="11">
        <f>S196*H196</f>
        <v>0</v>
      </c>
      <c r="U196" s="105"/>
      <c r="V196" s="105"/>
      <c r="W196" s="105"/>
      <c r="X196" s="105"/>
      <c r="Y196" s="105"/>
      <c r="Z196" s="105"/>
      <c r="AA196" s="105"/>
      <c r="AB196" s="105"/>
      <c r="AC196" s="105"/>
      <c r="AD196" s="105"/>
      <c r="AE196" s="105"/>
      <c r="AR196" s="12" t="s">
        <v>135</v>
      </c>
      <c r="AT196" s="12" t="s">
        <v>131</v>
      </c>
      <c r="AU196" s="12" t="s">
        <v>74</v>
      </c>
      <c r="AY196" s="13" t="s">
        <v>130</v>
      </c>
      <c r="BE196" s="14">
        <f>IF(N196="základní",J196,0)</f>
        <v>0</v>
      </c>
      <c r="BF196" s="14">
        <f>IF(N196="snížená",J196,0)</f>
        <v>0</v>
      </c>
      <c r="BG196" s="14">
        <f>IF(N196="zákl. přenesená",J196,0)</f>
        <v>0</v>
      </c>
      <c r="BH196" s="14">
        <f>IF(N196="sníž. přenesená",J196,0)</f>
        <v>0</v>
      </c>
      <c r="BI196" s="14">
        <f>IF(N196="nulová",J196,0)</f>
        <v>0</v>
      </c>
      <c r="BJ196" s="13" t="s">
        <v>74</v>
      </c>
      <c r="BK196" s="14">
        <f>ROUND(I196*H196,2)</f>
        <v>0</v>
      </c>
      <c r="BL196" s="13" t="s">
        <v>135</v>
      </c>
      <c r="BM196" s="12" t="s">
        <v>231</v>
      </c>
    </row>
    <row r="197" spans="1:65" s="5" customFormat="1" ht="16.5" customHeight="1" x14ac:dyDescent="0.2">
      <c r="A197" s="105"/>
      <c r="B197" s="140"/>
      <c r="C197" s="33" t="s">
        <v>196</v>
      </c>
      <c r="D197" s="33" t="s">
        <v>131</v>
      </c>
      <c r="E197" s="34" t="s">
        <v>1028</v>
      </c>
      <c r="F197" s="7" t="s">
        <v>1029</v>
      </c>
      <c r="G197" s="35" t="s">
        <v>134</v>
      </c>
      <c r="H197" s="36">
        <v>5.306</v>
      </c>
      <c r="I197" s="1"/>
      <c r="J197" s="6">
        <f>ROUND(I197*H197,2)</f>
        <v>0</v>
      </c>
      <c r="K197" s="151" t="s">
        <v>1</v>
      </c>
      <c r="L197" s="17"/>
      <c r="M197" s="8" t="s">
        <v>1</v>
      </c>
      <c r="N197" s="9" t="s">
        <v>33</v>
      </c>
      <c r="O197" s="10">
        <v>0</v>
      </c>
      <c r="P197" s="10">
        <f>O197*H197</f>
        <v>0</v>
      </c>
      <c r="Q197" s="10">
        <v>0</v>
      </c>
      <c r="R197" s="10">
        <f>Q197*H197</f>
        <v>0</v>
      </c>
      <c r="S197" s="10">
        <v>0</v>
      </c>
      <c r="T197" s="11">
        <f>S197*H197</f>
        <v>0</v>
      </c>
      <c r="U197" s="105"/>
      <c r="V197" s="105"/>
      <c r="W197" s="105"/>
      <c r="X197" s="105"/>
      <c r="Y197" s="105"/>
      <c r="Z197" s="105"/>
      <c r="AA197" s="105"/>
      <c r="AB197" s="105"/>
      <c r="AC197" s="105"/>
      <c r="AD197" s="105"/>
      <c r="AE197" s="105"/>
      <c r="AR197" s="12" t="s">
        <v>135</v>
      </c>
      <c r="AT197" s="12" t="s">
        <v>131</v>
      </c>
      <c r="AU197" s="12" t="s">
        <v>74</v>
      </c>
      <c r="AY197" s="13" t="s">
        <v>130</v>
      </c>
      <c r="BE197" s="14">
        <f>IF(N197="základní",J197,0)</f>
        <v>0</v>
      </c>
      <c r="BF197" s="14">
        <f>IF(N197="snížená",J197,0)</f>
        <v>0</v>
      </c>
      <c r="BG197" s="14">
        <f>IF(N197="zákl. přenesená",J197,0)</f>
        <v>0</v>
      </c>
      <c r="BH197" s="14">
        <f>IF(N197="sníž. přenesená",J197,0)</f>
        <v>0</v>
      </c>
      <c r="BI197" s="14">
        <f>IF(N197="nulová",J197,0)</f>
        <v>0</v>
      </c>
      <c r="BJ197" s="13" t="s">
        <v>74</v>
      </c>
      <c r="BK197" s="14">
        <f>ROUND(I197*H197,2)</f>
        <v>0</v>
      </c>
      <c r="BL197" s="13" t="s">
        <v>135</v>
      </c>
      <c r="BM197" s="12" t="s">
        <v>234</v>
      </c>
    </row>
    <row r="198" spans="1:65" s="5" customFormat="1" ht="16.5" customHeight="1" x14ac:dyDescent="0.2">
      <c r="A198" s="105"/>
      <c r="B198" s="140"/>
      <c r="C198" s="33" t="s">
        <v>245</v>
      </c>
      <c r="D198" s="33" t="s">
        <v>131</v>
      </c>
      <c r="E198" s="34" t="s">
        <v>1030</v>
      </c>
      <c r="F198" s="7" t="s">
        <v>1031</v>
      </c>
      <c r="G198" s="35" t="s">
        <v>134</v>
      </c>
      <c r="H198" s="36">
        <v>5.306</v>
      </c>
      <c r="I198" s="1"/>
      <c r="J198" s="6">
        <f>ROUND(I198*H198,2)</f>
        <v>0</v>
      </c>
      <c r="K198" s="151" t="s">
        <v>1</v>
      </c>
      <c r="L198" s="17"/>
      <c r="M198" s="8" t="s">
        <v>1</v>
      </c>
      <c r="N198" s="9" t="s">
        <v>33</v>
      </c>
      <c r="O198" s="10">
        <v>0</v>
      </c>
      <c r="P198" s="10">
        <f>O198*H198</f>
        <v>0</v>
      </c>
      <c r="Q198" s="10">
        <v>0</v>
      </c>
      <c r="R198" s="10">
        <f>Q198*H198</f>
        <v>0</v>
      </c>
      <c r="S198" s="10">
        <v>0</v>
      </c>
      <c r="T198" s="11">
        <f>S198*H198</f>
        <v>0</v>
      </c>
      <c r="U198" s="105"/>
      <c r="V198" s="105"/>
      <c r="W198" s="105"/>
      <c r="X198" s="105"/>
      <c r="Y198" s="105"/>
      <c r="Z198" s="105"/>
      <c r="AA198" s="105"/>
      <c r="AB198" s="105"/>
      <c r="AC198" s="105"/>
      <c r="AD198" s="105"/>
      <c r="AE198" s="105"/>
      <c r="AR198" s="12" t="s">
        <v>135</v>
      </c>
      <c r="AT198" s="12" t="s">
        <v>131</v>
      </c>
      <c r="AU198" s="12" t="s">
        <v>74</v>
      </c>
      <c r="AY198" s="13" t="s">
        <v>130</v>
      </c>
      <c r="BE198" s="14">
        <f>IF(N198="základní",J198,0)</f>
        <v>0</v>
      </c>
      <c r="BF198" s="14">
        <f>IF(N198="snížená",J198,0)</f>
        <v>0</v>
      </c>
      <c r="BG198" s="14">
        <f>IF(N198="zákl. přenesená",J198,0)</f>
        <v>0</v>
      </c>
      <c r="BH198" s="14">
        <f>IF(N198="sníž. přenesená",J198,0)</f>
        <v>0</v>
      </c>
      <c r="BI198" s="14">
        <f>IF(N198="nulová",J198,0)</f>
        <v>0</v>
      </c>
      <c r="BJ198" s="13" t="s">
        <v>74</v>
      </c>
      <c r="BK198" s="14">
        <f>ROUND(I198*H198,2)</f>
        <v>0</v>
      </c>
      <c r="BL198" s="13" t="s">
        <v>135</v>
      </c>
      <c r="BM198" s="12" t="s">
        <v>239</v>
      </c>
    </row>
    <row r="199" spans="1:65" s="5" customFormat="1" ht="16.5" customHeight="1" x14ac:dyDescent="0.2">
      <c r="A199" s="105"/>
      <c r="B199" s="140"/>
      <c r="C199" s="33" t="s">
        <v>199</v>
      </c>
      <c r="D199" s="33" t="s">
        <v>131</v>
      </c>
      <c r="E199" s="34" t="s">
        <v>1032</v>
      </c>
      <c r="F199" s="7" t="s">
        <v>1033</v>
      </c>
      <c r="G199" s="35" t="s">
        <v>134</v>
      </c>
      <c r="H199" s="36">
        <v>10.612</v>
      </c>
      <c r="I199" s="1"/>
      <c r="J199" s="6">
        <f>ROUND(I199*H199,2)</f>
        <v>0</v>
      </c>
      <c r="K199" s="151" t="s">
        <v>1</v>
      </c>
      <c r="L199" s="17"/>
      <c r="M199" s="8" t="s">
        <v>1</v>
      </c>
      <c r="N199" s="9" t="s">
        <v>33</v>
      </c>
      <c r="O199" s="10">
        <v>0</v>
      </c>
      <c r="P199" s="10">
        <f>O199*H199</f>
        <v>0</v>
      </c>
      <c r="Q199" s="10">
        <v>0</v>
      </c>
      <c r="R199" s="10">
        <f>Q199*H199</f>
        <v>0</v>
      </c>
      <c r="S199" s="10">
        <v>0</v>
      </c>
      <c r="T199" s="11">
        <f>S199*H199</f>
        <v>0</v>
      </c>
      <c r="U199" s="105"/>
      <c r="V199" s="105"/>
      <c r="W199" s="105"/>
      <c r="X199" s="105"/>
      <c r="Y199" s="105"/>
      <c r="Z199" s="105"/>
      <c r="AA199" s="105"/>
      <c r="AB199" s="105"/>
      <c r="AC199" s="105"/>
      <c r="AD199" s="105"/>
      <c r="AE199" s="105"/>
      <c r="AR199" s="12" t="s">
        <v>135</v>
      </c>
      <c r="AT199" s="12" t="s">
        <v>131</v>
      </c>
      <c r="AU199" s="12" t="s">
        <v>74</v>
      </c>
      <c r="AY199" s="13" t="s">
        <v>130</v>
      </c>
      <c r="BE199" s="14">
        <f>IF(N199="základní",J199,0)</f>
        <v>0</v>
      </c>
      <c r="BF199" s="14">
        <f>IF(N199="snížená",J199,0)</f>
        <v>0</v>
      </c>
      <c r="BG199" s="14">
        <f>IF(N199="zákl. přenesená",J199,0)</f>
        <v>0</v>
      </c>
      <c r="BH199" s="14">
        <f>IF(N199="sníž. přenesená",J199,0)</f>
        <v>0</v>
      </c>
      <c r="BI199" s="14">
        <f>IF(N199="nulová",J199,0)</f>
        <v>0</v>
      </c>
      <c r="BJ199" s="13" t="s">
        <v>74</v>
      </c>
      <c r="BK199" s="14">
        <f>ROUND(I199*H199,2)</f>
        <v>0</v>
      </c>
      <c r="BL199" s="13" t="s">
        <v>135</v>
      </c>
      <c r="BM199" s="12" t="s">
        <v>242</v>
      </c>
    </row>
    <row r="200" spans="1:65" s="152" customFormat="1" x14ac:dyDescent="0.2">
      <c r="B200" s="153"/>
      <c r="C200" s="154"/>
      <c r="D200" s="141" t="s">
        <v>340</v>
      </c>
      <c r="E200" s="155" t="s">
        <v>1</v>
      </c>
      <c r="F200" s="156" t="s">
        <v>1051</v>
      </c>
      <c r="G200" s="154"/>
      <c r="H200" s="157"/>
      <c r="I200" s="154"/>
      <c r="J200" s="154"/>
      <c r="K200" s="158"/>
      <c r="L200" s="154"/>
      <c r="M200" s="159"/>
      <c r="N200" s="154"/>
      <c r="O200" s="154"/>
      <c r="P200" s="154"/>
      <c r="Q200" s="154"/>
      <c r="R200" s="154"/>
      <c r="S200" s="154"/>
      <c r="T200" s="160"/>
      <c r="AT200" s="161" t="s">
        <v>340</v>
      </c>
      <c r="AU200" s="161" t="s">
        <v>74</v>
      </c>
      <c r="AV200" s="152" t="s">
        <v>76</v>
      </c>
      <c r="AW200" s="152" t="s">
        <v>25</v>
      </c>
      <c r="AX200" s="152" t="s">
        <v>68</v>
      </c>
      <c r="AY200" s="161" t="s">
        <v>130</v>
      </c>
    </row>
    <row r="201" spans="1:65" s="162" customFormat="1" x14ac:dyDescent="0.2">
      <c r="B201" s="163"/>
      <c r="C201" s="164"/>
      <c r="D201" s="141" t="s">
        <v>340</v>
      </c>
      <c r="E201" s="165" t="s">
        <v>1</v>
      </c>
      <c r="F201" s="166" t="s">
        <v>342</v>
      </c>
      <c r="G201" s="164"/>
      <c r="H201" s="167">
        <v>10.612</v>
      </c>
      <c r="I201" s="164"/>
      <c r="J201" s="164"/>
      <c r="K201" s="168"/>
      <c r="L201" s="164"/>
      <c r="M201" s="169"/>
      <c r="N201" s="164"/>
      <c r="O201" s="164"/>
      <c r="P201" s="164"/>
      <c r="Q201" s="164"/>
      <c r="R201" s="164"/>
      <c r="S201" s="164"/>
      <c r="T201" s="170"/>
      <c r="AT201" s="171" t="s">
        <v>340</v>
      </c>
      <c r="AU201" s="171" t="s">
        <v>74</v>
      </c>
      <c r="AV201" s="162" t="s">
        <v>135</v>
      </c>
      <c r="AW201" s="162" t="s">
        <v>25</v>
      </c>
      <c r="AX201" s="162" t="s">
        <v>74</v>
      </c>
      <c r="AY201" s="171" t="s">
        <v>130</v>
      </c>
    </row>
    <row r="202" spans="1:65" s="5" customFormat="1" ht="16.5" customHeight="1" x14ac:dyDescent="0.2">
      <c r="A202" s="105"/>
      <c r="B202" s="140"/>
      <c r="C202" s="33" t="s">
        <v>258</v>
      </c>
      <c r="D202" s="33" t="s">
        <v>131</v>
      </c>
      <c r="E202" s="34" t="s">
        <v>1052</v>
      </c>
      <c r="F202" s="7" t="s">
        <v>1053</v>
      </c>
      <c r="G202" s="35" t="s">
        <v>1037</v>
      </c>
      <c r="H202" s="36">
        <v>1</v>
      </c>
      <c r="I202" s="1"/>
      <c r="J202" s="6">
        <f>ROUND(I202*H202,2)</f>
        <v>0</v>
      </c>
      <c r="K202" s="151" t="s">
        <v>1</v>
      </c>
      <c r="L202" s="17"/>
      <c r="M202" s="8" t="s">
        <v>1</v>
      </c>
      <c r="N202" s="9" t="s">
        <v>33</v>
      </c>
      <c r="O202" s="10">
        <v>0</v>
      </c>
      <c r="P202" s="10">
        <f>O202*H202</f>
        <v>0</v>
      </c>
      <c r="Q202" s="10">
        <v>0</v>
      </c>
      <c r="R202" s="10">
        <f>Q202*H202</f>
        <v>0</v>
      </c>
      <c r="S202" s="10">
        <v>0</v>
      </c>
      <c r="T202" s="11">
        <f>S202*H202</f>
        <v>0</v>
      </c>
      <c r="U202" s="105"/>
      <c r="V202" s="105"/>
      <c r="W202" s="105"/>
      <c r="X202" s="105"/>
      <c r="Y202" s="105"/>
      <c r="Z202" s="105"/>
      <c r="AA202" s="105"/>
      <c r="AB202" s="105"/>
      <c r="AC202" s="105"/>
      <c r="AD202" s="105"/>
      <c r="AE202" s="105"/>
      <c r="AR202" s="12" t="s">
        <v>135</v>
      </c>
      <c r="AT202" s="12" t="s">
        <v>131</v>
      </c>
      <c r="AU202" s="12" t="s">
        <v>74</v>
      </c>
      <c r="AY202" s="13" t="s">
        <v>130</v>
      </c>
      <c r="BE202" s="14">
        <f>IF(N202="základní",J202,0)</f>
        <v>0</v>
      </c>
      <c r="BF202" s="14">
        <f>IF(N202="snížená",J202,0)</f>
        <v>0</v>
      </c>
      <c r="BG202" s="14">
        <f>IF(N202="zákl. přenesená",J202,0)</f>
        <v>0</v>
      </c>
      <c r="BH202" s="14">
        <f>IF(N202="sníž. přenesená",J202,0)</f>
        <v>0</v>
      </c>
      <c r="BI202" s="14">
        <f>IF(N202="nulová",J202,0)</f>
        <v>0</v>
      </c>
      <c r="BJ202" s="13" t="s">
        <v>74</v>
      </c>
      <c r="BK202" s="14">
        <f>ROUND(I202*H202,2)</f>
        <v>0</v>
      </c>
      <c r="BL202" s="13" t="s">
        <v>135</v>
      </c>
      <c r="BM202" s="12" t="s">
        <v>248</v>
      </c>
    </row>
    <row r="203" spans="1:65" s="5" customFormat="1" ht="21.75" customHeight="1" x14ac:dyDescent="0.2">
      <c r="A203" s="105"/>
      <c r="B203" s="140"/>
      <c r="C203" s="33" t="s">
        <v>201</v>
      </c>
      <c r="D203" s="33" t="s">
        <v>131</v>
      </c>
      <c r="E203" s="34" t="s">
        <v>1054</v>
      </c>
      <c r="F203" s="7" t="s">
        <v>1055</v>
      </c>
      <c r="G203" s="35" t="s">
        <v>1037</v>
      </c>
      <c r="H203" s="36">
        <v>7</v>
      </c>
      <c r="I203" s="1"/>
      <c r="J203" s="6">
        <f>ROUND(I203*H203,2)</f>
        <v>0</v>
      </c>
      <c r="K203" s="151" t="s">
        <v>1</v>
      </c>
      <c r="L203" s="17"/>
      <c r="M203" s="8" t="s">
        <v>1</v>
      </c>
      <c r="N203" s="9" t="s">
        <v>33</v>
      </c>
      <c r="O203" s="10">
        <v>0</v>
      </c>
      <c r="P203" s="10">
        <f>O203*H203</f>
        <v>0</v>
      </c>
      <c r="Q203" s="10">
        <v>0</v>
      </c>
      <c r="R203" s="10">
        <f>Q203*H203</f>
        <v>0</v>
      </c>
      <c r="S203" s="10">
        <v>0</v>
      </c>
      <c r="T203" s="11">
        <f>S203*H203</f>
        <v>0</v>
      </c>
      <c r="U203" s="105"/>
      <c r="V203" s="105"/>
      <c r="W203" s="105"/>
      <c r="X203" s="105"/>
      <c r="Y203" s="105"/>
      <c r="Z203" s="105"/>
      <c r="AA203" s="105"/>
      <c r="AB203" s="105"/>
      <c r="AC203" s="105"/>
      <c r="AD203" s="105"/>
      <c r="AE203" s="105"/>
      <c r="AR203" s="12" t="s">
        <v>135</v>
      </c>
      <c r="AT203" s="12" t="s">
        <v>131</v>
      </c>
      <c r="AU203" s="12" t="s">
        <v>74</v>
      </c>
      <c r="AY203" s="13" t="s">
        <v>130</v>
      </c>
      <c r="BE203" s="14">
        <f>IF(N203="základní",J203,0)</f>
        <v>0</v>
      </c>
      <c r="BF203" s="14">
        <f>IF(N203="snížená",J203,0)</f>
        <v>0</v>
      </c>
      <c r="BG203" s="14">
        <f>IF(N203="zákl. přenesená",J203,0)</f>
        <v>0</v>
      </c>
      <c r="BH203" s="14">
        <f>IF(N203="sníž. přenesená",J203,0)</f>
        <v>0</v>
      </c>
      <c r="BI203" s="14">
        <f>IF(N203="nulová",J203,0)</f>
        <v>0</v>
      </c>
      <c r="BJ203" s="13" t="s">
        <v>74</v>
      </c>
      <c r="BK203" s="14">
        <f>ROUND(I203*H203,2)</f>
        <v>0</v>
      </c>
      <c r="BL203" s="13" t="s">
        <v>135</v>
      </c>
      <c r="BM203" s="12" t="s">
        <v>254</v>
      </c>
    </row>
    <row r="204" spans="1:65" s="20" customFormat="1" ht="25.9" customHeight="1" x14ac:dyDescent="0.2">
      <c r="B204" s="172"/>
      <c r="C204" s="23"/>
      <c r="D204" s="173" t="s">
        <v>67</v>
      </c>
      <c r="E204" s="174" t="s">
        <v>191</v>
      </c>
      <c r="F204" s="174" t="s">
        <v>1056</v>
      </c>
      <c r="G204" s="23"/>
      <c r="H204" s="23"/>
      <c r="I204" s="23"/>
      <c r="J204" s="175">
        <f>BK204</f>
        <v>0</v>
      </c>
      <c r="K204" s="176"/>
      <c r="L204" s="23"/>
      <c r="M204" s="22"/>
      <c r="N204" s="23"/>
      <c r="O204" s="23"/>
      <c r="P204" s="24">
        <f>SUM(P206:P209)</f>
        <v>0</v>
      </c>
      <c r="Q204" s="23"/>
      <c r="R204" s="24">
        <f>SUM(R206:R209)</f>
        <v>0</v>
      </c>
      <c r="S204" s="23"/>
      <c r="T204" s="25">
        <f>SUM(T206:T209)</f>
        <v>0</v>
      </c>
      <c r="AR204" s="26" t="s">
        <v>74</v>
      </c>
      <c r="AT204" s="27" t="s">
        <v>67</v>
      </c>
      <c r="AU204" s="27" t="s">
        <v>68</v>
      </c>
      <c r="AY204" s="26" t="s">
        <v>130</v>
      </c>
      <c r="BK204" s="28">
        <f>SUM(BK206:BK209)</f>
        <v>0</v>
      </c>
    </row>
    <row r="205" spans="1:65" s="5" customFormat="1" ht="10.15" customHeight="1" x14ac:dyDescent="0.2">
      <c r="B205" s="177"/>
      <c r="C205" s="16"/>
      <c r="D205" s="178" t="s">
        <v>340</v>
      </c>
      <c r="E205" s="16"/>
      <c r="F205" s="179" t="s">
        <v>1222</v>
      </c>
      <c r="G205" s="16"/>
      <c r="H205" s="180">
        <f>(7.27*2*3.14*0.0125)+(6*3.14*0.0125*0.0125)</f>
        <v>0.57363875000000009</v>
      </c>
      <c r="I205" s="16"/>
      <c r="J205" s="16"/>
      <c r="K205" s="181"/>
      <c r="L205" s="16"/>
      <c r="S205" s="129"/>
      <c r="AS205" s="126" t="s">
        <v>148</v>
      </c>
      <c r="AT205" s="126" t="s">
        <v>74</v>
      </c>
    </row>
    <row r="206" spans="1:65" s="5" customFormat="1" ht="16.5" customHeight="1" x14ac:dyDescent="0.2">
      <c r="A206" s="105"/>
      <c r="B206" s="140"/>
      <c r="C206" s="33" t="s">
        <v>265</v>
      </c>
      <c r="D206" s="33" t="s">
        <v>131</v>
      </c>
      <c r="E206" s="34" t="s">
        <v>1024</v>
      </c>
      <c r="F206" s="7" t="s">
        <v>1025</v>
      </c>
      <c r="G206" s="35" t="s">
        <v>134</v>
      </c>
      <c r="H206" s="36">
        <v>0.57399999999999995</v>
      </c>
      <c r="I206" s="1"/>
      <c r="J206" s="6">
        <f>ROUND(I206*H206,2)</f>
        <v>0</v>
      </c>
      <c r="K206" s="151" t="s">
        <v>1</v>
      </c>
      <c r="L206" s="17"/>
      <c r="M206" s="8" t="s">
        <v>1</v>
      </c>
      <c r="N206" s="9" t="s">
        <v>33</v>
      </c>
      <c r="O206" s="10">
        <v>0</v>
      </c>
      <c r="P206" s="10">
        <f>O206*H206</f>
        <v>0</v>
      </c>
      <c r="Q206" s="10">
        <v>0</v>
      </c>
      <c r="R206" s="10">
        <f>Q206*H206</f>
        <v>0</v>
      </c>
      <c r="S206" s="10">
        <v>0</v>
      </c>
      <c r="T206" s="11">
        <f>S206*H206</f>
        <v>0</v>
      </c>
      <c r="U206" s="105"/>
      <c r="V206" s="105"/>
      <c r="W206" s="105"/>
      <c r="X206" s="105"/>
      <c r="Y206" s="105"/>
      <c r="Z206" s="105"/>
      <c r="AA206" s="105"/>
      <c r="AB206" s="105"/>
      <c r="AC206" s="105"/>
      <c r="AD206" s="105"/>
      <c r="AE206" s="105"/>
      <c r="AR206" s="12" t="s">
        <v>135</v>
      </c>
      <c r="AT206" s="12" t="s">
        <v>131</v>
      </c>
      <c r="AU206" s="12" t="s">
        <v>74</v>
      </c>
      <c r="AY206" s="13" t="s">
        <v>130</v>
      </c>
      <c r="BE206" s="14">
        <f>IF(N206="základní",J206,0)</f>
        <v>0</v>
      </c>
      <c r="BF206" s="14">
        <f>IF(N206="snížená",J206,0)</f>
        <v>0</v>
      </c>
      <c r="BG206" s="14">
        <f>IF(N206="zákl. přenesená",J206,0)</f>
        <v>0</v>
      </c>
      <c r="BH206" s="14">
        <f>IF(N206="sníž. přenesená",J206,0)</f>
        <v>0</v>
      </c>
      <c r="BI206" s="14">
        <f>IF(N206="nulová",J206,0)</f>
        <v>0</v>
      </c>
      <c r="BJ206" s="13" t="s">
        <v>74</v>
      </c>
      <c r="BK206" s="14">
        <f>ROUND(I206*H206,2)</f>
        <v>0</v>
      </c>
      <c r="BL206" s="13" t="s">
        <v>135</v>
      </c>
      <c r="BM206" s="12" t="s">
        <v>259</v>
      </c>
    </row>
    <row r="207" spans="1:65" s="5" customFormat="1" ht="16.5" customHeight="1" x14ac:dyDescent="0.2">
      <c r="A207" s="105"/>
      <c r="B207" s="140"/>
      <c r="C207" s="33" t="s">
        <v>202</v>
      </c>
      <c r="D207" s="33" t="s">
        <v>131</v>
      </c>
      <c r="E207" s="34" t="s">
        <v>1026</v>
      </c>
      <c r="F207" s="7" t="s">
        <v>1027</v>
      </c>
      <c r="G207" s="35" t="s">
        <v>134</v>
      </c>
      <c r="H207" s="36">
        <v>0.57399999999999995</v>
      </c>
      <c r="I207" s="1"/>
      <c r="J207" s="6">
        <f>ROUND(I207*H207,2)</f>
        <v>0</v>
      </c>
      <c r="K207" s="151" t="s">
        <v>1</v>
      </c>
      <c r="L207" s="17"/>
      <c r="M207" s="8" t="s">
        <v>1</v>
      </c>
      <c r="N207" s="9" t="s">
        <v>33</v>
      </c>
      <c r="O207" s="10">
        <v>0</v>
      </c>
      <c r="P207" s="10">
        <f>O207*H207</f>
        <v>0</v>
      </c>
      <c r="Q207" s="10">
        <v>0</v>
      </c>
      <c r="R207" s="10">
        <f>Q207*H207</f>
        <v>0</v>
      </c>
      <c r="S207" s="10">
        <v>0</v>
      </c>
      <c r="T207" s="11">
        <f>S207*H207</f>
        <v>0</v>
      </c>
      <c r="U207" s="105"/>
      <c r="V207" s="105"/>
      <c r="W207" s="105"/>
      <c r="X207" s="105"/>
      <c r="Y207" s="105"/>
      <c r="Z207" s="105"/>
      <c r="AA207" s="105"/>
      <c r="AB207" s="105"/>
      <c r="AC207" s="105"/>
      <c r="AD207" s="105"/>
      <c r="AE207" s="105"/>
      <c r="AR207" s="12" t="s">
        <v>135</v>
      </c>
      <c r="AT207" s="12" t="s">
        <v>131</v>
      </c>
      <c r="AU207" s="12" t="s">
        <v>74</v>
      </c>
      <c r="AY207" s="13" t="s">
        <v>130</v>
      </c>
      <c r="BE207" s="14">
        <f>IF(N207="základní",J207,0)</f>
        <v>0</v>
      </c>
      <c r="BF207" s="14">
        <f>IF(N207="snížená",J207,0)</f>
        <v>0</v>
      </c>
      <c r="BG207" s="14">
        <f>IF(N207="zákl. přenesená",J207,0)</f>
        <v>0</v>
      </c>
      <c r="BH207" s="14">
        <f>IF(N207="sníž. přenesená",J207,0)</f>
        <v>0</v>
      </c>
      <c r="BI207" s="14">
        <f>IF(N207="nulová",J207,0)</f>
        <v>0</v>
      </c>
      <c r="BJ207" s="13" t="s">
        <v>74</v>
      </c>
      <c r="BK207" s="14">
        <f>ROUND(I207*H207,2)</f>
        <v>0</v>
      </c>
      <c r="BL207" s="13" t="s">
        <v>135</v>
      </c>
      <c r="BM207" s="12" t="s">
        <v>262</v>
      </c>
    </row>
    <row r="208" spans="1:65" s="5" customFormat="1" ht="16.5" customHeight="1" x14ac:dyDescent="0.2">
      <c r="A208" s="105"/>
      <c r="B208" s="140"/>
      <c r="C208" s="33" t="s">
        <v>205</v>
      </c>
      <c r="D208" s="33" t="s">
        <v>131</v>
      </c>
      <c r="E208" s="34" t="s">
        <v>1030</v>
      </c>
      <c r="F208" s="7" t="s">
        <v>1031</v>
      </c>
      <c r="G208" s="35" t="s">
        <v>134</v>
      </c>
      <c r="H208" s="36">
        <v>0.57399999999999995</v>
      </c>
      <c r="I208" s="1"/>
      <c r="J208" s="6">
        <f>ROUND(I208*H208,2)</f>
        <v>0</v>
      </c>
      <c r="K208" s="151" t="s">
        <v>1</v>
      </c>
      <c r="L208" s="17"/>
      <c r="M208" s="8" t="s">
        <v>1</v>
      </c>
      <c r="N208" s="9" t="s">
        <v>33</v>
      </c>
      <c r="O208" s="10">
        <v>0</v>
      </c>
      <c r="P208" s="10">
        <f>O208*H208</f>
        <v>0</v>
      </c>
      <c r="Q208" s="10">
        <v>0</v>
      </c>
      <c r="R208" s="10">
        <f>Q208*H208</f>
        <v>0</v>
      </c>
      <c r="S208" s="10">
        <v>0</v>
      </c>
      <c r="T208" s="11">
        <f>S208*H208</f>
        <v>0</v>
      </c>
      <c r="U208" s="105"/>
      <c r="V208" s="105"/>
      <c r="W208" s="105"/>
      <c r="X208" s="105"/>
      <c r="Y208" s="105"/>
      <c r="Z208" s="105"/>
      <c r="AA208" s="105"/>
      <c r="AB208" s="105"/>
      <c r="AC208" s="105"/>
      <c r="AD208" s="105"/>
      <c r="AE208" s="105"/>
      <c r="AR208" s="12" t="s">
        <v>135</v>
      </c>
      <c r="AT208" s="12" t="s">
        <v>131</v>
      </c>
      <c r="AU208" s="12" t="s">
        <v>74</v>
      </c>
      <c r="AY208" s="13" t="s">
        <v>130</v>
      </c>
      <c r="BE208" s="14">
        <f>IF(N208="základní",J208,0)</f>
        <v>0</v>
      </c>
      <c r="BF208" s="14">
        <f>IF(N208="snížená",J208,0)</f>
        <v>0</v>
      </c>
      <c r="BG208" s="14">
        <f>IF(N208="zákl. přenesená",J208,0)</f>
        <v>0</v>
      </c>
      <c r="BH208" s="14">
        <f>IF(N208="sníž. přenesená",J208,0)</f>
        <v>0</v>
      </c>
      <c r="BI208" s="14">
        <f>IF(N208="nulová",J208,0)</f>
        <v>0</v>
      </c>
      <c r="BJ208" s="13" t="s">
        <v>74</v>
      </c>
      <c r="BK208" s="14">
        <f>ROUND(I208*H208,2)</f>
        <v>0</v>
      </c>
      <c r="BL208" s="13" t="s">
        <v>135</v>
      </c>
      <c r="BM208" s="12" t="s">
        <v>266</v>
      </c>
    </row>
    <row r="209" spans="1:65" s="5" customFormat="1" ht="16.5" customHeight="1" x14ac:dyDescent="0.2">
      <c r="A209" s="105"/>
      <c r="B209" s="140"/>
      <c r="C209" s="33" t="s">
        <v>277</v>
      </c>
      <c r="D209" s="33" t="s">
        <v>131</v>
      </c>
      <c r="E209" s="34" t="s">
        <v>1032</v>
      </c>
      <c r="F209" s="7" t="s">
        <v>1033</v>
      </c>
      <c r="G209" s="35" t="s">
        <v>134</v>
      </c>
      <c r="H209" s="36">
        <v>0.57399999999999995</v>
      </c>
      <c r="I209" s="1"/>
      <c r="J209" s="6">
        <f>ROUND(I209*H209,2)</f>
        <v>0</v>
      </c>
      <c r="K209" s="151" t="s">
        <v>1</v>
      </c>
      <c r="L209" s="17"/>
      <c r="M209" s="8" t="s">
        <v>1</v>
      </c>
      <c r="N209" s="9" t="s">
        <v>33</v>
      </c>
      <c r="O209" s="10">
        <v>0</v>
      </c>
      <c r="P209" s="10">
        <f>O209*H209</f>
        <v>0</v>
      </c>
      <c r="Q209" s="10">
        <v>0</v>
      </c>
      <c r="R209" s="10">
        <f>Q209*H209</f>
        <v>0</v>
      </c>
      <c r="S209" s="10">
        <v>0</v>
      </c>
      <c r="T209" s="11">
        <f>S209*H209</f>
        <v>0</v>
      </c>
      <c r="U209" s="105"/>
      <c r="V209" s="105"/>
      <c r="W209" s="105"/>
      <c r="X209" s="105"/>
      <c r="Y209" s="105"/>
      <c r="Z209" s="105"/>
      <c r="AA209" s="105"/>
      <c r="AB209" s="105"/>
      <c r="AC209" s="105"/>
      <c r="AD209" s="105"/>
      <c r="AE209" s="105"/>
      <c r="AR209" s="12" t="s">
        <v>135</v>
      </c>
      <c r="AT209" s="12" t="s">
        <v>131</v>
      </c>
      <c r="AU209" s="12" t="s">
        <v>74</v>
      </c>
      <c r="AY209" s="13" t="s">
        <v>130</v>
      </c>
      <c r="BE209" s="14">
        <f>IF(N209="základní",J209,0)</f>
        <v>0</v>
      </c>
      <c r="BF209" s="14">
        <f>IF(N209="snížená",J209,0)</f>
        <v>0</v>
      </c>
      <c r="BG209" s="14">
        <f>IF(N209="zákl. přenesená",J209,0)</f>
        <v>0</v>
      </c>
      <c r="BH209" s="14">
        <f>IF(N209="sníž. přenesená",J209,0)</f>
        <v>0</v>
      </c>
      <c r="BI209" s="14">
        <f>IF(N209="nulová",J209,0)</f>
        <v>0</v>
      </c>
      <c r="BJ209" s="13" t="s">
        <v>74</v>
      </c>
      <c r="BK209" s="14">
        <f>ROUND(I209*H209,2)</f>
        <v>0</v>
      </c>
      <c r="BL209" s="13" t="s">
        <v>135</v>
      </c>
      <c r="BM209" s="12" t="s">
        <v>269</v>
      </c>
    </row>
    <row r="210" spans="1:65" s="20" customFormat="1" ht="25.9" customHeight="1" x14ac:dyDescent="0.2">
      <c r="B210" s="172"/>
      <c r="C210" s="23"/>
      <c r="D210" s="173" t="s">
        <v>67</v>
      </c>
      <c r="E210" s="174" t="s">
        <v>203</v>
      </c>
      <c r="F210" s="174" t="s">
        <v>1057</v>
      </c>
      <c r="G210" s="23"/>
      <c r="H210" s="23"/>
      <c r="I210" s="23"/>
      <c r="J210" s="175">
        <f>BK210</f>
        <v>0</v>
      </c>
      <c r="K210" s="176"/>
      <c r="L210" s="23"/>
      <c r="M210" s="22"/>
      <c r="N210" s="23"/>
      <c r="O210" s="23"/>
      <c r="P210" s="24">
        <f>SUM(P213:P218)</f>
        <v>0</v>
      </c>
      <c r="Q210" s="23"/>
      <c r="R210" s="24">
        <f>SUM(R213:R218)</f>
        <v>0</v>
      </c>
      <c r="S210" s="23"/>
      <c r="T210" s="25">
        <f>SUM(T213:T218)</f>
        <v>0</v>
      </c>
      <c r="AR210" s="26" t="s">
        <v>74</v>
      </c>
      <c r="AT210" s="27" t="s">
        <v>67</v>
      </c>
      <c r="AU210" s="27" t="s">
        <v>68</v>
      </c>
      <c r="AY210" s="26" t="s">
        <v>130</v>
      </c>
      <c r="BK210" s="28">
        <f>SUM(BK213:BK218)</f>
        <v>0</v>
      </c>
    </row>
    <row r="211" spans="1:65" s="5" customFormat="1" ht="10.15" customHeight="1" x14ac:dyDescent="0.2">
      <c r="B211" s="177"/>
      <c r="C211" s="16"/>
      <c r="D211" s="178" t="s">
        <v>340</v>
      </c>
      <c r="E211" s="16"/>
      <c r="F211" s="179" t="s">
        <v>1217</v>
      </c>
      <c r="G211" s="16"/>
      <c r="H211" s="180">
        <f>1.26*0.9</f>
        <v>1.1340000000000001</v>
      </c>
      <c r="I211" s="16"/>
      <c r="J211" s="16"/>
      <c r="K211" s="181"/>
      <c r="L211" s="16"/>
      <c r="S211" s="129"/>
      <c r="AS211" s="126" t="s">
        <v>148</v>
      </c>
      <c r="AT211" s="126" t="s">
        <v>74</v>
      </c>
    </row>
    <row r="212" spans="1:65" s="5" customFormat="1" ht="10.15" customHeight="1" x14ac:dyDescent="0.2">
      <c r="B212" s="177"/>
      <c r="C212" s="16"/>
      <c r="D212" s="178" t="s">
        <v>340</v>
      </c>
      <c r="E212" s="16"/>
      <c r="F212" s="179" t="s">
        <v>1215</v>
      </c>
      <c r="G212" s="180"/>
      <c r="H212" s="16"/>
      <c r="I212" s="16"/>
      <c r="J212" s="16"/>
      <c r="K212" s="181"/>
      <c r="L212" s="16"/>
      <c r="S212" s="129"/>
      <c r="AS212" s="126" t="s">
        <v>148</v>
      </c>
      <c r="AT212" s="126" t="s">
        <v>74</v>
      </c>
    </row>
    <row r="213" spans="1:65" s="5" customFormat="1" ht="16.5" customHeight="1" x14ac:dyDescent="0.2">
      <c r="A213" s="105"/>
      <c r="B213" s="140"/>
      <c r="C213" s="33" t="s">
        <v>206</v>
      </c>
      <c r="D213" s="33" t="s">
        <v>131</v>
      </c>
      <c r="E213" s="34" t="s">
        <v>1024</v>
      </c>
      <c r="F213" s="7" t="s">
        <v>1025</v>
      </c>
      <c r="G213" s="35" t="s">
        <v>134</v>
      </c>
      <c r="H213" s="36">
        <v>1.1339999999999999</v>
      </c>
      <c r="I213" s="1"/>
      <c r="J213" s="6">
        <f>ROUND(I213*H213,2)</f>
        <v>0</v>
      </c>
      <c r="K213" s="151" t="s">
        <v>1</v>
      </c>
      <c r="L213" s="17"/>
      <c r="M213" s="8" t="s">
        <v>1</v>
      </c>
      <c r="N213" s="9" t="s">
        <v>33</v>
      </c>
      <c r="O213" s="10">
        <v>0</v>
      </c>
      <c r="P213" s="10">
        <f>O213*H213</f>
        <v>0</v>
      </c>
      <c r="Q213" s="10">
        <v>0</v>
      </c>
      <c r="R213" s="10">
        <f>Q213*H213</f>
        <v>0</v>
      </c>
      <c r="S213" s="10">
        <v>0</v>
      </c>
      <c r="T213" s="11">
        <f>S213*H213</f>
        <v>0</v>
      </c>
      <c r="U213" s="105"/>
      <c r="V213" s="105"/>
      <c r="W213" s="105"/>
      <c r="X213" s="105"/>
      <c r="Y213" s="105"/>
      <c r="Z213" s="105"/>
      <c r="AA213" s="105"/>
      <c r="AB213" s="105"/>
      <c r="AC213" s="105"/>
      <c r="AD213" s="105"/>
      <c r="AE213" s="105"/>
      <c r="AR213" s="12" t="s">
        <v>135</v>
      </c>
      <c r="AT213" s="12" t="s">
        <v>131</v>
      </c>
      <c r="AU213" s="12" t="s">
        <v>74</v>
      </c>
      <c r="AY213" s="13" t="s">
        <v>130</v>
      </c>
      <c r="BE213" s="14">
        <f>IF(N213="základní",J213,0)</f>
        <v>0</v>
      </c>
      <c r="BF213" s="14">
        <f>IF(N213="snížená",J213,0)</f>
        <v>0</v>
      </c>
      <c r="BG213" s="14">
        <f>IF(N213="zákl. přenesená",J213,0)</f>
        <v>0</v>
      </c>
      <c r="BH213" s="14">
        <f>IF(N213="sníž. přenesená",J213,0)</f>
        <v>0</v>
      </c>
      <c r="BI213" s="14">
        <f>IF(N213="nulová",J213,0)</f>
        <v>0</v>
      </c>
      <c r="BJ213" s="13" t="s">
        <v>74</v>
      </c>
      <c r="BK213" s="14">
        <f>ROUND(I213*H213,2)</f>
        <v>0</v>
      </c>
      <c r="BL213" s="13" t="s">
        <v>135</v>
      </c>
      <c r="BM213" s="12" t="s">
        <v>274</v>
      </c>
    </row>
    <row r="214" spans="1:65" s="5" customFormat="1" ht="16.5" customHeight="1" x14ac:dyDescent="0.2">
      <c r="A214" s="105"/>
      <c r="B214" s="140"/>
      <c r="C214" s="33" t="s">
        <v>283</v>
      </c>
      <c r="D214" s="33" t="s">
        <v>131</v>
      </c>
      <c r="E214" s="34" t="s">
        <v>1026</v>
      </c>
      <c r="F214" s="7" t="s">
        <v>1027</v>
      </c>
      <c r="G214" s="35" t="s">
        <v>134</v>
      </c>
      <c r="H214" s="36">
        <v>1.1339999999999999</v>
      </c>
      <c r="I214" s="1"/>
      <c r="J214" s="6">
        <f>ROUND(I214*H214,2)</f>
        <v>0</v>
      </c>
      <c r="K214" s="151" t="s">
        <v>1</v>
      </c>
      <c r="L214" s="17"/>
      <c r="M214" s="8" t="s">
        <v>1</v>
      </c>
      <c r="N214" s="9" t="s">
        <v>33</v>
      </c>
      <c r="O214" s="10">
        <v>0</v>
      </c>
      <c r="P214" s="10">
        <f>O214*H214</f>
        <v>0</v>
      </c>
      <c r="Q214" s="10">
        <v>0</v>
      </c>
      <c r="R214" s="10">
        <f>Q214*H214</f>
        <v>0</v>
      </c>
      <c r="S214" s="10">
        <v>0</v>
      </c>
      <c r="T214" s="11">
        <f>S214*H214</f>
        <v>0</v>
      </c>
      <c r="U214" s="105"/>
      <c r="V214" s="105"/>
      <c r="W214" s="105"/>
      <c r="X214" s="105"/>
      <c r="Y214" s="105"/>
      <c r="Z214" s="105"/>
      <c r="AA214" s="105"/>
      <c r="AB214" s="105"/>
      <c r="AC214" s="105"/>
      <c r="AD214" s="105"/>
      <c r="AE214" s="105"/>
      <c r="AR214" s="12" t="s">
        <v>135</v>
      </c>
      <c r="AT214" s="12" t="s">
        <v>131</v>
      </c>
      <c r="AU214" s="12" t="s">
        <v>74</v>
      </c>
      <c r="AY214" s="13" t="s">
        <v>130</v>
      </c>
      <c r="BE214" s="14">
        <f>IF(N214="základní",J214,0)</f>
        <v>0</v>
      </c>
      <c r="BF214" s="14">
        <f>IF(N214="snížená",J214,0)</f>
        <v>0</v>
      </c>
      <c r="BG214" s="14">
        <f>IF(N214="zákl. přenesená",J214,0)</f>
        <v>0</v>
      </c>
      <c r="BH214" s="14">
        <f>IF(N214="sníž. přenesená",J214,0)</f>
        <v>0</v>
      </c>
      <c r="BI214" s="14">
        <f>IF(N214="nulová",J214,0)</f>
        <v>0</v>
      </c>
      <c r="BJ214" s="13" t="s">
        <v>74</v>
      </c>
      <c r="BK214" s="14">
        <f>ROUND(I214*H214,2)</f>
        <v>0</v>
      </c>
      <c r="BL214" s="13" t="s">
        <v>135</v>
      </c>
      <c r="BM214" s="12" t="s">
        <v>275</v>
      </c>
    </row>
    <row r="215" spans="1:65" s="5" customFormat="1" ht="16.5" customHeight="1" x14ac:dyDescent="0.2">
      <c r="A215" s="105"/>
      <c r="B215" s="140"/>
      <c r="C215" s="33" t="s">
        <v>291</v>
      </c>
      <c r="D215" s="33" t="s">
        <v>131</v>
      </c>
      <c r="E215" s="34" t="s">
        <v>1030</v>
      </c>
      <c r="F215" s="7" t="s">
        <v>1031</v>
      </c>
      <c r="G215" s="35" t="s">
        <v>134</v>
      </c>
      <c r="H215" s="36">
        <v>1.1339999999999999</v>
      </c>
      <c r="I215" s="1"/>
      <c r="J215" s="6">
        <f>ROUND(I215*H215,2)</f>
        <v>0</v>
      </c>
      <c r="K215" s="151" t="s">
        <v>1</v>
      </c>
      <c r="L215" s="17"/>
      <c r="M215" s="8" t="s">
        <v>1</v>
      </c>
      <c r="N215" s="9" t="s">
        <v>33</v>
      </c>
      <c r="O215" s="10">
        <v>0</v>
      </c>
      <c r="P215" s="10">
        <f>O215*H215</f>
        <v>0</v>
      </c>
      <c r="Q215" s="10">
        <v>0</v>
      </c>
      <c r="R215" s="10">
        <f>Q215*H215</f>
        <v>0</v>
      </c>
      <c r="S215" s="10">
        <v>0</v>
      </c>
      <c r="T215" s="11">
        <f>S215*H215</f>
        <v>0</v>
      </c>
      <c r="U215" s="105"/>
      <c r="V215" s="105"/>
      <c r="W215" s="105"/>
      <c r="X215" s="105"/>
      <c r="Y215" s="105"/>
      <c r="Z215" s="105"/>
      <c r="AA215" s="105"/>
      <c r="AB215" s="105"/>
      <c r="AC215" s="105"/>
      <c r="AD215" s="105"/>
      <c r="AE215" s="105"/>
      <c r="AR215" s="12" t="s">
        <v>135</v>
      </c>
      <c r="AT215" s="12" t="s">
        <v>131</v>
      </c>
      <c r="AU215" s="12" t="s">
        <v>74</v>
      </c>
      <c r="AY215" s="13" t="s">
        <v>130</v>
      </c>
      <c r="BE215" s="14">
        <f>IF(N215="základní",J215,0)</f>
        <v>0</v>
      </c>
      <c r="BF215" s="14">
        <f>IF(N215="snížená",J215,0)</f>
        <v>0</v>
      </c>
      <c r="BG215" s="14">
        <f>IF(N215="zákl. přenesená",J215,0)</f>
        <v>0</v>
      </c>
      <c r="BH215" s="14">
        <f>IF(N215="sníž. přenesená",J215,0)</f>
        <v>0</v>
      </c>
      <c r="BI215" s="14">
        <f>IF(N215="nulová",J215,0)</f>
        <v>0</v>
      </c>
      <c r="BJ215" s="13" t="s">
        <v>74</v>
      </c>
      <c r="BK215" s="14">
        <f>ROUND(I215*H215,2)</f>
        <v>0</v>
      </c>
      <c r="BL215" s="13" t="s">
        <v>135</v>
      </c>
      <c r="BM215" s="12" t="s">
        <v>279</v>
      </c>
    </row>
    <row r="216" spans="1:65" s="5" customFormat="1" ht="16.5" customHeight="1" x14ac:dyDescent="0.2">
      <c r="A216" s="105"/>
      <c r="B216" s="140"/>
      <c r="C216" s="33" t="s">
        <v>211</v>
      </c>
      <c r="D216" s="33" t="s">
        <v>131</v>
      </c>
      <c r="E216" s="34" t="s">
        <v>1032</v>
      </c>
      <c r="F216" s="7" t="s">
        <v>1033</v>
      </c>
      <c r="G216" s="35" t="s">
        <v>134</v>
      </c>
      <c r="H216" s="36">
        <v>2.2679999999999998</v>
      </c>
      <c r="I216" s="1"/>
      <c r="J216" s="6">
        <f>ROUND(I216*H216,2)</f>
        <v>0</v>
      </c>
      <c r="K216" s="151" t="s">
        <v>1</v>
      </c>
      <c r="L216" s="17"/>
      <c r="M216" s="8" t="s">
        <v>1</v>
      </c>
      <c r="N216" s="9" t="s">
        <v>33</v>
      </c>
      <c r="O216" s="10">
        <v>0</v>
      </c>
      <c r="P216" s="10">
        <f>O216*H216</f>
        <v>0</v>
      </c>
      <c r="Q216" s="10">
        <v>0</v>
      </c>
      <c r="R216" s="10">
        <f>Q216*H216</f>
        <v>0</v>
      </c>
      <c r="S216" s="10">
        <v>0</v>
      </c>
      <c r="T216" s="11">
        <f>S216*H216</f>
        <v>0</v>
      </c>
      <c r="U216" s="105"/>
      <c r="V216" s="105"/>
      <c r="W216" s="105"/>
      <c r="X216" s="105"/>
      <c r="Y216" s="105"/>
      <c r="Z216" s="105"/>
      <c r="AA216" s="105"/>
      <c r="AB216" s="105"/>
      <c r="AC216" s="105"/>
      <c r="AD216" s="105"/>
      <c r="AE216" s="105"/>
      <c r="AR216" s="12" t="s">
        <v>135</v>
      </c>
      <c r="AT216" s="12" t="s">
        <v>131</v>
      </c>
      <c r="AU216" s="12" t="s">
        <v>74</v>
      </c>
      <c r="AY216" s="13" t="s">
        <v>130</v>
      </c>
      <c r="BE216" s="14">
        <f>IF(N216="základní",J216,0)</f>
        <v>0</v>
      </c>
      <c r="BF216" s="14">
        <f>IF(N216="snížená",J216,0)</f>
        <v>0</v>
      </c>
      <c r="BG216" s="14">
        <f>IF(N216="zákl. přenesená",J216,0)</f>
        <v>0</v>
      </c>
      <c r="BH216" s="14">
        <f>IF(N216="sníž. přenesená",J216,0)</f>
        <v>0</v>
      </c>
      <c r="BI216" s="14">
        <f>IF(N216="nulová",J216,0)</f>
        <v>0</v>
      </c>
      <c r="BJ216" s="13" t="s">
        <v>74</v>
      </c>
      <c r="BK216" s="14">
        <f>ROUND(I216*H216,2)</f>
        <v>0</v>
      </c>
      <c r="BL216" s="13" t="s">
        <v>135</v>
      </c>
      <c r="BM216" s="12" t="s">
        <v>282</v>
      </c>
    </row>
    <row r="217" spans="1:65" s="152" customFormat="1" x14ac:dyDescent="0.2">
      <c r="B217" s="153"/>
      <c r="C217" s="154"/>
      <c r="D217" s="141" t="s">
        <v>340</v>
      </c>
      <c r="E217" s="155" t="s">
        <v>1</v>
      </c>
      <c r="F217" s="156" t="s">
        <v>1042</v>
      </c>
      <c r="G217" s="154"/>
      <c r="H217" s="157"/>
      <c r="I217" s="154"/>
      <c r="J217" s="154"/>
      <c r="K217" s="158"/>
      <c r="L217" s="154"/>
      <c r="M217" s="159"/>
      <c r="N217" s="154"/>
      <c r="O217" s="154"/>
      <c r="P217" s="154"/>
      <c r="Q217" s="154"/>
      <c r="R217" s="154"/>
      <c r="S217" s="154"/>
      <c r="T217" s="160"/>
      <c r="AT217" s="161" t="s">
        <v>340</v>
      </c>
      <c r="AU217" s="161" t="s">
        <v>74</v>
      </c>
      <c r="AV217" s="152" t="s">
        <v>76</v>
      </c>
      <c r="AW217" s="152" t="s">
        <v>25</v>
      </c>
      <c r="AX217" s="152" t="s">
        <v>68</v>
      </c>
      <c r="AY217" s="161" t="s">
        <v>130</v>
      </c>
    </row>
    <row r="218" spans="1:65" s="162" customFormat="1" x14ac:dyDescent="0.2">
      <c r="B218" s="163"/>
      <c r="C218" s="164"/>
      <c r="D218" s="141" t="s">
        <v>340</v>
      </c>
      <c r="E218" s="165" t="s">
        <v>1</v>
      </c>
      <c r="F218" s="166" t="s">
        <v>342</v>
      </c>
      <c r="G218" s="164"/>
      <c r="H218" s="167">
        <v>2.2679999999999998</v>
      </c>
      <c r="I218" s="164"/>
      <c r="J218" s="164"/>
      <c r="K218" s="168"/>
      <c r="L218" s="164"/>
      <c r="M218" s="169"/>
      <c r="N218" s="164"/>
      <c r="O218" s="164"/>
      <c r="P218" s="164"/>
      <c r="Q218" s="164"/>
      <c r="R218" s="164"/>
      <c r="S218" s="164"/>
      <c r="T218" s="170"/>
      <c r="AT218" s="171" t="s">
        <v>340</v>
      </c>
      <c r="AU218" s="171" t="s">
        <v>74</v>
      </c>
      <c r="AV218" s="162" t="s">
        <v>135</v>
      </c>
      <c r="AW218" s="162" t="s">
        <v>25</v>
      </c>
      <c r="AX218" s="162" t="s">
        <v>74</v>
      </c>
      <c r="AY218" s="171" t="s">
        <v>130</v>
      </c>
    </row>
    <row r="219" spans="1:65" s="20" customFormat="1" ht="25.9" customHeight="1" x14ac:dyDescent="0.2">
      <c r="B219" s="172"/>
      <c r="C219" s="23"/>
      <c r="D219" s="173" t="s">
        <v>67</v>
      </c>
      <c r="E219" s="174" t="s">
        <v>207</v>
      </c>
      <c r="F219" s="174" t="s">
        <v>1058</v>
      </c>
      <c r="G219" s="23"/>
      <c r="H219" s="23"/>
      <c r="I219" s="23"/>
      <c r="J219" s="175">
        <f>BK219</f>
        <v>0</v>
      </c>
      <c r="K219" s="176"/>
      <c r="L219" s="23"/>
      <c r="M219" s="22"/>
      <c r="N219" s="23"/>
      <c r="O219" s="23"/>
      <c r="P219" s="24">
        <f>SUM(P222:P227)</f>
        <v>0</v>
      </c>
      <c r="Q219" s="23"/>
      <c r="R219" s="24">
        <f>SUM(R222:R227)</f>
        <v>0</v>
      </c>
      <c r="S219" s="23"/>
      <c r="T219" s="25">
        <f>SUM(T222:T227)</f>
        <v>0</v>
      </c>
      <c r="AR219" s="26" t="s">
        <v>74</v>
      </c>
      <c r="AT219" s="27" t="s">
        <v>67</v>
      </c>
      <c r="AU219" s="27" t="s">
        <v>68</v>
      </c>
      <c r="AY219" s="26" t="s">
        <v>130</v>
      </c>
      <c r="BK219" s="28">
        <f>SUM(BK222:BK227)</f>
        <v>0</v>
      </c>
    </row>
    <row r="220" spans="1:65" s="5" customFormat="1" ht="10.15" customHeight="1" x14ac:dyDescent="0.2">
      <c r="B220" s="177"/>
      <c r="C220" s="16"/>
      <c r="D220" s="178" t="s">
        <v>340</v>
      </c>
      <c r="E220" s="16"/>
      <c r="F220" s="179" t="s">
        <v>1217</v>
      </c>
      <c r="G220" s="16"/>
      <c r="H220" s="180">
        <f>1.26*0.9</f>
        <v>1.1340000000000001</v>
      </c>
      <c r="I220" s="16"/>
      <c r="J220" s="16"/>
      <c r="K220" s="181"/>
      <c r="L220" s="16"/>
      <c r="S220" s="129"/>
      <c r="AS220" s="126" t="s">
        <v>148</v>
      </c>
      <c r="AT220" s="126" t="s">
        <v>74</v>
      </c>
    </row>
    <row r="221" spans="1:65" s="5" customFormat="1" ht="10.15" customHeight="1" x14ac:dyDescent="0.2">
      <c r="B221" s="177"/>
      <c r="C221" s="16"/>
      <c r="D221" s="178" t="s">
        <v>340</v>
      </c>
      <c r="E221" s="16"/>
      <c r="F221" s="179" t="s">
        <v>1215</v>
      </c>
      <c r="G221" s="180"/>
      <c r="H221" s="16"/>
      <c r="I221" s="16"/>
      <c r="J221" s="16"/>
      <c r="K221" s="181"/>
      <c r="L221" s="16"/>
      <c r="S221" s="129"/>
      <c r="AS221" s="126" t="s">
        <v>148</v>
      </c>
      <c r="AT221" s="126" t="s">
        <v>74</v>
      </c>
    </row>
    <row r="222" spans="1:65" s="5" customFormat="1" ht="16.5" customHeight="1" x14ac:dyDescent="0.2">
      <c r="A222" s="105"/>
      <c r="B222" s="140"/>
      <c r="C222" s="33" t="s">
        <v>298</v>
      </c>
      <c r="D222" s="33" t="s">
        <v>131</v>
      </c>
      <c r="E222" s="34" t="s">
        <v>1024</v>
      </c>
      <c r="F222" s="7" t="s">
        <v>1025</v>
      </c>
      <c r="G222" s="35" t="s">
        <v>134</v>
      </c>
      <c r="H222" s="36">
        <v>1.1339999999999999</v>
      </c>
      <c r="I222" s="1"/>
      <c r="J222" s="6">
        <f>ROUND(I222*H222,2)</f>
        <v>0</v>
      </c>
      <c r="K222" s="151" t="s">
        <v>1</v>
      </c>
      <c r="L222" s="17"/>
      <c r="M222" s="8" t="s">
        <v>1</v>
      </c>
      <c r="N222" s="9" t="s">
        <v>33</v>
      </c>
      <c r="O222" s="10">
        <v>0</v>
      </c>
      <c r="P222" s="10">
        <f>O222*H222</f>
        <v>0</v>
      </c>
      <c r="Q222" s="10">
        <v>0</v>
      </c>
      <c r="R222" s="10">
        <f>Q222*H222</f>
        <v>0</v>
      </c>
      <c r="S222" s="10">
        <v>0</v>
      </c>
      <c r="T222" s="11">
        <f>S222*H222</f>
        <v>0</v>
      </c>
      <c r="U222" s="105"/>
      <c r="V222" s="105"/>
      <c r="W222" s="105"/>
      <c r="X222" s="105"/>
      <c r="Y222" s="105"/>
      <c r="Z222" s="105"/>
      <c r="AA222" s="105"/>
      <c r="AB222" s="105"/>
      <c r="AC222" s="105"/>
      <c r="AD222" s="105"/>
      <c r="AE222" s="105"/>
      <c r="AR222" s="12" t="s">
        <v>135</v>
      </c>
      <c r="AT222" s="12" t="s">
        <v>131</v>
      </c>
      <c r="AU222" s="12" t="s">
        <v>74</v>
      </c>
      <c r="AY222" s="13" t="s">
        <v>130</v>
      </c>
      <c r="BE222" s="14">
        <f>IF(N222="základní",J222,0)</f>
        <v>0</v>
      </c>
      <c r="BF222" s="14">
        <f>IF(N222="snížená",J222,0)</f>
        <v>0</v>
      </c>
      <c r="BG222" s="14">
        <f>IF(N222="zákl. přenesená",J222,0)</f>
        <v>0</v>
      </c>
      <c r="BH222" s="14">
        <f>IF(N222="sníž. přenesená",J222,0)</f>
        <v>0</v>
      </c>
      <c r="BI222" s="14">
        <f>IF(N222="nulová",J222,0)</f>
        <v>0</v>
      </c>
      <c r="BJ222" s="13" t="s">
        <v>74</v>
      </c>
      <c r="BK222" s="14">
        <f>ROUND(I222*H222,2)</f>
        <v>0</v>
      </c>
      <c r="BL222" s="13" t="s">
        <v>135</v>
      </c>
      <c r="BM222" s="12" t="s">
        <v>286</v>
      </c>
    </row>
    <row r="223" spans="1:65" s="5" customFormat="1" ht="16.5" customHeight="1" x14ac:dyDescent="0.2">
      <c r="A223" s="105"/>
      <c r="B223" s="140"/>
      <c r="C223" s="33" t="s">
        <v>215</v>
      </c>
      <c r="D223" s="33" t="s">
        <v>131</v>
      </c>
      <c r="E223" s="34" t="s">
        <v>1026</v>
      </c>
      <c r="F223" s="7" t="s">
        <v>1027</v>
      </c>
      <c r="G223" s="35" t="s">
        <v>134</v>
      </c>
      <c r="H223" s="36">
        <v>1.1339999999999999</v>
      </c>
      <c r="I223" s="1"/>
      <c r="J223" s="6">
        <f>ROUND(I223*H223,2)</f>
        <v>0</v>
      </c>
      <c r="K223" s="151" t="s">
        <v>1</v>
      </c>
      <c r="L223" s="17"/>
      <c r="M223" s="8" t="s">
        <v>1</v>
      </c>
      <c r="N223" s="9" t="s">
        <v>33</v>
      </c>
      <c r="O223" s="10">
        <v>0</v>
      </c>
      <c r="P223" s="10">
        <f>O223*H223</f>
        <v>0</v>
      </c>
      <c r="Q223" s="10">
        <v>0</v>
      </c>
      <c r="R223" s="10">
        <f>Q223*H223</f>
        <v>0</v>
      </c>
      <c r="S223" s="10">
        <v>0</v>
      </c>
      <c r="T223" s="11">
        <f>S223*H223</f>
        <v>0</v>
      </c>
      <c r="U223" s="105"/>
      <c r="V223" s="105"/>
      <c r="W223" s="105"/>
      <c r="X223" s="105"/>
      <c r="Y223" s="105"/>
      <c r="Z223" s="105"/>
      <c r="AA223" s="105"/>
      <c r="AB223" s="105"/>
      <c r="AC223" s="105"/>
      <c r="AD223" s="105"/>
      <c r="AE223" s="105"/>
      <c r="AR223" s="12" t="s">
        <v>135</v>
      </c>
      <c r="AT223" s="12" t="s">
        <v>131</v>
      </c>
      <c r="AU223" s="12" t="s">
        <v>74</v>
      </c>
      <c r="AY223" s="13" t="s">
        <v>130</v>
      </c>
      <c r="BE223" s="14">
        <f>IF(N223="základní",J223,0)</f>
        <v>0</v>
      </c>
      <c r="BF223" s="14">
        <f>IF(N223="snížená",J223,0)</f>
        <v>0</v>
      </c>
      <c r="BG223" s="14">
        <f>IF(N223="zákl. přenesená",J223,0)</f>
        <v>0</v>
      </c>
      <c r="BH223" s="14">
        <f>IF(N223="sníž. přenesená",J223,0)</f>
        <v>0</v>
      </c>
      <c r="BI223" s="14">
        <f>IF(N223="nulová",J223,0)</f>
        <v>0</v>
      </c>
      <c r="BJ223" s="13" t="s">
        <v>74</v>
      </c>
      <c r="BK223" s="14">
        <f>ROUND(I223*H223,2)</f>
        <v>0</v>
      </c>
      <c r="BL223" s="13" t="s">
        <v>135</v>
      </c>
      <c r="BM223" s="12" t="s">
        <v>290</v>
      </c>
    </row>
    <row r="224" spans="1:65" s="5" customFormat="1" ht="16.5" customHeight="1" x14ac:dyDescent="0.2">
      <c r="A224" s="105"/>
      <c r="B224" s="140"/>
      <c r="C224" s="33" t="s">
        <v>216</v>
      </c>
      <c r="D224" s="33" t="s">
        <v>131</v>
      </c>
      <c r="E224" s="34" t="s">
        <v>1030</v>
      </c>
      <c r="F224" s="7" t="s">
        <v>1031</v>
      </c>
      <c r="G224" s="35" t="s">
        <v>134</v>
      </c>
      <c r="H224" s="36">
        <v>1.1339999999999999</v>
      </c>
      <c r="I224" s="1"/>
      <c r="J224" s="6">
        <f>ROUND(I224*H224,2)</f>
        <v>0</v>
      </c>
      <c r="K224" s="151" t="s">
        <v>1</v>
      </c>
      <c r="L224" s="17"/>
      <c r="M224" s="8" t="s">
        <v>1</v>
      </c>
      <c r="N224" s="9" t="s">
        <v>33</v>
      </c>
      <c r="O224" s="10">
        <v>0</v>
      </c>
      <c r="P224" s="10">
        <f>O224*H224</f>
        <v>0</v>
      </c>
      <c r="Q224" s="10">
        <v>0</v>
      </c>
      <c r="R224" s="10">
        <f>Q224*H224</f>
        <v>0</v>
      </c>
      <c r="S224" s="10">
        <v>0</v>
      </c>
      <c r="T224" s="11">
        <f>S224*H224</f>
        <v>0</v>
      </c>
      <c r="U224" s="105"/>
      <c r="V224" s="105"/>
      <c r="W224" s="105"/>
      <c r="X224" s="105"/>
      <c r="Y224" s="105"/>
      <c r="Z224" s="105"/>
      <c r="AA224" s="105"/>
      <c r="AB224" s="105"/>
      <c r="AC224" s="105"/>
      <c r="AD224" s="105"/>
      <c r="AE224" s="105"/>
      <c r="AR224" s="12" t="s">
        <v>135</v>
      </c>
      <c r="AT224" s="12" t="s">
        <v>131</v>
      </c>
      <c r="AU224" s="12" t="s">
        <v>74</v>
      </c>
      <c r="AY224" s="13" t="s">
        <v>130</v>
      </c>
      <c r="BE224" s="14">
        <f>IF(N224="základní",J224,0)</f>
        <v>0</v>
      </c>
      <c r="BF224" s="14">
        <f>IF(N224="snížená",J224,0)</f>
        <v>0</v>
      </c>
      <c r="BG224" s="14">
        <f>IF(N224="zákl. přenesená",J224,0)</f>
        <v>0</v>
      </c>
      <c r="BH224" s="14">
        <f>IF(N224="sníž. přenesená",J224,0)</f>
        <v>0</v>
      </c>
      <c r="BI224" s="14">
        <f>IF(N224="nulová",J224,0)</f>
        <v>0</v>
      </c>
      <c r="BJ224" s="13" t="s">
        <v>74</v>
      </c>
      <c r="BK224" s="14">
        <f>ROUND(I224*H224,2)</f>
        <v>0</v>
      </c>
      <c r="BL224" s="13" t="s">
        <v>135</v>
      </c>
      <c r="BM224" s="12" t="s">
        <v>292</v>
      </c>
    </row>
    <row r="225" spans="1:65" s="5" customFormat="1" ht="16.5" customHeight="1" x14ac:dyDescent="0.2">
      <c r="A225" s="105"/>
      <c r="B225" s="140"/>
      <c r="C225" s="33" t="s">
        <v>426</v>
      </c>
      <c r="D225" s="33" t="s">
        <v>131</v>
      </c>
      <c r="E225" s="34" t="s">
        <v>1032</v>
      </c>
      <c r="F225" s="7" t="s">
        <v>1033</v>
      </c>
      <c r="G225" s="35" t="s">
        <v>134</v>
      </c>
      <c r="H225" s="36">
        <v>2.2679999999999998</v>
      </c>
      <c r="I225" s="1"/>
      <c r="J225" s="6">
        <f>ROUND(I225*H225,2)</f>
        <v>0</v>
      </c>
      <c r="K225" s="151" t="s">
        <v>1</v>
      </c>
      <c r="L225" s="17"/>
      <c r="M225" s="8" t="s">
        <v>1</v>
      </c>
      <c r="N225" s="9" t="s">
        <v>33</v>
      </c>
      <c r="O225" s="10">
        <v>0</v>
      </c>
      <c r="P225" s="10">
        <f>O225*H225</f>
        <v>0</v>
      </c>
      <c r="Q225" s="10">
        <v>0</v>
      </c>
      <c r="R225" s="10">
        <f>Q225*H225</f>
        <v>0</v>
      </c>
      <c r="S225" s="10">
        <v>0</v>
      </c>
      <c r="T225" s="11">
        <f>S225*H225</f>
        <v>0</v>
      </c>
      <c r="U225" s="105"/>
      <c r="V225" s="105"/>
      <c r="W225" s="105"/>
      <c r="X225" s="105"/>
      <c r="Y225" s="105"/>
      <c r="Z225" s="105"/>
      <c r="AA225" s="105"/>
      <c r="AB225" s="105"/>
      <c r="AC225" s="105"/>
      <c r="AD225" s="105"/>
      <c r="AE225" s="105"/>
      <c r="AR225" s="12" t="s">
        <v>135</v>
      </c>
      <c r="AT225" s="12" t="s">
        <v>131</v>
      </c>
      <c r="AU225" s="12" t="s">
        <v>74</v>
      </c>
      <c r="AY225" s="13" t="s">
        <v>130</v>
      </c>
      <c r="BE225" s="14">
        <f>IF(N225="základní",J225,0)</f>
        <v>0</v>
      </c>
      <c r="BF225" s="14">
        <f>IF(N225="snížená",J225,0)</f>
        <v>0</v>
      </c>
      <c r="BG225" s="14">
        <f>IF(N225="zákl. přenesená",J225,0)</f>
        <v>0</v>
      </c>
      <c r="BH225" s="14">
        <f>IF(N225="sníž. přenesená",J225,0)</f>
        <v>0</v>
      </c>
      <c r="BI225" s="14">
        <f>IF(N225="nulová",J225,0)</f>
        <v>0</v>
      </c>
      <c r="BJ225" s="13" t="s">
        <v>74</v>
      </c>
      <c r="BK225" s="14">
        <f>ROUND(I225*H225,2)</f>
        <v>0</v>
      </c>
      <c r="BL225" s="13" t="s">
        <v>135</v>
      </c>
      <c r="BM225" s="12" t="s">
        <v>297</v>
      </c>
    </row>
    <row r="226" spans="1:65" s="152" customFormat="1" x14ac:dyDescent="0.2">
      <c r="B226" s="153"/>
      <c r="C226" s="154"/>
      <c r="D226" s="141" t="s">
        <v>340</v>
      </c>
      <c r="E226" s="155" t="s">
        <v>1</v>
      </c>
      <c r="F226" s="156" t="s">
        <v>1042</v>
      </c>
      <c r="G226" s="154"/>
      <c r="H226" s="157"/>
      <c r="I226" s="154"/>
      <c r="J226" s="154"/>
      <c r="K226" s="158"/>
      <c r="L226" s="154"/>
      <c r="M226" s="159"/>
      <c r="N226" s="154"/>
      <c r="O226" s="154"/>
      <c r="P226" s="154"/>
      <c r="Q226" s="154"/>
      <c r="R226" s="154"/>
      <c r="S226" s="154"/>
      <c r="T226" s="160"/>
      <c r="AT226" s="161" t="s">
        <v>340</v>
      </c>
      <c r="AU226" s="161" t="s">
        <v>74</v>
      </c>
      <c r="AV226" s="152" t="s">
        <v>76</v>
      </c>
      <c r="AW226" s="152" t="s">
        <v>25</v>
      </c>
      <c r="AX226" s="152" t="s">
        <v>68</v>
      </c>
      <c r="AY226" s="161" t="s">
        <v>130</v>
      </c>
    </row>
    <row r="227" spans="1:65" s="162" customFormat="1" x14ac:dyDescent="0.2">
      <c r="B227" s="163"/>
      <c r="C227" s="164"/>
      <c r="D227" s="141" t="s">
        <v>340</v>
      </c>
      <c r="E227" s="165" t="s">
        <v>1</v>
      </c>
      <c r="F227" s="166" t="s">
        <v>342</v>
      </c>
      <c r="G227" s="164"/>
      <c r="H227" s="167">
        <v>2.2679999999999998</v>
      </c>
      <c r="I227" s="164"/>
      <c r="J227" s="164"/>
      <c r="K227" s="168"/>
      <c r="L227" s="164"/>
      <c r="M227" s="169"/>
      <c r="N227" s="164"/>
      <c r="O227" s="164"/>
      <c r="P227" s="164"/>
      <c r="Q227" s="164"/>
      <c r="R227" s="164"/>
      <c r="S227" s="164"/>
      <c r="T227" s="170"/>
      <c r="AT227" s="171" t="s">
        <v>340</v>
      </c>
      <c r="AU227" s="171" t="s">
        <v>74</v>
      </c>
      <c r="AV227" s="162" t="s">
        <v>135</v>
      </c>
      <c r="AW227" s="162" t="s">
        <v>25</v>
      </c>
      <c r="AX227" s="162" t="s">
        <v>74</v>
      </c>
      <c r="AY227" s="171" t="s">
        <v>130</v>
      </c>
    </row>
    <row r="228" spans="1:65" s="20" customFormat="1" ht="25.9" customHeight="1" x14ac:dyDescent="0.2">
      <c r="B228" s="172"/>
      <c r="C228" s="23"/>
      <c r="D228" s="173" t="s">
        <v>67</v>
      </c>
      <c r="E228" s="174" t="s">
        <v>212</v>
      </c>
      <c r="F228" s="174" t="s">
        <v>1059</v>
      </c>
      <c r="G228" s="23"/>
      <c r="H228" s="23"/>
      <c r="I228" s="23"/>
      <c r="J228" s="175">
        <f>BK228</f>
        <v>0</v>
      </c>
      <c r="K228" s="176"/>
      <c r="L228" s="23"/>
      <c r="M228" s="22"/>
      <c r="N228" s="23"/>
      <c r="O228" s="23"/>
      <c r="P228" s="24">
        <f>SUM(P231:P234)</f>
        <v>0</v>
      </c>
      <c r="Q228" s="23"/>
      <c r="R228" s="24">
        <f>SUM(R231:R234)</f>
        <v>0</v>
      </c>
      <c r="S228" s="23"/>
      <c r="T228" s="25">
        <f>SUM(T231:T234)</f>
        <v>0</v>
      </c>
      <c r="AR228" s="26" t="s">
        <v>74</v>
      </c>
      <c r="AT228" s="27" t="s">
        <v>67</v>
      </c>
      <c r="AU228" s="27" t="s">
        <v>68</v>
      </c>
      <c r="AY228" s="26" t="s">
        <v>130</v>
      </c>
      <c r="BK228" s="28">
        <f>SUM(BK231:BK234)</f>
        <v>0</v>
      </c>
    </row>
    <row r="229" spans="1:65" s="5" customFormat="1" ht="10.15" customHeight="1" x14ac:dyDescent="0.2">
      <c r="B229" s="177"/>
      <c r="C229" s="16"/>
      <c r="D229" s="178" t="s">
        <v>340</v>
      </c>
      <c r="E229" s="16"/>
      <c r="F229" s="179" t="s">
        <v>1223</v>
      </c>
      <c r="G229" s="16"/>
      <c r="H229" s="180">
        <f>(1.2*0.96)/2</f>
        <v>0.57599999999999996</v>
      </c>
      <c r="I229" s="16"/>
      <c r="J229" s="16"/>
      <c r="K229" s="181"/>
      <c r="L229" s="16"/>
      <c r="S229" s="129"/>
      <c r="AS229" s="126" t="s">
        <v>148</v>
      </c>
      <c r="AT229" s="126" t="s">
        <v>74</v>
      </c>
    </row>
    <row r="230" spans="1:65" s="5" customFormat="1" ht="10.15" customHeight="1" x14ac:dyDescent="0.2">
      <c r="B230" s="177"/>
      <c r="C230" s="16"/>
      <c r="D230" s="178" t="s">
        <v>340</v>
      </c>
      <c r="E230" s="16"/>
      <c r="F230" s="179" t="s">
        <v>1215</v>
      </c>
      <c r="G230" s="180"/>
      <c r="H230" s="16"/>
      <c r="I230" s="16"/>
      <c r="J230" s="16"/>
      <c r="K230" s="181"/>
      <c r="L230" s="16"/>
      <c r="S230" s="129"/>
      <c r="AS230" s="126" t="s">
        <v>148</v>
      </c>
      <c r="AT230" s="126" t="s">
        <v>74</v>
      </c>
    </row>
    <row r="231" spans="1:65" s="5" customFormat="1" ht="16.5" customHeight="1" x14ac:dyDescent="0.2">
      <c r="A231" s="105"/>
      <c r="B231" s="140"/>
      <c r="C231" s="33" t="s">
        <v>219</v>
      </c>
      <c r="D231" s="33" t="s">
        <v>131</v>
      </c>
      <c r="E231" s="34" t="s">
        <v>1060</v>
      </c>
      <c r="F231" s="7" t="s">
        <v>1061</v>
      </c>
      <c r="G231" s="35" t="s">
        <v>134</v>
      </c>
      <c r="H231" s="36">
        <v>0.57599999999999996</v>
      </c>
      <c r="I231" s="1"/>
      <c r="J231" s="6">
        <f>ROUND(I231*H231,2)</f>
        <v>0</v>
      </c>
      <c r="K231" s="151" t="s">
        <v>1</v>
      </c>
      <c r="L231" s="17"/>
      <c r="M231" s="8" t="s">
        <v>1</v>
      </c>
      <c r="N231" s="9" t="s">
        <v>33</v>
      </c>
      <c r="O231" s="10">
        <v>0</v>
      </c>
      <c r="P231" s="10">
        <f>O231*H231</f>
        <v>0</v>
      </c>
      <c r="Q231" s="10">
        <v>0</v>
      </c>
      <c r="R231" s="10">
        <f>Q231*H231</f>
        <v>0</v>
      </c>
      <c r="S231" s="10">
        <v>0</v>
      </c>
      <c r="T231" s="11">
        <f>S231*H231</f>
        <v>0</v>
      </c>
      <c r="U231" s="105"/>
      <c r="V231" s="105"/>
      <c r="W231" s="105"/>
      <c r="X231" s="105"/>
      <c r="Y231" s="105"/>
      <c r="Z231" s="105"/>
      <c r="AA231" s="105"/>
      <c r="AB231" s="105"/>
      <c r="AC231" s="105"/>
      <c r="AD231" s="105"/>
      <c r="AE231" s="105"/>
      <c r="AR231" s="12" t="s">
        <v>135</v>
      </c>
      <c r="AT231" s="12" t="s">
        <v>131</v>
      </c>
      <c r="AU231" s="12" t="s">
        <v>74</v>
      </c>
      <c r="AY231" s="13" t="s">
        <v>130</v>
      </c>
      <c r="BE231" s="14">
        <f>IF(N231="základní",J231,0)</f>
        <v>0</v>
      </c>
      <c r="BF231" s="14">
        <f>IF(N231="snížená",J231,0)</f>
        <v>0</v>
      </c>
      <c r="BG231" s="14">
        <f>IF(N231="zákl. přenesená",J231,0)</f>
        <v>0</v>
      </c>
      <c r="BH231" s="14">
        <f>IF(N231="sníž. přenesená",J231,0)</f>
        <v>0</v>
      </c>
      <c r="BI231" s="14">
        <f>IF(N231="nulová",J231,0)</f>
        <v>0</v>
      </c>
      <c r="BJ231" s="13" t="s">
        <v>74</v>
      </c>
      <c r="BK231" s="14">
        <f>ROUND(I231*H231,2)</f>
        <v>0</v>
      </c>
      <c r="BL231" s="13" t="s">
        <v>135</v>
      </c>
      <c r="BM231" s="12" t="s">
        <v>301</v>
      </c>
    </row>
    <row r="232" spans="1:65" s="5" customFormat="1" ht="21.75" customHeight="1" x14ac:dyDescent="0.2">
      <c r="A232" s="105"/>
      <c r="B232" s="140"/>
      <c r="C232" s="33" t="s">
        <v>431</v>
      </c>
      <c r="D232" s="33" t="s">
        <v>131</v>
      </c>
      <c r="E232" s="34" t="s">
        <v>1062</v>
      </c>
      <c r="F232" s="7" t="s">
        <v>1063</v>
      </c>
      <c r="G232" s="35" t="s">
        <v>134</v>
      </c>
      <c r="H232" s="36">
        <v>0.57599999999999996</v>
      </c>
      <c r="I232" s="1"/>
      <c r="J232" s="6">
        <f>ROUND(I232*H232,2)</f>
        <v>0</v>
      </c>
      <c r="K232" s="151" t="s">
        <v>1</v>
      </c>
      <c r="L232" s="17"/>
      <c r="M232" s="8" t="s">
        <v>1</v>
      </c>
      <c r="N232" s="9" t="s">
        <v>33</v>
      </c>
      <c r="O232" s="10">
        <v>0</v>
      </c>
      <c r="P232" s="10">
        <f>O232*H232</f>
        <v>0</v>
      </c>
      <c r="Q232" s="10">
        <v>0</v>
      </c>
      <c r="R232" s="10">
        <f>Q232*H232</f>
        <v>0</v>
      </c>
      <c r="S232" s="10">
        <v>0</v>
      </c>
      <c r="T232" s="11">
        <f>S232*H232</f>
        <v>0</v>
      </c>
      <c r="U232" s="105"/>
      <c r="V232" s="105"/>
      <c r="W232" s="105"/>
      <c r="X232" s="105"/>
      <c r="Y232" s="105"/>
      <c r="Z232" s="105"/>
      <c r="AA232" s="105"/>
      <c r="AB232" s="105"/>
      <c r="AC232" s="105"/>
      <c r="AD232" s="105"/>
      <c r="AE232" s="105"/>
      <c r="AR232" s="12" t="s">
        <v>135</v>
      </c>
      <c r="AT232" s="12" t="s">
        <v>131</v>
      </c>
      <c r="AU232" s="12" t="s">
        <v>74</v>
      </c>
      <c r="AY232" s="13" t="s">
        <v>130</v>
      </c>
      <c r="BE232" s="14">
        <f>IF(N232="základní",J232,0)</f>
        <v>0</v>
      </c>
      <c r="BF232" s="14">
        <f>IF(N232="snížená",J232,0)</f>
        <v>0</v>
      </c>
      <c r="BG232" s="14">
        <f>IF(N232="zákl. přenesená",J232,0)</f>
        <v>0</v>
      </c>
      <c r="BH232" s="14">
        <f>IF(N232="sníž. přenesená",J232,0)</f>
        <v>0</v>
      </c>
      <c r="BI232" s="14">
        <f>IF(N232="nulová",J232,0)</f>
        <v>0</v>
      </c>
      <c r="BJ232" s="13" t="s">
        <v>74</v>
      </c>
      <c r="BK232" s="14">
        <f>ROUND(I232*H232,2)</f>
        <v>0</v>
      </c>
      <c r="BL232" s="13" t="s">
        <v>135</v>
      </c>
      <c r="BM232" s="12" t="s">
        <v>417</v>
      </c>
    </row>
    <row r="233" spans="1:65" s="5" customFormat="1" ht="16.5" customHeight="1" x14ac:dyDescent="0.2">
      <c r="A233" s="105"/>
      <c r="B233" s="140"/>
      <c r="C233" s="33" t="s">
        <v>222</v>
      </c>
      <c r="D233" s="33" t="s">
        <v>131</v>
      </c>
      <c r="E233" s="34" t="s">
        <v>1064</v>
      </c>
      <c r="F233" s="7" t="s">
        <v>1065</v>
      </c>
      <c r="G233" s="35" t="s">
        <v>134</v>
      </c>
      <c r="H233" s="36">
        <v>0.57599999999999996</v>
      </c>
      <c r="I233" s="1"/>
      <c r="J233" s="6">
        <f>ROUND(I233*H233,2)</f>
        <v>0</v>
      </c>
      <c r="K233" s="151" t="s">
        <v>1</v>
      </c>
      <c r="L233" s="17"/>
      <c r="M233" s="8" t="s">
        <v>1</v>
      </c>
      <c r="N233" s="9" t="s">
        <v>33</v>
      </c>
      <c r="O233" s="10">
        <v>0</v>
      </c>
      <c r="P233" s="10">
        <f>O233*H233</f>
        <v>0</v>
      </c>
      <c r="Q233" s="10">
        <v>0</v>
      </c>
      <c r="R233" s="10">
        <f>Q233*H233</f>
        <v>0</v>
      </c>
      <c r="S233" s="10">
        <v>0</v>
      </c>
      <c r="T233" s="11">
        <f>S233*H233</f>
        <v>0</v>
      </c>
      <c r="U233" s="105"/>
      <c r="V233" s="105"/>
      <c r="W233" s="105"/>
      <c r="X233" s="105"/>
      <c r="Y233" s="105"/>
      <c r="Z233" s="105"/>
      <c r="AA233" s="105"/>
      <c r="AB233" s="105"/>
      <c r="AC233" s="105"/>
      <c r="AD233" s="105"/>
      <c r="AE233" s="105"/>
      <c r="AR233" s="12" t="s">
        <v>135</v>
      </c>
      <c r="AT233" s="12" t="s">
        <v>131</v>
      </c>
      <c r="AU233" s="12" t="s">
        <v>74</v>
      </c>
      <c r="AY233" s="13" t="s">
        <v>130</v>
      </c>
      <c r="BE233" s="14">
        <f>IF(N233="základní",J233,0)</f>
        <v>0</v>
      </c>
      <c r="BF233" s="14">
        <f>IF(N233="snížená",J233,0)</f>
        <v>0</v>
      </c>
      <c r="BG233" s="14">
        <f>IF(N233="zákl. přenesená",J233,0)</f>
        <v>0</v>
      </c>
      <c r="BH233" s="14">
        <f>IF(N233="sníž. přenesená",J233,0)</f>
        <v>0</v>
      </c>
      <c r="BI233" s="14">
        <f>IF(N233="nulová",J233,0)</f>
        <v>0</v>
      </c>
      <c r="BJ233" s="13" t="s">
        <v>74</v>
      </c>
      <c r="BK233" s="14">
        <f>ROUND(I233*H233,2)</f>
        <v>0</v>
      </c>
      <c r="BL233" s="13" t="s">
        <v>135</v>
      </c>
      <c r="BM233" s="12" t="s">
        <v>420</v>
      </c>
    </row>
    <row r="234" spans="1:65" s="5" customFormat="1" ht="16.5" customHeight="1" x14ac:dyDescent="0.2">
      <c r="A234" s="105"/>
      <c r="B234" s="140"/>
      <c r="C234" s="33" t="s">
        <v>437</v>
      </c>
      <c r="D234" s="33" t="s">
        <v>131</v>
      </c>
      <c r="E234" s="34" t="s">
        <v>1066</v>
      </c>
      <c r="F234" s="7" t="s">
        <v>1067</v>
      </c>
      <c r="G234" s="35" t="s">
        <v>134</v>
      </c>
      <c r="H234" s="36">
        <v>0.57599999999999996</v>
      </c>
      <c r="I234" s="1"/>
      <c r="J234" s="6">
        <f>ROUND(I234*H234,2)</f>
        <v>0</v>
      </c>
      <c r="K234" s="151" t="s">
        <v>1</v>
      </c>
      <c r="L234" s="17"/>
      <c r="M234" s="8" t="s">
        <v>1</v>
      </c>
      <c r="N234" s="9" t="s">
        <v>33</v>
      </c>
      <c r="O234" s="10">
        <v>0</v>
      </c>
      <c r="P234" s="10">
        <f>O234*H234</f>
        <v>0</v>
      </c>
      <c r="Q234" s="10">
        <v>0</v>
      </c>
      <c r="R234" s="10">
        <f>Q234*H234</f>
        <v>0</v>
      </c>
      <c r="S234" s="10">
        <v>0</v>
      </c>
      <c r="T234" s="11">
        <f>S234*H234</f>
        <v>0</v>
      </c>
      <c r="U234" s="105"/>
      <c r="V234" s="105"/>
      <c r="W234" s="105"/>
      <c r="X234" s="105"/>
      <c r="Y234" s="105"/>
      <c r="Z234" s="105"/>
      <c r="AA234" s="105"/>
      <c r="AB234" s="105"/>
      <c r="AC234" s="105"/>
      <c r="AD234" s="105"/>
      <c r="AE234" s="105"/>
      <c r="AR234" s="12" t="s">
        <v>135</v>
      </c>
      <c r="AT234" s="12" t="s">
        <v>131</v>
      </c>
      <c r="AU234" s="12" t="s">
        <v>74</v>
      </c>
      <c r="AY234" s="13" t="s">
        <v>130</v>
      </c>
      <c r="BE234" s="14">
        <f>IF(N234="základní",J234,0)</f>
        <v>0</v>
      </c>
      <c r="BF234" s="14">
        <f>IF(N234="snížená",J234,0)</f>
        <v>0</v>
      </c>
      <c r="BG234" s="14">
        <f>IF(N234="zákl. přenesená",J234,0)</f>
        <v>0</v>
      </c>
      <c r="BH234" s="14">
        <f>IF(N234="sníž. přenesená",J234,0)</f>
        <v>0</v>
      </c>
      <c r="BI234" s="14">
        <f>IF(N234="nulová",J234,0)</f>
        <v>0</v>
      </c>
      <c r="BJ234" s="13" t="s">
        <v>74</v>
      </c>
      <c r="BK234" s="14">
        <f>ROUND(I234*H234,2)</f>
        <v>0</v>
      </c>
      <c r="BL234" s="13" t="s">
        <v>135</v>
      </c>
      <c r="BM234" s="12" t="s">
        <v>423</v>
      </c>
    </row>
    <row r="235" spans="1:65" s="20" customFormat="1" ht="25.9" customHeight="1" x14ac:dyDescent="0.2">
      <c r="B235" s="172"/>
      <c r="C235" s="23"/>
      <c r="D235" s="173" t="s">
        <v>67</v>
      </c>
      <c r="E235" s="174" t="s">
        <v>220</v>
      </c>
      <c r="F235" s="174" t="s">
        <v>1068</v>
      </c>
      <c r="G235" s="23"/>
      <c r="H235" s="23"/>
      <c r="I235" s="23"/>
      <c r="J235" s="175">
        <f>BK235</f>
        <v>0</v>
      </c>
      <c r="K235" s="176"/>
      <c r="L235" s="23"/>
      <c r="M235" s="22"/>
      <c r="N235" s="23"/>
      <c r="O235" s="23"/>
      <c r="P235" s="24">
        <f>SUM(P238:P243)</f>
        <v>0</v>
      </c>
      <c r="Q235" s="23"/>
      <c r="R235" s="24">
        <f>SUM(R238:R243)</f>
        <v>0</v>
      </c>
      <c r="S235" s="23"/>
      <c r="T235" s="25">
        <f>SUM(T238:T243)</f>
        <v>0</v>
      </c>
      <c r="AR235" s="26" t="s">
        <v>74</v>
      </c>
      <c r="AT235" s="27" t="s">
        <v>67</v>
      </c>
      <c r="AU235" s="27" t="s">
        <v>68</v>
      </c>
      <c r="AY235" s="26" t="s">
        <v>130</v>
      </c>
      <c r="BK235" s="28">
        <f>SUM(BK238:BK243)</f>
        <v>0</v>
      </c>
    </row>
    <row r="236" spans="1:65" s="5" customFormat="1" ht="10.15" customHeight="1" x14ac:dyDescent="0.2">
      <c r="B236" s="177"/>
      <c r="C236" s="16"/>
      <c r="D236" s="178" t="s">
        <v>340</v>
      </c>
      <c r="E236" s="16"/>
      <c r="F236" s="179" t="s">
        <v>1224</v>
      </c>
      <c r="G236" s="16"/>
      <c r="H236" s="180">
        <f>5.47*1.1</f>
        <v>6.0170000000000003</v>
      </c>
      <c r="I236" s="16"/>
      <c r="J236" s="16"/>
      <c r="K236" s="181"/>
      <c r="L236" s="16"/>
      <c r="S236" s="129"/>
      <c r="AS236" s="126" t="s">
        <v>148</v>
      </c>
      <c r="AT236" s="126" t="s">
        <v>74</v>
      </c>
    </row>
    <row r="237" spans="1:65" s="5" customFormat="1" ht="10.15" customHeight="1" x14ac:dyDescent="0.2">
      <c r="B237" s="177"/>
      <c r="C237" s="16"/>
      <c r="D237" s="178" t="s">
        <v>340</v>
      </c>
      <c r="E237" s="16"/>
      <c r="F237" s="179" t="s">
        <v>1215</v>
      </c>
      <c r="G237" s="180"/>
      <c r="H237" s="16"/>
      <c r="I237" s="16"/>
      <c r="J237" s="16"/>
      <c r="K237" s="181"/>
      <c r="L237" s="16"/>
      <c r="S237" s="129"/>
      <c r="AS237" s="126" t="s">
        <v>148</v>
      </c>
      <c r="AT237" s="126" t="s">
        <v>74</v>
      </c>
    </row>
    <row r="238" spans="1:65" s="5" customFormat="1" ht="16.5" customHeight="1" x14ac:dyDescent="0.2">
      <c r="A238" s="105"/>
      <c r="B238" s="140"/>
      <c r="C238" s="33" t="s">
        <v>224</v>
      </c>
      <c r="D238" s="33" t="s">
        <v>131</v>
      </c>
      <c r="E238" s="34" t="s">
        <v>1024</v>
      </c>
      <c r="F238" s="7" t="s">
        <v>1025</v>
      </c>
      <c r="G238" s="35" t="s">
        <v>134</v>
      </c>
      <c r="H238" s="36">
        <v>6.0170000000000003</v>
      </c>
      <c r="I238" s="1"/>
      <c r="J238" s="6">
        <f>ROUND(I238*H238,2)</f>
        <v>0</v>
      </c>
      <c r="K238" s="151" t="s">
        <v>1</v>
      </c>
      <c r="L238" s="17"/>
      <c r="M238" s="8" t="s">
        <v>1</v>
      </c>
      <c r="N238" s="9" t="s">
        <v>33</v>
      </c>
      <c r="O238" s="10">
        <v>0</v>
      </c>
      <c r="P238" s="10">
        <f>O238*H238</f>
        <v>0</v>
      </c>
      <c r="Q238" s="10">
        <v>0</v>
      </c>
      <c r="R238" s="10">
        <f>Q238*H238</f>
        <v>0</v>
      </c>
      <c r="S238" s="10">
        <v>0</v>
      </c>
      <c r="T238" s="11">
        <f>S238*H238</f>
        <v>0</v>
      </c>
      <c r="U238" s="105"/>
      <c r="V238" s="105"/>
      <c r="W238" s="105"/>
      <c r="X238" s="105"/>
      <c r="Y238" s="105"/>
      <c r="Z238" s="105"/>
      <c r="AA238" s="105"/>
      <c r="AB238" s="105"/>
      <c r="AC238" s="105"/>
      <c r="AD238" s="105"/>
      <c r="AE238" s="105"/>
      <c r="AR238" s="12" t="s">
        <v>135</v>
      </c>
      <c r="AT238" s="12" t="s">
        <v>131</v>
      </c>
      <c r="AU238" s="12" t="s">
        <v>74</v>
      </c>
      <c r="AY238" s="13" t="s">
        <v>130</v>
      </c>
      <c r="BE238" s="14">
        <f>IF(N238="základní",J238,0)</f>
        <v>0</v>
      </c>
      <c r="BF238" s="14">
        <f>IF(N238="snížená",J238,0)</f>
        <v>0</v>
      </c>
      <c r="BG238" s="14">
        <f>IF(N238="zákl. přenesená",J238,0)</f>
        <v>0</v>
      </c>
      <c r="BH238" s="14">
        <f>IF(N238="sníž. přenesená",J238,0)</f>
        <v>0</v>
      </c>
      <c r="BI238" s="14">
        <f>IF(N238="nulová",J238,0)</f>
        <v>0</v>
      </c>
      <c r="BJ238" s="13" t="s">
        <v>74</v>
      </c>
      <c r="BK238" s="14">
        <f>ROUND(I238*H238,2)</f>
        <v>0</v>
      </c>
      <c r="BL238" s="13" t="s">
        <v>135</v>
      </c>
      <c r="BM238" s="12" t="s">
        <v>425</v>
      </c>
    </row>
    <row r="239" spans="1:65" s="5" customFormat="1" ht="16.5" customHeight="1" x14ac:dyDescent="0.2">
      <c r="A239" s="105"/>
      <c r="B239" s="140"/>
      <c r="C239" s="33" t="s">
        <v>443</v>
      </c>
      <c r="D239" s="33" t="s">
        <v>131</v>
      </c>
      <c r="E239" s="34" t="s">
        <v>1026</v>
      </c>
      <c r="F239" s="7" t="s">
        <v>1027</v>
      </c>
      <c r="G239" s="35" t="s">
        <v>134</v>
      </c>
      <c r="H239" s="36">
        <v>6.0170000000000003</v>
      </c>
      <c r="I239" s="1"/>
      <c r="J239" s="6">
        <f>ROUND(I239*H239,2)</f>
        <v>0</v>
      </c>
      <c r="K239" s="151" t="s">
        <v>1</v>
      </c>
      <c r="L239" s="17"/>
      <c r="M239" s="8" t="s">
        <v>1</v>
      </c>
      <c r="N239" s="9" t="s">
        <v>33</v>
      </c>
      <c r="O239" s="10">
        <v>0</v>
      </c>
      <c r="P239" s="10">
        <f>O239*H239</f>
        <v>0</v>
      </c>
      <c r="Q239" s="10">
        <v>0</v>
      </c>
      <c r="R239" s="10">
        <f>Q239*H239</f>
        <v>0</v>
      </c>
      <c r="S239" s="10">
        <v>0</v>
      </c>
      <c r="T239" s="11">
        <f>S239*H239</f>
        <v>0</v>
      </c>
      <c r="U239" s="105"/>
      <c r="V239" s="105"/>
      <c r="W239" s="105"/>
      <c r="X239" s="105"/>
      <c r="Y239" s="105"/>
      <c r="Z239" s="105"/>
      <c r="AA239" s="105"/>
      <c r="AB239" s="105"/>
      <c r="AC239" s="105"/>
      <c r="AD239" s="105"/>
      <c r="AE239" s="105"/>
      <c r="AR239" s="12" t="s">
        <v>135</v>
      </c>
      <c r="AT239" s="12" t="s">
        <v>131</v>
      </c>
      <c r="AU239" s="12" t="s">
        <v>74</v>
      </c>
      <c r="AY239" s="13" t="s">
        <v>130</v>
      </c>
      <c r="BE239" s="14">
        <f>IF(N239="základní",J239,0)</f>
        <v>0</v>
      </c>
      <c r="BF239" s="14">
        <f>IF(N239="snížená",J239,0)</f>
        <v>0</v>
      </c>
      <c r="BG239" s="14">
        <f>IF(N239="zákl. přenesená",J239,0)</f>
        <v>0</v>
      </c>
      <c r="BH239" s="14">
        <f>IF(N239="sníž. přenesená",J239,0)</f>
        <v>0</v>
      </c>
      <c r="BI239" s="14">
        <f>IF(N239="nulová",J239,0)</f>
        <v>0</v>
      </c>
      <c r="BJ239" s="13" t="s">
        <v>74</v>
      </c>
      <c r="BK239" s="14">
        <f>ROUND(I239*H239,2)</f>
        <v>0</v>
      </c>
      <c r="BL239" s="13" t="s">
        <v>135</v>
      </c>
      <c r="BM239" s="12" t="s">
        <v>427</v>
      </c>
    </row>
    <row r="240" spans="1:65" s="5" customFormat="1" ht="16.5" customHeight="1" x14ac:dyDescent="0.2">
      <c r="A240" s="105"/>
      <c r="B240" s="140"/>
      <c r="C240" s="33" t="s">
        <v>450</v>
      </c>
      <c r="D240" s="33" t="s">
        <v>131</v>
      </c>
      <c r="E240" s="34" t="s">
        <v>1030</v>
      </c>
      <c r="F240" s="7" t="s">
        <v>1031</v>
      </c>
      <c r="G240" s="35" t="s">
        <v>134</v>
      </c>
      <c r="H240" s="36">
        <v>6.0170000000000003</v>
      </c>
      <c r="I240" s="1"/>
      <c r="J240" s="6">
        <f>ROUND(I240*H240,2)</f>
        <v>0</v>
      </c>
      <c r="K240" s="151" t="s">
        <v>1</v>
      </c>
      <c r="L240" s="17"/>
      <c r="M240" s="8" t="s">
        <v>1</v>
      </c>
      <c r="N240" s="9" t="s">
        <v>33</v>
      </c>
      <c r="O240" s="10">
        <v>0</v>
      </c>
      <c r="P240" s="10">
        <f>O240*H240</f>
        <v>0</v>
      </c>
      <c r="Q240" s="10">
        <v>0</v>
      </c>
      <c r="R240" s="10">
        <f>Q240*H240</f>
        <v>0</v>
      </c>
      <c r="S240" s="10">
        <v>0</v>
      </c>
      <c r="T240" s="11">
        <f>S240*H240</f>
        <v>0</v>
      </c>
      <c r="U240" s="105"/>
      <c r="V240" s="105"/>
      <c r="W240" s="105"/>
      <c r="X240" s="105"/>
      <c r="Y240" s="105"/>
      <c r="Z240" s="105"/>
      <c r="AA240" s="105"/>
      <c r="AB240" s="105"/>
      <c r="AC240" s="105"/>
      <c r="AD240" s="105"/>
      <c r="AE240" s="105"/>
      <c r="AR240" s="12" t="s">
        <v>135</v>
      </c>
      <c r="AT240" s="12" t="s">
        <v>131</v>
      </c>
      <c r="AU240" s="12" t="s">
        <v>74</v>
      </c>
      <c r="AY240" s="13" t="s">
        <v>130</v>
      </c>
      <c r="BE240" s="14">
        <f>IF(N240="základní",J240,0)</f>
        <v>0</v>
      </c>
      <c r="BF240" s="14">
        <f>IF(N240="snížená",J240,0)</f>
        <v>0</v>
      </c>
      <c r="BG240" s="14">
        <f>IF(N240="zákl. přenesená",J240,0)</f>
        <v>0</v>
      </c>
      <c r="BH240" s="14">
        <f>IF(N240="sníž. přenesená",J240,0)</f>
        <v>0</v>
      </c>
      <c r="BI240" s="14">
        <f>IF(N240="nulová",J240,0)</f>
        <v>0</v>
      </c>
      <c r="BJ240" s="13" t="s">
        <v>74</v>
      </c>
      <c r="BK240" s="14">
        <f>ROUND(I240*H240,2)</f>
        <v>0</v>
      </c>
      <c r="BL240" s="13" t="s">
        <v>135</v>
      </c>
      <c r="BM240" s="12" t="s">
        <v>429</v>
      </c>
    </row>
    <row r="241" spans="1:65" s="5" customFormat="1" ht="16.5" customHeight="1" x14ac:dyDescent="0.2">
      <c r="A241" s="105"/>
      <c r="B241" s="140"/>
      <c r="C241" s="33" t="s">
        <v>231</v>
      </c>
      <c r="D241" s="33" t="s">
        <v>131</v>
      </c>
      <c r="E241" s="34" t="s">
        <v>1032</v>
      </c>
      <c r="F241" s="7" t="s">
        <v>1033</v>
      </c>
      <c r="G241" s="35" t="s">
        <v>134</v>
      </c>
      <c r="H241" s="36">
        <v>12.034000000000001</v>
      </c>
      <c r="I241" s="1"/>
      <c r="J241" s="6">
        <f>ROUND(I241*H241,2)</f>
        <v>0</v>
      </c>
      <c r="K241" s="151" t="s">
        <v>1</v>
      </c>
      <c r="L241" s="17"/>
      <c r="M241" s="8" t="s">
        <v>1</v>
      </c>
      <c r="N241" s="9" t="s">
        <v>33</v>
      </c>
      <c r="O241" s="10">
        <v>0</v>
      </c>
      <c r="P241" s="10">
        <f>O241*H241</f>
        <v>0</v>
      </c>
      <c r="Q241" s="10">
        <v>0</v>
      </c>
      <c r="R241" s="10">
        <f>Q241*H241</f>
        <v>0</v>
      </c>
      <c r="S241" s="10">
        <v>0</v>
      </c>
      <c r="T241" s="11">
        <f>S241*H241</f>
        <v>0</v>
      </c>
      <c r="U241" s="105"/>
      <c r="V241" s="105"/>
      <c r="W241" s="105"/>
      <c r="X241" s="105"/>
      <c r="Y241" s="105"/>
      <c r="Z241" s="105"/>
      <c r="AA241" s="105"/>
      <c r="AB241" s="105"/>
      <c r="AC241" s="105"/>
      <c r="AD241" s="105"/>
      <c r="AE241" s="105"/>
      <c r="AR241" s="12" t="s">
        <v>135</v>
      </c>
      <c r="AT241" s="12" t="s">
        <v>131</v>
      </c>
      <c r="AU241" s="12" t="s">
        <v>74</v>
      </c>
      <c r="AY241" s="13" t="s">
        <v>130</v>
      </c>
      <c r="BE241" s="14">
        <f>IF(N241="základní",J241,0)</f>
        <v>0</v>
      </c>
      <c r="BF241" s="14">
        <f>IF(N241="snížená",J241,0)</f>
        <v>0</v>
      </c>
      <c r="BG241" s="14">
        <f>IF(N241="zákl. přenesená",J241,0)</f>
        <v>0</v>
      </c>
      <c r="BH241" s="14">
        <f>IF(N241="sníž. přenesená",J241,0)</f>
        <v>0</v>
      </c>
      <c r="BI241" s="14">
        <f>IF(N241="nulová",J241,0)</f>
        <v>0</v>
      </c>
      <c r="BJ241" s="13" t="s">
        <v>74</v>
      </c>
      <c r="BK241" s="14">
        <f>ROUND(I241*H241,2)</f>
        <v>0</v>
      </c>
      <c r="BL241" s="13" t="s">
        <v>135</v>
      </c>
      <c r="BM241" s="12" t="s">
        <v>434</v>
      </c>
    </row>
    <row r="242" spans="1:65" s="152" customFormat="1" x14ac:dyDescent="0.2">
      <c r="B242" s="153"/>
      <c r="C242" s="154"/>
      <c r="D242" s="141" t="s">
        <v>340</v>
      </c>
      <c r="E242" s="155" t="s">
        <v>1</v>
      </c>
      <c r="F242" s="156" t="s">
        <v>1069</v>
      </c>
      <c r="G242" s="154"/>
      <c r="H242" s="157"/>
      <c r="I242" s="154"/>
      <c r="J242" s="154"/>
      <c r="K242" s="158"/>
      <c r="L242" s="154"/>
      <c r="M242" s="159"/>
      <c r="N242" s="154"/>
      <c r="O242" s="154"/>
      <c r="P242" s="154"/>
      <c r="Q242" s="154"/>
      <c r="R242" s="154"/>
      <c r="S242" s="154"/>
      <c r="T242" s="160"/>
      <c r="AT242" s="161" t="s">
        <v>340</v>
      </c>
      <c r="AU242" s="161" t="s">
        <v>74</v>
      </c>
      <c r="AV242" s="152" t="s">
        <v>76</v>
      </c>
      <c r="AW242" s="152" t="s">
        <v>25</v>
      </c>
      <c r="AX242" s="152" t="s">
        <v>68</v>
      </c>
      <c r="AY242" s="161" t="s">
        <v>130</v>
      </c>
    </row>
    <row r="243" spans="1:65" s="162" customFormat="1" x14ac:dyDescent="0.2">
      <c r="B243" s="163"/>
      <c r="C243" s="164"/>
      <c r="D243" s="141" t="s">
        <v>340</v>
      </c>
      <c r="E243" s="165" t="s">
        <v>1</v>
      </c>
      <c r="F243" s="166" t="s">
        <v>342</v>
      </c>
      <c r="G243" s="164"/>
      <c r="H243" s="167">
        <v>12.034000000000001</v>
      </c>
      <c r="I243" s="164"/>
      <c r="J243" s="164"/>
      <c r="K243" s="168"/>
      <c r="L243" s="164"/>
      <c r="M243" s="169"/>
      <c r="N243" s="164"/>
      <c r="O243" s="164"/>
      <c r="P243" s="164"/>
      <c r="Q243" s="164"/>
      <c r="R243" s="164"/>
      <c r="S243" s="164"/>
      <c r="T243" s="170"/>
      <c r="AT243" s="171" t="s">
        <v>340</v>
      </c>
      <c r="AU243" s="171" t="s">
        <v>74</v>
      </c>
      <c r="AV243" s="162" t="s">
        <v>135</v>
      </c>
      <c r="AW243" s="162" t="s">
        <v>25</v>
      </c>
      <c r="AX243" s="162" t="s">
        <v>74</v>
      </c>
      <c r="AY243" s="171" t="s">
        <v>130</v>
      </c>
    </row>
    <row r="244" spans="1:65" s="20" customFormat="1" ht="25.9" customHeight="1" x14ac:dyDescent="0.2">
      <c r="B244" s="172"/>
      <c r="C244" s="23"/>
      <c r="D244" s="173" t="s">
        <v>67</v>
      </c>
      <c r="E244" s="174" t="s">
        <v>226</v>
      </c>
      <c r="F244" s="174" t="s">
        <v>1070</v>
      </c>
      <c r="G244" s="23"/>
      <c r="H244" s="23"/>
      <c r="I244" s="23"/>
      <c r="J244" s="175">
        <f>BK244</f>
        <v>0</v>
      </c>
      <c r="K244" s="176"/>
      <c r="L244" s="23"/>
      <c r="M244" s="22"/>
      <c r="N244" s="23"/>
      <c r="O244" s="23"/>
      <c r="P244" s="24">
        <f>SUM(P247:P252)</f>
        <v>0</v>
      </c>
      <c r="Q244" s="23"/>
      <c r="R244" s="24">
        <f>SUM(R247:R252)</f>
        <v>0</v>
      </c>
      <c r="S244" s="23"/>
      <c r="T244" s="25">
        <f>SUM(T247:T252)</f>
        <v>0</v>
      </c>
      <c r="AR244" s="26" t="s">
        <v>74</v>
      </c>
      <c r="AT244" s="27" t="s">
        <v>67</v>
      </c>
      <c r="AU244" s="27" t="s">
        <v>68</v>
      </c>
      <c r="AY244" s="26" t="s">
        <v>130</v>
      </c>
      <c r="BK244" s="28">
        <f>SUM(BK247:BK252)</f>
        <v>0</v>
      </c>
    </row>
    <row r="245" spans="1:65" s="5" customFormat="1" ht="10.15" customHeight="1" x14ac:dyDescent="0.2">
      <c r="B245" s="177"/>
      <c r="C245" s="16"/>
      <c r="D245" s="178" t="s">
        <v>340</v>
      </c>
      <c r="E245" s="16"/>
      <c r="F245" s="179" t="s">
        <v>1225</v>
      </c>
      <c r="G245" s="16"/>
      <c r="H245" s="180">
        <f>(2*2.8*1.1)/2</f>
        <v>3.08</v>
      </c>
      <c r="I245" s="16"/>
      <c r="J245" s="16"/>
      <c r="K245" s="181"/>
      <c r="L245" s="16"/>
      <c r="S245" s="129"/>
      <c r="AS245" s="126" t="s">
        <v>148</v>
      </c>
      <c r="AT245" s="126" t="s">
        <v>74</v>
      </c>
    </row>
    <row r="246" spans="1:65" s="5" customFormat="1" ht="10.15" customHeight="1" x14ac:dyDescent="0.2">
      <c r="B246" s="177"/>
      <c r="C246" s="16"/>
      <c r="D246" s="178" t="s">
        <v>340</v>
      </c>
      <c r="E246" s="16"/>
      <c r="F246" s="179" t="s">
        <v>1215</v>
      </c>
      <c r="G246" s="180"/>
      <c r="H246" s="16"/>
      <c r="I246" s="16"/>
      <c r="J246" s="16"/>
      <c r="K246" s="181"/>
      <c r="L246" s="16"/>
      <c r="S246" s="129"/>
      <c r="AS246" s="126" t="s">
        <v>148</v>
      </c>
      <c r="AT246" s="126" t="s">
        <v>74</v>
      </c>
    </row>
    <row r="247" spans="1:65" s="5" customFormat="1" ht="16.5" customHeight="1" x14ac:dyDescent="0.2">
      <c r="A247" s="105"/>
      <c r="B247" s="140"/>
      <c r="C247" s="33" t="s">
        <v>456</v>
      </c>
      <c r="D247" s="33" t="s">
        <v>131</v>
      </c>
      <c r="E247" s="34" t="s">
        <v>1024</v>
      </c>
      <c r="F247" s="7" t="s">
        <v>1025</v>
      </c>
      <c r="G247" s="35" t="s">
        <v>134</v>
      </c>
      <c r="H247" s="36">
        <v>3.08</v>
      </c>
      <c r="I247" s="1"/>
      <c r="J247" s="6">
        <f>ROUND(I247*H247,2)</f>
        <v>0</v>
      </c>
      <c r="K247" s="151" t="s">
        <v>1</v>
      </c>
      <c r="L247" s="17"/>
      <c r="M247" s="8" t="s">
        <v>1</v>
      </c>
      <c r="N247" s="9" t="s">
        <v>33</v>
      </c>
      <c r="O247" s="10">
        <v>0</v>
      </c>
      <c r="P247" s="10">
        <f>O247*H247</f>
        <v>0</v>
      </c>
      <c r="Q247" s="10">
        <v>0</v>
      </c>
      <c r="R247" s="10">
        <f>Q247*H247</f>
        <v>0</v>
      </c>
      <c r="S247" s="10">
        <v>0</v>
      </c>
      <c r="T247" s="11">
        <f>S247*H247</f>
        <v>0</v>
      </c>
      <c r="U247" s="105"/>
      <c r="V247" s="105"/>
      <c r="W247" s="105"/>
      <c r="X247" s="105"/>
      <c r="Y247" s="105"/>
      <c r="Z247" s="105"/>
      <c r="AA247" s="105"/>
      <c r="AB247" s="105"/>
      <c r="AC247" s="105"/>
      <c r="AD247" s="105"/>
      <c r="AE247" s="105"/>
      <c r="AR247" s="12" t="s">
        <v>135</v>
      </c>
      <c r="AT247" s="12" t="s">
        <v>131</v>
      </c>
      <c r="AU247" s="12" t="s">
        <v>74</v>
      </c>
      <c r="AY247" s="13" t="s">
        <v>130</v>
      </c>
      <c r="BE247" s="14">
        <f>IF(N247="základní",J247,0)</f>
        <v>0</v>
      </c>
      <c r="BF247" s="14">
        <f>IF(N247="snížená",J247,0)</f>
        <v>0</v>
      </c>
      <c r="BG247" s="14">
        <f>IF(N247="zákl. přenesená",J247,0)</f>
        <v>0</v>
      </c>
      <c r="BH247" s="14">
        <f>IF(N247="sníž. přenesená",J247,0)</f>
        <v>0</v>
      </c>
      <c r="BI247" s="14">
        <f>IF(N247="nulová",J247,0)</f>
        <v>0</v>
      </c>
      <c r="BJ247" s="13" t="s">
        <v>74</v>
      </c>
      <c r="BK247" s="14">
        <f>ROUND(I247*H247,2)</f>
        <v>0</v>
      </c>
      <c r="BL247" s="13" t="s">
        <v>135</v>
      </c>
      <c r="BM247" s="12" t="s">
        <v>436</v>
      </c>
    </row>
    <row r="248" spans="1:65" s="5" customFormat="1" ht="16.5" customHeight="1" x14ac:dyDescent="0.2">
      <c r="A248" s="105"/>
      <c r="B248" s="140"/>
      <c r="C248" s="33" t="s">
        <v>234</v>
      </c>
      <c r="D248" s="33" t="s">
        <v>131</v>
      </c>
      <c r="E248" s="34" t="s">
        <v>1026</v>
      </c>
      <c r="F248" s="7" t="s">
        <v>1027</v>
      </c>
      <c r="G248" s="35" t="s">
        <v>134</v>
      </c>
      <c r="H248" s="36">
        <v>3.08</v>
      </c>
      <c r="I248" s="1"/>
      <c r="J248" s="6">
        <f>ROUND(I248*H248,2)</f>
        <v>0</v>
      </c>
      <c r="K248" s="151" t="s">
        <v>1</v>
      </c>
      <c r="L248" s="17"/>
      <c r="M248" s="8" t="s">
        <v>1</v>
      </c>
      <c r="N248" s="9" t="s">
        <v>33</v>
      </c>
      <c r="O248" s="10">
        <v>0</v>
      </c>
      <c r="P248" s="10">
        <f>O248*H248</f>
        <v>0</v>
      </c>
      <c r="Q248" s="10">
        <v>0</v>
      </c>
      <c r="R248" s="10">
        <f>Q248*H248</f>
        <v>0</v>
      </c>
      <c r="S248" s="10">
        <v>0</v>
      </c>
      <c r="T248" s="11">
        <f>S248*H248</f>
        <v>0</v>
      </c>
      <c r="U248" s="105"/>
      <c r="V248" s="105"/>
      <c r="W248" s="105"/>
      <c r="X248" s="105"/>
      <c r="Y248" s="105"/>
      <c r="Z248" s="105"/>
      <c r="AA248" s="105"/>
      <c r="AB248" s="105"/>
      <c r="AC248" s="105"/>
      <c r="AD248" s="105"/>
      <c r="AE248" s="105"/>
      <c r="AR248" s="12" t="s">
        <v>135</v>
      </c>
      <c r="AT248" s="12" t="s">
        <v>131</v>
      </c>
      <c r="AU248" s="12" t="s">
        <v>74</v>
      </c>
      <c r="AY248" s="13" t="s">
        <v>130</v>
      </c>
      <c r="BE248" s="14">
        <f>IF(N248="základní",J248,0)</f>
        <v>0</v>
      </c>
      <c r="BF248" s="14">
        <f>IF(N248="snížená",J248,0)</f>
        <v>0</v>
      </c>
      <c r="BG248" s="14">
        <f>IF(N248="zákl. přenesená",J248,0)</f>
        <v>0</v>
      </c>
      <c r="BH248" s="14">
        <f>IF(N248="sníž. přenesená",J248,0)</f>
        <v>0</v>
      </c>
      <c r="BI248" s="14">
        <f>IF(N248="nulová",J248,0)</f>
        <v>0</v>
      </c>
      <c r="BJ248" s="13" t="s">
        <v>74</v>
      </c>
      <c r="BK248" s="14">
        <f>ROUND(I248*H248,2)</f>
        <v>0</v>
      </c>
      <c r="BL248" s="13" t="s">
        <v>135</v>
      </c>
      <c r="BM248" s="12" t="s">
        <v>438</v>
      </c>
    </row>
    <row r="249" spans="1:65" s="5" customFormat="1" ht="16.5" customHeight="1" x14ac:dyDescent="0.2">
      <c r="A249" s="105"/>
      <c r="B249" s="140"/>
      <c r="C249" s="33" t="s">
        <v>239</v>
      </c>
      <c r="D249" s="33" t="s">
        <v>131</v>
      </c>
      <c r="E249" s="34" t="s">
        <v>1032</v>
      </c>
      <c r="F249" s="7" t="s">
        <v>1033</v>
      </c>
      <c r="G249" s="35" t="s">
        <v>134</v>
      </c>
      <c r="H249" s="36">
        <v>6.16</v>
      </c>
      <c r="I249" s="1"/>
      <c r="J249" s="6">
        <f>ROUND(I249*H249,2)</f>
        <v>0</v>
      </c>
      <c r="K249" s="151" t="s">
        <v>1</v>
      </c>
      <c r="L249" s="17"/>
      <c r="M249" s="8" t="s">
        <v>1</v>
      </c>
      <c r="N249" s="9" t="s">
        <v>33</v>
      </c>
      <c r="O249" s="10">
        <v>0</v>
      </c>
      <c r="P249" s="10">
        <f>O249*H249</f>
        <v>0</v>
      </c>
      <c r="Q249" s="10">
        <v>0</v>
      </c>
      <c r="R249" s="10">
        <f>Q249*H249</f>
        <v>0</v>
      </c>
      <c r="S249" s="10">
        <v>0</v>
      </c>
      <c r="T249" s="11">
        <f>S249*H249</f>
        <v>0</v>
      </c>
      <c r="U249" s="105"/>
      <c r="V249" s="105"/>
      <c r="W249" s="105"/>
      <c r="X249" s="105"/>
      <c r="Y249" s="105"/>
      <c r="Z249" s="105"/>
      <c r="AA249" s="105"/>
      <c r="AB249" s="105"/>
      <c r="AC249" s="105"/>
      <c r="AD249" s="105"/>
      <c r="AE249" s="105"/>
      <c r="AR249" s="12" t="s">
        <v>135</v>
      </c>
      <c r="AT249" s="12" t="s">
        <v>131</v>
      </c>
      <c r="AU249" s="12" t="s">
        <v>74</v>
      </c>
      <c r="AY249" s="13" t="s">
        <v>130</v>
      </c>
      <c r="BE249" s="14">
        <f>IF(N249="základní",J249,0)</f>
        <v>0</v>
      </c>
      <c r="BF249" s="14">
        <f>IF(N249="snížená",J249,0)</f>
        <v>0</v>
      </c>
      <c r="BG249" s="14">
        <f>IF(N249="zákl. přenesená",J249,0)</f>
        <v>0</v>
      </c>
      <c r="BH249" s="14">
        <f>IF(N249="sníž. přenesená",J249,0)</f>
        <v>0</v>
      </c>
      <c r="BI249" s="14">
        <f>IF(N249="nulová",J249,0)</f>
        <v>0</v>
      </c>
      <c r="BJ249" s="13" t="s">
        <v>74</v>
      </c>
      <c r="BK249" s="14">
        <f>ROUND(I249*H249,2)</f>
        <v>0</v>
      </c>
      <c r="BL249" s="13" t="s">
        <v>135</v>
      </c>
      <c r="BM249" s="12" t="s">
        <v>441</v>
      </c>
    </row>
    <row r="250" spans="1:65" s="152" customFormat="1" x14ac:dyDescent="0.2">
      <c r="B250" s="153"/>
      <c r="C250" s="154"/>
      <c r="D250" s="141" t="s">
        <v>340</v>
      </c>
      <c r="E250" s="155" t="s">
        <v>1</v>
      </c>
      <c r="F250" s="156" t="s">
        <v>1071</v>
      </c>
      <c r="G250" s="154"/>
      <c r="H250" s="157"/>
      <c r="I250" s="154"/>
      <c r="J250" s="154"/>
      <c r="K250" s="158"/>
      <c r="L250" s="154"/>
      <c r="M250" s="159"/>
      <c r="N250" s="154"/>
      <c r="O250" s="154"/>
      <c r="P250" s="154"/>
      <c r="Q250" s="154"/>
      <c r="R250" s="154"/>
      <c r="S250" s="154"/>
      <c r="T250" s="160"/>
      <c r="AT250" s="161" t="s">
        <v>340</v>
      </c>
      <c r="AU250" s="161" t="s">
        <v>74</v>
      </c>
      <c r="AV250" s="152" t="s">
        <v>76</v>
      </c>
      <c r="AW250" s="152" t="s">
        <v>25</v>
      </c>
      <c r="AX250" s="152" t="s">
        <v>68</v>
      </c>
      <c r="AY250" s="161" t="s">
        <v>130</v>
      </c>
    </row>
    <row r="251" spans="1:65" s="162" customFormat="1" x14ac:dyDescent="0.2">
      <c r="B251" s="163"/>
      <c r="C251" s="164"/>
      <c r="D251" s="141" t="s">
        <v>340</v>
      </c>
      <c r="E251" s="165" t="s">
        <v>1</v>
      </c>
      <c r="F251" s="166" t="s">
        <v>342</v>
      </c>
      <c r="G251" s="164"/>
      <c r="H251" s="167">
        <v>6.16</v>
      </c>
      <c r="I251" s="164"/>
      <c r="J251" s="164"/>
      <c r="K251" s="168"/>
      <c r="L251" s="164"/>
      <c r="M251" s="169"/>
      <c r="N251" s="164"/>
      <c r="O251" s="164"/>
      <c r="P251" s="164"/>
      <c r="Q251" s="164"/>
      <c r="R251" s="164"/>
      <c r="S251" s="164"/>
      <c r="T251" s="170"/>
      <c r="AT251" s="171" t="s">
        <v>340</v>
      </c>
      <c r="AU251" s="171" t="s">
        <v>74</v>
      </c>
      <c r="AV251" s="162" t="s">
        <v>135</v>
      </c>
      <c r="AW251" s="162" t="s">
        <v>25</v>
      </c>
      <c r="AX251" s="162" t="s">
        <v>74</v>
      </c>
      <c r="AY251" s="171" t="s">
        <v>130</v>
      </c>
    </row>
    <row r="252" spans="1:65" s="5" customFormat="1" ht="16.5" customHeight="1" x14ac:dyDescent="0.2">
      <c r="A252" s="105"/>
      <c r="B252" s="140"/>
      <c r="C252" s="33" t="s">
        <v>465</v>
      </c>
      <c r="D252" s="33" t="s">
        <v>131</v>
      </c>
      <c r="E252" s="34" t="s">
        <v>1048</v>
      </c>
      <c r="F252" s="7" t="s">
        <v>1049</v>
      </c>
      <c r="G252" s="35" t="s">
        <v>134</v>
      </c>
      <c r="H252" s="36">
        <v>3.08</v>
      </c>
      <c r="I252" s="1"/>
      <c r="J252" s="6">
        <f>ROUND(I252*H252,2)</f>
        <v>0</v>
      </c>
      <c r="K252" s="151" t="s">
        <v>1</v>
      </c>
      <c r="L252" s="17"/>
      <c r="M252" s="8" t="s">
        <v>1</v>
      </c>
      <c r="N252" s="9" t="s">
        <v>33</v>
      </c>
      <c r="O252" s="10">
        <v>0</v>
      </c>
      <c r="P252" s="10">
        <f>O252*H252</f>
        <v>0</v>
      </c>
      <c r="Q252" s="10">
        <v>0</v>
      </c>
      <c r="R252" s="10">
        <f>Q252*H252</f>
        <v>0</v>
      </c>
      <c r="S252" s="10">
        <v>0</v>
      </c>
      <c r="T252" s="11">
        <f>S252*H252</f>
        <v>0</v>
      </c>
      <c r="U252" s="105"/>
      <c r="V252" s="105"/>
      <c r="W252" s="105"/>
      <c r="X252" s="105"/>
      <c r="Y252" s="105"/>
      <c r="Z252" s="105"/>
      <c r="AA252" s="105"/>
      <c r="AB252" s="105"/>
      <c r="AC252" s="105"/>
      <c r="AD252" s="105"/>
      <c r="AE252" s="105"/>
      <c r="AR252" s="12" t="s">
        <v>135</v>
      </c>
      <c r="AT252" s="12" t="s">
        <v>131</v>
      </c>
      <c r="AU252" s="12" t="s">
        <v>74</v>
      </c>
      <c r="AY252" s="13" t="s">
        <v>130</v>
      </c>
      <c r="BE252" s="14">
        <f>IF(N252="základní",J252,0)</f>
        <v>0</v>
      </c>
      <c r="BF252" s="14">
        <f>IF(N252="snížená",J252,0)</f>
        <v>0</v>
      </c>
      <c r="BG252" s="14">
        <f>IF(N252="zákl. přenesená",J252,0)</f>
        <v>0</v>
      </c>
      <c r="BH252" s="14">
        <f>IF(N252="sníž. přenesená",J252,0)</f>
        <v>0</v>
      </c>
      <c r="BI252" s="14">
        <f>IF(N252="nulová",J252,0)</f>
        <v>0</v>
      </c>
      <c r="BJ252" s="13" t="s">
        <v>74</v>
      </c>
      <c r="BK252" s="14">
        <f>ROUND(I252*H252,2)</f>
        <v>0</v>
      </c>
      <c r="BL252" s="13" t="s">
        <v>135</v>
      </c>
      <c r="BM252" s="12" t="s">
        <v>446</v>
      </c>
    </row>
    <row r="253" spans="1:65" s="20" customFormat="1" ht="25.9" customHeight="1" x14ac:dyDescent="0.2">
      <c r="B253" s="172"/>
      <c r="C253" s="23"/>
      <c r="D253" s="173" t="s">
        <v>67</v>
      </c>
      <c r="E253" s="174" t="s">
        <v>236</v>
      </c>
      <c r="F253" s="174" t="s">
        <v>1072</v>
      </c>
      <c r="G253" s="23"/>
      <c r="H253" s="23"/>
      <c r="I253" s="23"/>
      <c r="J253" s="175">
        <f>BK253</f>
        <v>0</v>
      </c>
      <c r="K253" s="176"/>
      <c r="L253" s="23"/>
      <c r="M253" s="22"/>
      <c r="N253" s="23"/>
      <c r="O253" s="23"/>
      <c r="P253" s="24">
        <f>SUM(P256:P265)</f>
        <v>0</v>
      </c>
      <c r="Q253" s="23"/>
      <c r="R253" s="24">
        <f>SUM(R256:R265)</f>
        <v>0</v>
      </c>
      <c r="S253" s="23"/>
      <c r="T253" s="25">
        <f>SUM(T256:T265)</f>
        <v>0</v>
      </c>
      <c r="AR253" s="26" t="s">
        <v>74</v>
      </c>
      <c r="AT253" s="27" t="s">
        <v>67</v>
      </c>
      <c r="AU253" s="27" t="s">
        <v>68</v>
      </c>
      <c r="AY253" s="26" t="s">
        <v>130</v>
      </c>
      <c r="BK253" s="28">
        <f>SUM(BK256:BK265)</f>
        <v>0</v>
      </c>
    </row>
    <row r="254" spans="1:65" s="5" customFormat="1" ht="10.15" customHeight="1" x14ac:dyDescent="0.2">
      <c r="B254" s="177"/>
      <c r="C254" s="16"/>
      <c r="D254" s="178" t="s">
        <v>340</v>
      </c>
      <c r="E254" s="16"/>
      <c r="F254" s="179" t="s">
        <v>1226</v>
      </c>
      <c r="G254" s="16"/>
      <c r="H254" s="180">
        <f>1.77*1.11</f>
        <v>1.9647000000000001</v>
      </c>
      <c r="I254" s="16"/>
      <c r="J254" s="16"/>
      <c r="K254" s="181"/>
      <c r="L254" s="16"/>
      <c r="S254" s="129"/>
      <c r="AS254" s="126" t="s">
        <v>148</v>
      </c>
      <c r="AT254" s="126" t="s">
        <v>74</v>
      </c>
    </row>
    <row r="255" spans="1:65" s="5" customFormat="1" ht="10.15" customHeight="1" x14ac:dyDescent="0.2">
      <c r="B255" s="177"/>
      <c r="C255" s="16"/>
      <c r="D255" s="178" t="s">
        <v>340</v>
      </c>
      <c r="E255" s="16"/>
      <c r="F255" s="179" t="s">
        <v>1215</v>
      </c>
      <c r="G255" s="180"/>
      <c r="H255" s="16"/>
      <c r="I255" s="16"/>
      <c r="J255" s="16"/>
      <c r="K255" s="181"/>
      <c r="L255" s="16"/>
      <c r="S255" s="129"/>
      <c r="AS255" s="126" t="s">
        <v>148</v>
      </c>
      <c r="AT255" s="126" t="s">
        <v>74</v>
      </c>
    </row>
    <row r="256" spans="1:65" s="5" customFormat="1" ht="16.5" customHeight="1" x14ac:dyDescent="0.2">
      <c r="A256" s="105"/>
      <c r="B256" s="140"/>
      <c r="C256" s="33" t="s">
        <v>242</v>
      </c>
      <c r="D256" s="33" t="s">
        <v>131</v>
      </c>
      <c r="E256" s="34" t="s">
        <v>1024</v>
      </c>
      <c r="F256" s="7" t="s">
        <v>1025</v>
      </c>
      <c r="G256" s="35" t="s">
        <v>134</v>
      </c>
      <c r="H256" s="36">
        <v>1.9650000000000001</v>
      </c>
      <c r="I256" s="1"/>
      <c r="J256" s="6">
        <f>ROUND(I256*H256,2)</f>
        <v>0</v>
      </c>
      <c r="K256" s="151" t="s">
        <v>1</v>
      </c>
      <c r="L256" s="17"/>
      <c r="M256" s="8" t="s">
        <v>1</v>
      </c>
      <c r="N256" s="9" t="s">
        <v>33</v>
      </c>
      <c r="O256" s="10">
        <v>0</v>
      </c>
      <c r="P256" s="10">
        <f>O256*H256</f>
        <v>0</v>
      </c>
      <c r="Q256" s="10">
        <v>0</v>
      </c>
      <c r="R256" s="10">
        <f>Q256*H256</f>
        <v>0</v>
      </c>
      <c r="S256" s="10">
        <v>0</v>
      </c>
      <c r="T256" s="11">
        <f>S256*H256</f>
        <v>0</v>
      </c>
      <c r="U256" s="105"/>
      <c r="V256" s="105"/>
      <c r="W256" s="105"/>
      <c r="X256" s="105"/>
      <c r="Y256" s="105"/>
      <c r="Z256" s="105"/>
      <c r="AA256" s="105"/>
      <c r="AB256" s="105"/>
      <c r="AC256" s="105"/>
      <c r="AD256" s="105"/>
      <c r="AE256" s="105"/>
      <c r="AR256" s="12" t="s">
        <v>135</v>
      </c>
      <c r="AT256" s="12" t="s">
        <v>131</v>
      </c>
      <c r="AU256" s="12" t="s">
        <v>74</v>
      </c>
      <c r="AY256" s="13" t="s">
        <v>130</v>
      </c>
      <c r="BE256" s="14">
        <f>IF(N256="základní",J256,0)</f>
        <v>0</v>
      </c>
      <c r="BF256" s="14">
        <f>IF(N256="snížená",J256,0)</f>
        <v>0</v>
      </c>
      <c r="BG256" s="14">
        <f>IF(N256="zákl. přenesená",J256,0)</f>
        <v>0</v>
      </c>
      <c r="BH256" s="14">
        <f>IF(N256="sníž. přenesená",J256,0)</f>
        <v>0</v>
      </c>
      <c r="BI256" s="14">
        <f>IF(N256="nulová",J256,0)</f>
        <v>0</v>
      </c>
      <c r="BJ256" s="13" t="s">
        <v>74</v>
      </c>
      <c r="BK256" s="14">
        <f>ROUND(I256*H256,2)</f>
        <v>0</v>
      </c>
      <c r="BL256" s="13" t="s">
        <v>135</v>
      </c>
      <c r="BM256" s="12" t="s">
        <v>448</v>
      </c>
    </row>
    <row r="257" spans="1:65" s="5" customFormat="1" ht="16.5" customHeight="1" x14ac:dyDescent="0.2">
      <c r="A257" s="105"/>
      <c r="B257" s="140"/>
      <c r="C257" s="33" t="s">
        <v>468</v>
      </c>
      <c r="D257" s="33" t="s">
        <v>131</v>
      </c>
      <c r="E257" s="34" t="s">
        <v>1026</v>
      </c>
      <c r="F257" s="7" t="s">
        <v>1027</v>
      </c>
      <c r="G257" s="35" t="s">
        <v>134</v>
      </c>
      <c r="H257" s="36">
        <v>1.9650000000000001</v>
      </c>
      <c r="I257" s="1"/>
      <c r="J257" s="6">
        <f>ROUND(I257*H257,2)</f>
        <v>0</v>
      </c>
      <c r="K257" s="151" t="s">
        <v>1</v>
      </c>
      <c r="L257" s="17"/>
      <c r="M257" s="8" t="s">
        <v>1</v>
      </c>
      <c r="N257" s="9" t="s">
        <v>33</v>
      </c>
      <c r="O257" s="10">
        <v>0</v>
      </c>
      <c r="P257" s="10">
        <f>O257*H257</f>
        <v>0</v>
      </c>
      <c r="Q257" s="10">
        <v>0</v>
      </c>
      <c r="R257" s="10">
        <f>Q257*H257</f>
        <v>0</v>
      </c>
      <c r="S257" s="10">
        <v>0</v>
      </c>
      <c r="T257" s="11">
        <f>S257*H257</f>
        <v>0</v>
      </c>
      <c r="U257" s="105"/>
      <c r="V257" s="105"/>
      <c r="W257" s="105"/>
      <c r="X257" s="105"/>
      <c r="Y257" s="105"/>
      <c r="Z257" s="105"/>
      <c r="AA257" s="105"/>
      <c r="AB257" s="105"/>
      <c r="AC257" s="105"/>
      <c r="AD257" s="105"/>
      <c r="AE257" s="105"/>
      <c r="AR257" s="12" t="s">
        <v>135</v>
      </c>
      <c r="AT257" s="12" t="s">
        <v>131</v>
      </c>
      <c r="AU257" s="12" t="s">
        <v>74</v>
      </c>
      <c r="AY257" s="13" t="s">
        <v>130</v>
      </c>
      <c r="BE257" s="14">
        <f>IF(N257="základní",J257,0)</f>
        <v>0</v>
      </c>
      <c r="BF257" s="14">
        <f>IF(N257="snížená",J257,0)</f>
        <v>0</v>
      </c>
      <c r="BG257" s="14">
        <f>IF(N257="zákl. přenesená",J257,0)</f>
        <v>0</v>
      </c>
      <c r="BH257" s="14">
        <f>IF(N257="sníž. přenesená",J257,0)</f>
        <v>0</v>
      </c>
      <c r="BI257" s="14">
        <f>IF(N257="nulová",J257,0)</f>
        <v>0</v>
      </c>
      <c r="BJ257" s="13" t="s">
        <v>74</v>
      </c>
      <c r="BK257" s="14">
        <f>ROUND(I257*H257,2)</f>
        <v>0</v>
      </c>
      <c r="BL257" s="13" t="s">
        <v>135</v>
      </c>
      <c r="BM257" s="12" t="s">
        <v>452</v>
      </c>
    </row>
    <row r="258" spans="1:65" s="5" customFormat="1" ht="16.5" customHeight="1" x14ac:dyDescent="0.2">
      <c r="A258" s="105"/>
      <c r="B258" s="140"/>
      <c r="C258" s="33" t="s">
        <v>248</v>
      </c>
      <c r="D258" s="33" t="s">
        <v>131</v>
      </c>
      <c r="E258" s="34" t="s">
        <v>1028</v>
      </c>
      <c r="F258" s="7" t="s">
        <v>1029</v>
      </c>
      <c r="G258" s="35" t="s">
        <v>134</v>
      </c>
      <c r="H258" s="36">
        <v>1.9650000000000001</v>
      </c>
      <c r="I258" s="1"/>
      <c r="J258" s="6">
        <f>ROUND(I258*H258,2)</f>
        <v>0</v>
      </c>
      <c r="K258" s="151" t="s">
        <v>1</v>
      </c>
      <c r="L258" s="17"/>
      <c r="M258" s="8" t="s">
        <v>1</v>
      </c>
      <c r="N258" s="9" t="s">
        <v>33</v>
      </c>
      <c r="O258" s="10">
        <v>0</v>
      </c>
      <c r="P258" s="10">
        <f>O258*H258</f>
        <v>0</v>
      </c>
      <c r="Q258" s="10">
        <v>0</v>
      </c>
      <c r="R258" s="10">
        <f>Q258*H258</f>
        <v>0</v>
      </c>
      <c r="S258" s="10">
        <v>0</v>
      </c>
      <c r="T258" s="11">
        <f>S258*H258</f>
        <v>0</v>
      </c>
      <c r="U258" s="105"/>
      <c r="V258" s="105"/>
      <c r="W258" s="105"/>
      <c r="X258" s="105"/>
      <c r="Y258" s="105"/>
      <c r="Z258" s="105"/>
      <c r="AA258" s="105"/>
      <c r="AB258" s="105"/>
      <c r="AC258" s="105"/>
      <c r="AD258" s="105"/>
      <c r="AE258" s="105"/>
      <c r="AR258" s="12" t="s">
        <v>135</v>
      </c>
      <c r="AT258" s="12" t="s">
        <v>131</v>
      </c>
      <c r="AU258" s="12" t="s">
        <v>74</v>
      </c>
      <c r="AY258" s="13" t="s">
        <v>130</v>
      </c>
      <c r="BE258" s="14">
        <f>IF(N258="základní",J258,0)</f>
        <v>0</v>
      </c>
      <c r="BF258" s="14">
        <f>IF(N258="snížená",J258,0)</f>
        <v>0</v>
      </c>
      <c r="BG258" s="14">
        <f>IF(N258="zákl. přenesená",J258,0)</f>
        <v>0</v>
      </c>
      <c r="BH258" s="14">
        <f>IF(N258="sníž. přenesená",J258,0)</f>
        <v>0</v>
      </c>
      <c r="BI258" s="14">
        <f>IF(N258="nulová",J258,0)</f>
        <v>0</v>
      </c>
      <c r="BJ258" s="13" t="s">
        <v>74</v>
      </c>
      <c r="BK258" s="14">
        <f>ROUND(I258*H258,2)</f>
        <v>0</v>
      </c>
      <c r="BL258" s="13" t="s">
        <v>135</v>
      </c>
      <c r="BM258" s="12" t="s">
        <v>455</v>
      </c>
    </row>
    <row r="259" spans="1:65" s="5" customFormat="1" ht="16.5" customHeight="1" x14ac:dyDescent="0.2">
      <c r="A259" s="105"/>
      <c r="B259" s="140"/>
      <c r="C259" s="33" t="s">
        <v>472</v>
      </c>
      <c r="D259" s="33" t="s">
        <v>131</v>
      </c>
      <c r="E259" s="34" t="s">
        <v>1030</v>
      </c>
      <c r="F259" s="7" t="s">
        <v>1031</v>
      </c>
      <c r="G259" s="35" t="s">
        <v>134</v>
      </c>
      <c r="H259" s="36">
        <v>1.9650000000000001</v>
      </c>
      <c r="I259" s="1"/>
      <c r="J259" s="6">
        <f>ROUND(I259*H259,2)</f>
        <v>0</v>
      </c>
      <c r="K259" s="151" t="s">
        <v>1</v>
      </c>
      <c r="L259" s="17"/>
      <c r="M259" s="8" t="s">
        <v>1</v>
      </c>
      <c r="N259" s="9" t="s">
        <v>33</v>
      </c>
      <c r="O259" s="10">
        <v>0</v>
      </c>
      <c r="P259" s="10">
        <f>O259*H259</f>
        <v>0</v>
      </c>
      <c r="Q259" s="10">
        <v>0</v>
      </c>
      <c r="R259" s="10">
        <f>Q259*H259</f>
        <v>0</v>
      </c>
      <c r="S259" s="10">
        <v>0</v>
      </c>
      <c r="T259" s="11">
        <f>S259*H259</f>
        <v>0</v>
      </c>
      <c r="U259" s="105"/>
      <c r="V259" s="105"/>
      <c r="W259" s="105"/>
      <c r="X259" s="105"/>
      <c r="Y259" s="105"/>
      <c r="Z259" s="105"/>
      <c r="AA259" s="105"/>
      <c r="AB259" s="105"/>
      <c r="AC259" s="105"/>
      <c r="AD259" s="105"/>
      <c r="AE259" s="105"/>
      <c r="AR259" s="12" t="s">
        <v>135</v>
      </c>
      <c r="AT259" s="12" t="s">
        <v>131</v>
      </c>
      <c r="AU259" s="12" t="s">
        <v>74</v>
      </c>
      <c r="AY259" s="13" t="s">
        <v>130</v>
      </c>
      <c r="BE259" s="14">
        <f>IF(N259="základní",J259,0)</f>
        <v>0</v>
      </c>
      <c r="BF259" s="14">
        <f>IF(N259="snížená",J259,0)</f>
        <v>0</v>
      </c>
      <c r="BG259" s="14">
        <f>IF(N259="zákl. přenesená",J259,0)</f>
        <v>0</v>
      </c>
      <c r="BH259" s="14">
        <f>IF(N259="sníž. přenesená",J259,0)</f>
        <v>0</v>
      </c>
      <c r="BI259" s="14">
        <f>IF(N259="nulová",J259,0)</f>
        <v>0</v>
      </c>
      <c r="BJ259" s="13" t="s">
        <v>74</v>
      </c>
      <c r="BK259" s="14">
        <f>ROUND(I259*H259,2)</f>
        <v>0</v>
      </c>
      <c r="BL259" s="13" t="s">
        <v>135</v>
      </c>
      <c r="BM259" s="12" t="s">
        <v>458</v>
      </c>
    </row>
    <row r="260" spans="1:65" s="5" customFormat="1" ht="16.5" customHeight="1" x14ac:dyDescent="0.2">
      <c r="A260" s="105"/>
      <c r="B260" s="140"/>
      <c r="C260" s="33" t="s">
        <v>254</v>
      </c>
      <c r="D260" s="33" t="s">
        <v>131</v>
      </c>
      <c r="E260" s="34" t="s">
        <v>1032</v>
      </c>
      <c r="F260" s="7" t="s">
        <v>1033</v>
      </c>
      <c r="G260" s="35" t="s">
        <v>134</v>
      </c>
      <c r="H260" s="36">
        <v>3.9289999999999998</v>
      </c>
      <c r="I260" s="1"/>
      <c r="J260" s="6">
        <f>ROUND(I260*H260,2)</f>
        <v>0</v>
      </c>
      <c r="K260" s="151" t="s">
        <v>1</v>
      </c>
      <c r="L260" s="17"/>
      <c r="M260" s="8" t="s">
        <v>1</v>
      </c>
      <c r="N260" s="9" t="s">
        <v>33</v>
      </c>
      <c r="O260" s="10">
        <v>0</v>
      </c>
      <c r="P260" s="10">
        <f>O260*H260</f>
        <v>0</v>
      </c>
      <c r="Q260" s="10">
        <v>0</v>
      </c>
      <c r="R260" s="10">
        <f>Q260*H260</f>
        <v>0</v>
      </c>
      <c r="S260" s="10">
        <v>0</v>
      </c>
      <c r="T260" s="11">
        <f>S260*H260</f>
        <v>0</v>
      </c>
      <c r="U260" s="105"/>
      <c r="V260" s="105"/>
      <c r="W260" s="105"/>
      <c r="X260" s="105"/>
      <c r="Y260" s="105"/>
      <c r="Z260" s="105"/>
      <c r="AA260" s="105"/>
      <c r="AB260" s="105"/>
      <c r="AC260" s="105"/>
      <c r="AD260" s="105"/>
      <c r="AE260" s="105"/>
      <c r="AR260" s="12" t="s">
        <v>135</v>
      </c>
      <c r="AT260" s="12" t="s">
        <v>131</v>
      </c>
      <c r="AU260" s="12" t="s">
        <v>74</v>
      </c>
      <c r="AY260" s="13" t="s">
        <v>130</v>
      </c>
      <c r="BE260" s="14">
        <f>IF(N260="základní",J260,0)</f>
        <v>0</v>
      </c>
      <c r="BF260" s="14">
        <f>IF(N260="snížená",J260,0)</f>
        <v>0</v>
      </c>
      <c r="BG260" s="14">
        <f>IF(N260="zákl. přenesená",J260,0)</f>
        <v>0</v>
      </c>
      <c r="BH260" s="14">
        <f>IF(N260="sníž. přenesená",J260,0)</f>
        <v>0</v>
      </c>
      <c r="BI260" s="14">
        <f>IF(N260="nulová",J260,0)</f>
        <v>0</v>
      </c>
      <c r="BJ260" s="13" t="s">
        <v>74</v>
      </c>
      <c r="BK260" s="14">
        <f>ROUND(I260*H260,2)</f>
        <v>0</v>
      </c>
      <c r="BL260" s="13" t="s">
        <v>135</v>
      </c>
      <c r="BM260" s="12" t="s">
        <v>459</v>
      </c>
    </row>
    <row r="261" spans="1:65" s="152" customFormat="1" x14ac:dyDescent="0.2">
      <c r="B261" s="153"/>
      <c r="C261" s="154"/>
      <c r="D261" s="141" t="s">
        <v>340</v>
      </c>
      <c r="E261" s="155" t="s">
        <v>1</v>
      </c>
      <c r="F261" s="156" t="s">
        <v>1073</v>
      </c>
      <c r="G261" s="154"/>
      <c r="H261" s="157"/>
      <c r="I261" s="154"/>
      <c r="J261" s="154"/>
      <c r="K261" s="158"/>
      <c r="L261" s="154"/>
      <c r="M261" s="159"/>
      <c r="N261" s="154"/>
      <c r="O261" s="154"/>
      <c r="P261" s="154"/>
      <c r="Q261" s="154"/>
      <c r="R261" s="154"/>
      <c r="S261" s="154"/>
      <c r="T261" s="160"/>
      <c r="AT261" s="161" t="s">
        <v>340</v>
      </c>
      <c r="AU261" s="161" t="s">
        <v>74</v>
      </c>
      <c r="AV261" s="152" t="s">
        <v>76</v>
      </c>
      <c r="AW261" s="152" t="s">
        <v>25</v>
      </c>
      <c r="AX261" s="152" t="s">
        <v>68</v>
      </c>
      <c r="AY261" s="161" t="s">
        <v>130</v>
      </c>
    </row>
    <row r="262" spans="1:65" s="162" customFormat="1" x14ac:dyDescent="0.2">
      <c r="B262" s="163"/>
      <c r="C262" s="164"/>
      <c r="D262" s="141" t="s">
        <v>340</v>
      </c>
      <c r="E262" s="165" t="s">
        <v>1</v>
      </c>
      <c r="F262" s="166" t="s">
        <v>342</v>
      </c>
      <c r="G262" s="164"/>
      <c r="H262" s="167">
        <v>3.9289999999999998</v>
      </c>
      <c r="I262" s="164"/>
      <c r="J262" s="164"/>
      <c r="K262" s="168"/>
      <c r="L262" s="164"/>
      <c r="M262" s="169"/>
      <c r="N262" s="164"/>
      <c r="O262" s="164"/>
      <c r="P262" s="164"/>
      <c r="Q262" s="164"/>
      <c r="R262" s="164"/>
      <c r="S262" s="164"/>
      <c r="T262" s="170"/>
      <c r="AT262" s="171" t="s">
        <v>340</v>
      </c>
      <c r="AU262" s="171" t="s">
        <v>74</v>
      </c>
      <c r="AV262" s="162" t="s">
        <v>135</v>
      </c>
      <c r="AW262" s="162" t="s">
        <v>25</v>
      </c>
      <c r="AX262" s="162" t="s">
        <v>74</v>
      </c>
      <c r="AY262" s="171" t="s">
        <v>130</v>
      </c>
    </row>
    <row r="263" spans="1:65" s="5" customFormat="1" ht="16.5" customHeight="1" x14ac:dyDescent="0.2">
      <c r="A263" s="105"/>
      <c r="B263" s="140"/>
      <c r="C263" s="33" t="s">
        <v>475</v>
      </c>
      <c r="D263" s="33" t="s">
        <v>131</v>
      </c>
      <c r="E263" s="34" t="s">
        <v>1052</v>
      </c>
      <c r="F263" s="7" t="s">
        <v>1053</v>
      </c>
      <c r="G263" s="35" t="s">
        <v>1037</v>
      </c>
      <c r="H263" s="36">
        <v>2</v>
      </c>
      <c r="I263" s="1"/>
      <c r="J263" s="6">
        <f>ROUND(I263*H263,2)</f>
        <v>0</v>
      </c>
      <c r="K263" s="151" t="s">
        <v>1</v>
      </c>
      <c r="L263" s="17"/>
      <c r="M263" s="8" t="s">
        <v>1</v>
      </c>
      <c r="N263" s="9" t="s">
        <v>33</v>
      </c>
      <c r="O263" s="10">
        <v>0</v>
      </c>
      <c r="P263" s="10">
        <f>O263*H263</f>
        <v>0</v>
      </c>
      <c r="Q263" s="10">
        <v>0</v>
      </c>
      <c r="R263" s="10">
        <f>Q263*H263</f>
        <v>0</v>
      </c>
      <c r="S263" s="10">
        <v>0</v>
      </c>
      <c r="T263" s="11">
        <f>S263*H263</f>
        <v>0</v>
      </c>
      <c r="U263" s="105"/>
      <c r="V263" s="105"/>
      <c r="W263" s="105"/>
      <c r="X263" s="105"/>
      <c r="Y263" s="105"/>
      <c r="Z263" s="105"/>
      <c r="AA263" s="105"/>
      <c r="AB263" s="105"/>
      <c r="AC263" s="105"/>
      <c r="AD263" s="105"/>
      <c r="AE263" s="105"/>
      <c r="AR263" s="12" t="s">
        <v>135</v>
      </c>
      <c r="AT263" s="12" t="s">
        <v>131</v>
      </c>
      <c r="AU263" s="12" t="s">
        <v>74</v>
      </c>
      <c r="AY263" s="13" t="s">
        <v>130</v>
      </c>
      <c r="BE263" s="14">
        <f>IF(N263="základní",J263,0)</f>
        <v>0</v>
      </c>
      <c r="BF263" s="14">
        <f>IF(N263="snížená",J263,0)</f>
        <v>0</v>
      </c>
      <c r="BG263" s="14">
        <f>IF(N263="zákl. přenesená",J263,0)</f>
        <v>0</v>
      </c>
      <c r="BH263" s="14">
        <f>IF(N263="sníž. přenesená",J263,0)</f>
        <v>0</v>
      </c>
      <c r="BI263" s="14">
        <f>IF(N263="nulová",J263,0)</f>
        <v>0</v>
      </c>
      <c r="BJ263" s="13" t="s">
        <v>74</v>
      </c>
      <c r="BK263" s="14">
        <f>ROUND(I263*H263,2)</f>
        <v>0</v>
      </c>
      <c r="BL263" s="13" t="s">
        <v>135</v>
      </c>
      <c r="BM263" s="12" t="s">
        <v>462</v>
      </c>
    </row>
    <row r="264" spans="1:65" s="5" customFormat="1" ht="16.5" customHeight="1" x14ac:dyDescent="0.2">
      <c r="A264" s="105"/>
      <c r="B264" s="140"/>
      <c r="C264" s="33" t="s">
        <v>259</v>
      </c>
      <c r="D264" s="33" t="s">
        <v>131</v>
      </c>
      <c r="E264" s="34" t="s">
        <v>1074</v>
      </c>
      <c r="F264" s="7" t="s">
        <v>1075</v>
      </c>
      <c r="G264" s="35" t="s">
        <v>1037</v>
      </c>
      <c r="H264" s="36">
        <v>1</v>
      </c>
      <c r="I264" s="1"/>
      <c r="J264" s="6">
        <f>ROUND(I264*H264,2)</f>
        <v>0</v>
      </c>
      <c r="K264" s="151" t="s">
        <v>1</v>
      </c>
      <c r="L264" s="17"/>
      <c r="M264" s="8" t="s">
        <v>1</v>
      </c>
      <c r="N264" s="9" t="s">
        <v>33</v>
      </c>
      <c r="O264" s="10">
        <v>0</v>
      </c>
      <c r="P264" s="10">
        <f>O264*H264</f>
        <v>0</v>
      </c>
      <c r="Q264" s="10">
        <v>0</v>
      </c>
      <c r="R264" s="10">
        <f>Q264*H264</f>
        <v>0</v>
      </c>
      <c r="S264" s="10">
        <v>0</v>
      </c>
      <c r="T264" s="11">
        <f>S264*H264</f>
        <v>0</v>
      </c>
      <c r="U264" s="105"/>
      <c r="V264" s="105"/>
      <c r="W264" s="105"/>
      <c r="X264" s="105"/>
      <c r="Y264" s="105"/>
      <c r="Z264" s="105"/>
      <c r="AA264" s="105"/>
      <c r="AB264" s="105"/>
      <c r="AC264" s="105"/>
      <c r="AD264" s="105"/>
      <c r="AE264" s="105"/>
      <c r="AR264" s="12" t="s">
        <v>135</v>
      </c>
      <c r="AT264" s="12" t="s">
        <v>131</v>
      </c>
      <c r="AU264" s="12" t="s">
        <v>74</v>
      </c>
      <c r="AY264" s="13" t="s">
        <v>130</v>
      </c>
      <c r="BE264" s="14">
        <f>IF(N264="základní",J264,0)</f>
        <v>0</v>
      </c>
      <c r="BF264" s="14">
        <f>IF(N264="snížená",J264,0)</f>
        <v>0</v>
      </c>
      <c r="BG264" s="14">
        <f>IF(N264="zákl. přenesená",J264,0)</f>
        <v>0</v>
      </c>
      <c r="BH264" s="14">
        <f>IF(N264="sníž. přenesená",J264,0)</f>
        <v>0</v>
      </c>
      <c r="BI264" s="14">
        <f>IF(N264="nulová",J264,0)</f>
        <v>0</v>
      </c>
      <c r="BJ264" s="13" t="s">
        <v>74</v>
      </c>
      <c r="BK264" s="14">
        <f>ROUND(I264*H264,2)</f>
        <v>0</v>
      </c>
      <c r="BL264" s="13" t="s">
        <v>135</v>
      </c>
      <c r="BM264" s="12" t="s">
        <v>464</v>
      </c>
    </row>
    <row r="265" spans="1:65" s="5" customFormat="1" ht="24" x14ac:dyDescent="0.2">
      <c r="A265" s="105"/>
      <c r="B265" s="140"/>
      <c r="C265" s="33" t="s">
        <v>480</v>
      </c>
      <c r="D265" s="33" t="s">
        <v>131</v>
      </c>
      <c r="E265" s="34" t="s">
        <v>1076</v>
      </c>
      <c r="F265" s="7" t="s">
        <v>1077</v>
      </c>
      <c r="G265" s="35" t="s">
        <v>1037</v>
      </c>
      <c r="H265" s="36">
        <v>9</v>
      </c>
      <c r="I265" s="1"/>
      <c r="J265" s="6">
        <f>ROUND(I265*H265,2)</f>
        <v>0</v>
      </c>
      <c r="K265" s="151" t="s">
        <v>1</v>
      </c>
      <c r="L265" s="17"/>
      <c r="M265" s="8" t="s">
        <v>1</v>
      </c>
      <c r="N265" s="9" t="s">
        <v>33</v>
      </c>
      <c r="O265" s="10">
        <v>0</v>
      </c>
      <c r="P265" s="10">
        <f>O265*H265</f>
        <v>0</v>
      </c>
      <c r="Q265" s="10">
        <v>0</v>
      </c>
      <c r="R265" s="10">
        <f>Q265*H265</f>
        <v>0</v>
      </c>
      <c r="S265" s="10">
        <v>0</v>
      </c>
      <c r="T265" s="11">
        <f>S265*H265</f>
        <v>0</v>
      </c>
      <c r="U265" s="105"/>
      <c r="V265" s="105"/>
      <c r="W265" s="105"/>
      <c r="X265" s="105"/>
      <c r="Y265" s="105"/>
      <c r="Z265" s="105"/>
      <c r="AA265" s="105"/>
      <c r="AB265" s="105"/>
      <c r="AC265" s="105"/>
      <c r="AD265" s="105"/>
      <c r="AE265" s="105"/>
      <c r="AR265" s="12" t="s">
        <v>135</v>
      </c>
      <c r="AT265" s="12" t="s">
        <v>131</v>
      </c>
      <c r="AU265" s="12" t="s">
        <v>74</v>
      </c>
      <c r="AY265" s="13" t="s">
        <v>130</v>
      </c>
      <c r="BE265" s="14">
        <f>IF(N265="základní",J265,0)</f>
        <v>0</v>
      </c>
      <c r="BF265" s="14">
        <f>IF(N265="snížená",J265,0)</f>
        <v>0</v>
      </c>
      <c r="BG265" s="14">
        <f>IF(N265="zákl. přenesená",J265,0)</f>
        <v>0</v>
      </c>
      <c r="BH265" s="14">
        <f>IF(N265="sníž. přenesená",J265,0)</f>
        <v>0</v>
      </c>
      <c r="BI265" s="14">
        <f>IF(N265="nulová",J265,0)</f>
        <v>0</v>
      </c>
      <c r="BJ265" s="13" t="s">
        <v>74</v>
      </c>
      <c r="BK265" s="14">
        <f>ROUND(I265*H265,2)</f>
        <v>0</v>
      </c>
      <c r="BL265" s="13" t="s">
        <v>135</v>
      </c>
      <c r="BM265" s="12" t="s">
        <v>466</v>
      </c>
    </row>
    <row r="266" spans="1:65" s="20" customFormat="1" ht="25.9" customHeight="1" x14ac:dyDescent="0.2">
      <c r="B266" s="172"/>
      <c r="C266" s="23"/>
      <c r="D266" s="173" t="s">
        <v>67</v>
      </c>
      <c r="E266" s="174" t="s">
        <v>243</v>
      </c>
      <c r="F266" s="174" t="s">
        <v>1078</v>
      </c>
      <c r="G266" s="23"/>
      <c r="H266" s="23"/>
      <c r="I266" s="23"/>
      <c r="J266" s="175">
        <f>BK266</f>
        <v>0</v>
      </c>
      <c r="K266" s="176"/>
      <c r="L266" s="23"/>
      <c r="M266" s="22"/>
      <c r="N266" s="23"/>
      <c r="O266" s="23"/>
      <c r="P266" s="24">
        <f>SUM(P268:P271)</f>
        <v>0</v>
      </c>
      <c r="Q266" s="23"/>
      <c r="R266" s="24">
        <f>SUM(R268:R271)</f>
        <v>0</v>
      </c>
      <c r="S266" s="23"/>
      <c r="T266" s="25">
        <f>SUM(T268:T271)</f>
        <v>0</v>
      </c>
      <c r="AR266" s="26" t="s">
        <v>74</v>
      </c>
      <c r="AT266" s="27" t="s">
        <v>67</v>
      </c>
      <c r="AU266" s="27" t="s">
        <v>68</v>
      </c>
      <c r="AY266" s="26" t="s">
        <v>130</v>
      </c>
      <c r="BK266" s="28">
        <f>SUM(BK268:BK271)</f>
        <v>0</v>
      </c>
    </row>
    <row r="267" spans="1:65" s="5" customFormat="1" ht="10.15" customHeight="1" x14ac:dyDescent="0.2">
      <c r="B267" s="177"/>
      <c r="C267" s="16"/>
      <c r="D267" s="178" t="s">
        <v>340</v>
      </c>
      <c r="E267" s="16"/>
      <c r="F267" s="179" t="s">
        <v>1227</v>
      </c>
      <c r="G267" s="16"/>
      <c r="H267" s="180">
        <f>(8.34*2*3.14*0.0125)+(6*3.14*0.0125*0.0125)</f>
        <v>0.65763375000000002</v>
      </c>
      <c r="I267" s="16"/>
      <c r="J267" s="16"/>
      <c r="K267" s="181"/>
      <c r="L267" s="16"/>
      <c r="S267" s="129"/>
      <c r="AS267" s="126" t="s">
        <v>148</v>
      </c>
      <c r="AT267" s="126" t="s">
        <v>74</v>
      </c>
    </row>
    <row r="268" spans="1:65" s="5" customFormat="1" ht="16.5" customHeight="1" x14ac:dyDescent="0.2">
      <c r="A268" s="105"/>
      <c r="B268" s="140"/>
      <c r="C268" s="33" t="s">
        <v>262</v>
      </c>
      <c r="D268" s="33" t="s">
        <v>131</v>
      </c>
      <c r="E268" s="34" t="s">
        <v>1024</v>
      </c>
      <c r="F268" s="7" t="s">
        <v>1025</v>
      </c>
      <c r="G268" s="35" t="s">
        <v>134</v>
      </c>
      <c r="H268" s="36">
        <v>0.65800000000000003</v>
      </c>
      <c r="I268" s="1"/>
      <c r="J268" s="6">
        <f>ROUND(I268*H268,2)</f>
        <v>0</v>
      </c>
      <c r="K268" s="151" t="s">
        <v>1</v>
      </c>
      <c r="L268" s="17"/>
      <c r="M268" s="8" t="s">
        <v>1</v>
      </c>
      <c r="N268" s="9" t="s">
        <v>33</v>
      </c>
      <c r="O268" s="10">
        <v>0</v>
      </c>
      <c r="P268" s="10">
        <f>O268*H268</f>
        <v>0</v>
      </c>
      <c r="Q268" s="10">
        <v>0</v>
      </c>
      <c r="R268" s="10">
        <f>Q268*H268</f>
        <v>0</v>
      </c>
      <c r="S268" s="10">
        <v>0</v>
      </c>
      <c r="T268" s="11">
        <f>S268*H268</f>
        <v>0</v>
      </c>
      <c r="U268" s="105"/>
      <c r="V268" s="105"/>
      <c r="W268" s="105"/>
      <c r="X268" s="105"/>
      <c r="Y268" s="105"/>
      <c r="Z268" s="105"/>
      <c r="AA268" s="105"/>
      <c r="AB268" s="105"/>
      <c r="AC268" s="105"/>
      <c r="AD268" s="105"/>
      <c r="AE268" s="105"/>
      <c r="AR268" s="12" t="s">
        <v>135</v>
      </c>
      <c r="AT268" s="12" t="s">
        <v>131</v>
      </c>
      <c r="AU268" s="12" t="s">
        <v>74</v>
      </c>
      <c r="AY268" s="13" t="s">
        <v>130</v>
      </c>
      <c r="BE268" s="14">
        <f>IF(N268="základní",J268,0)</f>
        <v>0</v>
      </c>
      <c r="BF268" s="14">
        <f>IF(N268="snížená",J268,0)</f>
        <v>0</v>
      </c>
      <c r="BG268" s="14">
        <f>IF(N268="zákl. přenesená",J268,0)</f>
        <v>0</v>
      </c>
      <c r="BH268" s="14">
        <f>IF(N268="sníž. přenesená",J268,0)</f>
        <v>0</v>
      </c>
      <c r="BI268" s="14">
        <f>IF(N268="nulová",J268,0)</f>
        <v>0</v>
      </c>
      <c r="BJ268" s="13" t="s">
        <v>74</v>
      </c>
      <c r="BK268" s="14">
        <f>ROUND(I268*H268,2)</f>
        <v>0</v>
      </c>
      <c r="BL268" s="13" t="s">
        <v>135</v>
      </c>
      <c r="BM268" s="12" t="s">
        <v>467</v>
      </c>
    </row>
    <row r="269" spans="1:65" s="5" customFormat="1" ht="16.5" customHeight="1" x14ac:dyDescent="0.2">
      <c r="A269" s="105"/>
      <c r="B269" s="140"/>
      <c r="C269" s="33" t="s">
        <v>485</v>
      </c>
      <c r="D269" s="33" t="s">
        <v>131</v>
      </c>
      <c r="E269" s="34" t="s">
        <v>1026</v>
      </c>
      <c r="F269" s="7" t="s">
        <v>1027</v>
      </c>
      <c r="G269" s="35" t="s">
        <v>134</v>
      </c>
      <c r="H269" s="36">
        <v>0.65800000000000003</v>
      </c>
      <c r="I269" s="1"/>
      <c r="J269" s="6">
        <f>ROUND(I269*H269,2)</f>
        <v>0</v>
      </c>
      <c r="K269" s="151" t="s">
        <v>1</v>
      </c>
      <c r="L269" s="17"/>
      <c r="M269" s="8" t="s">
        <v>1</v>
      </c>
      <c r="N269" s="9" t="s">
        <v>33</v>
      </c>
      <c r="O269" s="10">
        <v>0</v>
      </c>
      <c r="P269" s="10">
        <f>O269*H269</f>
        <v>0</v>
      </c>
      <c r="Q269" s="10">
        <v>0</v>
      </c>
      <c r="R269" s="10">
        <f>Q269*H269</f>
        <v>0</v>
      </c>
      <c r="S269" s="10">
        <v>0</v>
      </c>
      <c r="T269" s="11">
        <f>S269*H269</f>
        <v>0</v>
      </c>
      <c r="U269" s="105"/>
      <c r="V269" s="105"/>
      <c r="W269" s="105"/>
      <c r="X269" s="105"/>
      <c r="Y269" s="105"/>
      <c r="Z269" s="105"/>
      <c r="AA269" s="105"/>
      <c r="AB269" s="105"/>
      <c r="AC269" s="105"/>
      <c r="AD269" s="105"/>
      <c r="AE269" s="105"/>
      <c r="AR269" s="12" t="s">
        <v>135</v>
      </c>
      <c r="AT269" s="12" t="s">
        <v>131</v>
      </c>
      <c r="AU269" s="12" t="s">
        <v>74</v>
      </c>
      <c r="AY269" s="13" t="s">
        <v>130</v>
      </c>
      <c r="BE269" s="14">
        <f>IF(N269="základní",J269,0)</f>
        <v>0</v>
      </c>
      <c r="BF269" s="14">
        <f>IF(N269="snížená",J269,0)</f>
        <v>0</v>
      </c>
      <c r="BG269" s="14">
        <f>IF(N269="zákl. přenesená",J269,0)</f>
        <v>0</v>
      </c>
      <c r="BH269" s="14">
        <f>IF(N269="sníž. přenesená",J269,0)</f>
        <v>0</v>
      </c>
      <c r="BI269" s="14">
        <f>IF(N269="nulová",J269,0)</f>
        <v>0</v>
      </c>
      <c r="BJ269" s="13" t="s">
        <v>74</v>
      </c>
      <c r="BK269" s="14">
        <f>ROUND(I269*H269,2)</f>
        <v>0</v>
      </c>
      <c r="BL269" s="13" t="s">
        <v>135</v>
      </c>
      <c r="BM269" s="12" t="s">
        <v>469</v>
      </c>
    </row>
    <row r="270" spans="1:65" s="5" customFormat="1" ht="16.5" customHeight="1" x14ac:dyDescent="0.2">
      <c r="A270" s="105"/>
      <c r="B270" s="140"/>
      <c r="C270" s="33" t="s">
        <v>492</v>
      </c>
      <c r="D270" s="33" t="s">
        <v>131</v>
      </c>
      <c r="E270" s="34" t="s">
        <v>1030</v>
      </c>
      <c r="F270" s="7" t="s">
        <v>1031</v>
      </c>
      <c r="G270" s="35" t="s">
        <v>134</v>
      </c>
      <c r="H270" s="36">
        <v>0.65800000000000003</v>
      </c>
      <c r="I270" s="1"/>
      <c r="J270" s="6">
        <f>ROUND(I270*H270,2)</f>
        <v>0</v>
      </c>
      <c r="K270" s="151" t="s">
        <v>1</v>
      </c>
      <c r="L270" s="17"/>
      <c r="M270" s="8" t="s">
        <v>1</v>
      </c>
      <c r="N270" s="9" t="s">
        <v>33</v>
      </c>
      <c r="O270" s="10">
        <v>0</v>
      </c>
      <c r="P270" s="10">
        <f>O270*H270</f>
        <v>0</v>
      </c>
      <c r="Q270" s="10">
        <v>0</v>
      </c>
      <c r="R270" s="10">
        <f>Q270*H270</f>
        <v>0</v>
      </c>
      <c r="S270" s="10">
        <v>0</v>
      </c>
      <c r="T270" s="11">
        <f>S270*H270</f>
        <v>0</v>
      </c>
      <c r="U270" s="105"/>
      <c r="V270" s="105"/>
      <c r="W270" s="105"/>
      <c r="X270" s="105"/>
      <c r="Y270" s="105"/>
      <c r="Z270" s="105"/>
      <c r="AA270" s="105"/>
      <c r="AB270" s="105"/>
      <c r="AC270" s="105"/>
      <c r="AD270" s="105"/>
      <c r="AE270" s="105"/>
      <c r="AR270" s="12" t="s">
        <v>135</v>
      </c>
      <c r="AT270" s="12" t="s">
        <v>131</v>
      </c>
      <c r="AU270" s="12" t="s">
        <v>74</v>
      </c>
      <c r="AY270" s="13" t="s">
        <v>130</v>
      </c>
      <c r="BE270" s="14">
        <f>IF(N270="základní",J270,0)</f>
        <v>0</v>
      </c>
      <c r="BF270" s="14">
        <f>IF(N270="snížená",J270,0)</f>
        <v>0</v>
      </c>
      <c r="BG270" s="14">
        <f>IF(N270="zákl. přenesená",J270,0)</f>
        <v>0</v>
      </c>
      <c r="BH270" s="14">
        <f>IF(N270="sníž. přenesená",J270,0)</f>
        <v>0</v>
      </c>
      <c r="BI270" s="14">
        <f>IF(N270="nulová",J270,0)</f>
        <v>0</v>
      </c>
      <c r="BJ270" s="13" t="s">
        <v>74</v>
      </c>
      <c r="BK270" s="14">
        <f>ROUND(I270*H270,2)</f>
        <v>0</v>
      </c>
      <c r="BL270" s="13" t="s">
        <v>135</v>
      </c>
      <c r="BM270" s="12" t="s">
        <v>471</v>
      </c>
    </row>
    <row r="271" spans="1:65" s="5" customFormat="1" ht="16.5" customHeight="1" x14ac:dyDescent="0.2">
      <c r="A271" s="105"/>
      <c r="B271" s="140"/>
      <c r="C271" s="33" t="s">
        <v>269</v>
      </c>
      <c r="D271" s="33" t="s">
        <v>131</v>
      </c>
      <c r="E271" s="34" t="s">
        <v>1032</v>
      </c>
      <c r="F271" s="7" t="s">
        <v>1033</v>
      </c>
      <c r="G271" s="35" t="s">
        <v>134</v>
      </c>
      <c r="H271" s="36">
        <v>0.65800000000000003</v>
      </c>
      <c r="I271" s="1"/>
      <c r="J271" s="6">
        <f>ROUND(I271*H271,2)</f>
        <v>0</v>
      </c>
      <c r="K271" s="151" t="s">
        <v>1</v>
      </c>
      <c r="L271" s="17"/>
      <c r="M271" s="8" t="s">
        <v>1</v>
      </c>
      <c r="N271" s="9" t="s">
        <v>33</v>
      </c>
      <c r="O271" s="10">
        <v>0</v>
      </c>
      <c r="P271" s="10">
        <f>O271*H271</f>
        <v>0</v>
      </c>
      <c r="Q271" s="10">
        <v>0</v>
      </c>
      <c r="R271" s="10">
        <f>Q271*H271</f>
        <v>0</v>
      </c>
      <c r="S271" s="10">
        <v>0</v>
      </c>
      <c r="T271" s="11">
        <f>S271*H271</f>
        <v>0</v>
      </c>
      <c r="U271" s="105"/>
      <c r="V271" s="105"/>
      <c r="W271" s="105"/>
      <c r="X271" s="105"/>
      <c r="Y271" s="105"/>
      <c r="Z271" s="105"/>
      <c r="AA271" s="105"/>
      <c r="AB271" s="105"/>
      <c r="AC271" s="105"/>
      <c r="AD271" s="105"/>
      <c r="AE271" s="105"/>
      <c r="AR271" s="12" t="s">
        <v>135</v>
      </c>
      <c r="AT271" s="12" t="s">
        <v>131</v>
      </c>
      <c r="AU271" s="12" t="s">
        <v>74</v>
      </c>
      <c r="AY271" s="13" t="s">
        <v>130</v>
      </c>
      <c r="BE271" s="14">
        <f>IF(N271="základní",J271,0)</f>
        <v>0</v>
      </c>
      <c r="BF271" s="14">
        <f>IF(N271="snížená",J271,0)</f>
        <v>0</v>
      </c>
      <c r="BG271" s="14">
        <f>IF(N271="zákl. přenesená",J271,0)</f>
        <v>0</v>
      </c>
      <c r="BH271" s="14">
        <f>IF(N271="sníž. přenesená",J271,0)</f>
        <v>0</v>
      </c>
      <c r="BI271" s="14">
        <f>IF(N271="nulová",J271,0)</f>
        <v>0</v>
      </c>
      <c r="BJ271" s="13" t="s">
        <v>74</v>
      </c>
      <c r="BK271" s="14">
        <f>ROUND(I271*H271,2)</f>
        <v>0</v>
      </c>
      <c r="BL271" s="13" t="s">
        <v>135</v>
      </c>
      <c r="BM271" s="12" t="s">
        <v>473</v>
      </c>
    </row>
    <row r="272" spans="1:65" s="20" customFormat="1" ht="25.9" customHeight="1" x14ac:dyDescent="0.2">
      <c r="B272" s="172"/>
      <c r="C272" s="23"/>
      <c r="D272" s="173" t="s">
        <v>67</v>
      </c>
      <c r="E272" s="174" t="s">
        <v>250</v>
      </c>
      <c r="F272" s="174" t="s">
        <v>1079</v>
      </c>
      <c r="G272" s="23"/>
      <c r="H272" s="23"/>
      <c r="I272" s="23"/>
      <c r="J272" s="175">
        <f>BK272</f>
        <v>0</v>
      </c>
      <c r="K272" s="176"/>
      <c r="L272" s="23"/>
      <c r="M272" s="22"/>
      <c r="N272" s="23"/>
      <c r="O272" s="23"/>
      <c r="P272" s="24">
        <f>SUM(P275:P278)</f>
        <v>0</v>
      </c>
      <c r="Q272" s="23"/>
      <c r="R272" s="24">
        <f>SUM(R275:R278)</f>
        <v>0</v>
      </c>
      <c r="S272" s="23"/>
      <c r="T272" s="25">
        <f>SUM(T275:T278)</f>
        <v>0</v>
      </c>
      <c r="AR272" s="26" t="s">
        <v>74</v>
      </c>
      <c r="AT272" s="27" t="s">
        <v>67</v>
      </c>
      <c r="AU272" s="27" t="s">
        <v>68</v>
      </c>
      <c r="AY272" s="26" t="s">
        <v>130</v>
      </c>
      <c r="BK272" s="28">
        <f>SUM(BK275:BK278)</f>
        <v>0</v>
      </c>
    </row>
    <row r="273" spans="1:65" s="5" customFormat="1" ht="17.25" customHeight="1" x14ac:dyDescent="0.2">
      <c r="B273" s="177"/>
      <c r="C273" s="16"/>
      <c r="D273" s="178" t="s">
        <v>340</v>
      </c>
      <c r="E273" s="16"/>
      <c r="F273" s="179" t="s">
        <v>1228</v>
      </c>
      <c r="G273" s="16"/>
      <c r="H273" s="180">
        <f>1.2*0.96</f>
        <v>1.1519999999999999</v>
      </c>
      <c r="I273" s="16"/>
      <c r="J273" s="16"/>
      <c r="K273" s="181"/>
      <c r="L273" s="16"/>
      <c r="S273" s="129"/>
      <c r="AS273" s="126" t="s">
        <v>148</v>
      </c>
      <c r="AT273" s="126" t="s">
        <v>74</v>
      </c>
    </row>
    <row r="274" spans="1:65" s="5" customFormat="1" ht="10.15" customHeight="1" x14ac:dyDescent="0.2">
      <c r="B274" s="177"/>
      <c r="C274" s="16"/>
      <c r="D274" s="178" t="s">
        <v>340</v>
      </c>
      <c r="E274" s="16"/>
      <c r="F274" s="179" t="s">
        <v>1215</v>
      </c>
      <c r="G274" s="180"/>
      <c r="H274" s="16"/>
      <c r="I274" s="16"/>
      <c r="J274" s="16"/>
      <c r="K274" s="181"/>
      <c r="L274" s="16"/>
      <c r="S274" s="129"/>
      <c r="AS274" s="126" t="s">
        <v>148</v>
      </c>
      <c r="AT274" s="126" t="s">
        <v>74</v>
      </c>
    </row>
    <row r="275" spans="1:65" s="5" customFormat="1" ht="16.5" customHeight="1" x14ac:dyDescent="0.2">
      <c r="A275" s="105"/>
      <c r="B275" s="140"/>
      <c r="C275" s="33" t="s">
        <v>499</v>
      </c>
      <c r="D275" s="33" t="s">
        <v>131</v>
      </c>
      <c r="E275" s="34" t="s">
        <v>1060</v>
      </c>
      <c r="F275" s="7" t="s">
        <v>1061</v>
      </c>
      <c r="G275" s="35" t="s">
        <v>134</v>
      </c>
      <c r="H275" s="36">
        <v>1.1519999999999999</v>
      </c>
      <c r="I275" s="1"/>
      <c r="J275" s="6">
        <f>ROUND(I275*H275,2)</f>
        <v>0</v>
      </c>
      <c r="K275" s="151" t="s">
        <v>1</v>
      </c>
      <c r="L275" s="17"/>
      <c r="M275" s="8" t="s">
        <v>1</v>
      </c>
      <c r="N275" s="9" t="s">
        <v>33</v>
      </c>
      <c r="O275" s="10">
        <v>0</v>
      </c>
      <c r="P275" s="10">
        <f>O275*H275</f>
        <v>0</v>
      </c>
      <c r="Q275" s="10">
        <v>0</v>
      </c>
      <c r="R275" s="10">
        <f>Q275*H275</f>
        <v>0</v>
      </c>
      <c r="S275" s="10">
        <v>0</v>
      </c>
      <c r="T275" s="11">
        <f>S275*H275</f>
        <v>0</v>
      </c>
      <c r="U275" s="105"/>
      <c r="V275" s="105"/>
      <c r="W275" s="105"/>
      <c r="X275" s="105"/>
      <c r="Y275" s="105"/>
      <c r="Z275" s="105"/>
      <c r="AA275" s="105"/>
      <c r="AB275" s="105"/>
      <c r="AC275" s="105"/>
      <c r="AD275" s="105"/>
      <c r="AE275" s="105"/>
      <c r="AR275" s="12" t="s">
        <v>135</v>
      </c>
      <c r="AT275" s="12" t="s">
        <v>131</v>
      </c>
      <c r="AU275" s="12" t="s">
        <v>74</v>
      </c>
      <c r="AY275" s="13" t="s">
        <v>130</v>
      </c>
      <c r="BE275" s="14">
        <f>IF(N275="základní",J275,0)</f>
        <v>0</v>
      </c>
      <c r="BF275" s="14">
        <f>IF(N275="snížená",J275,0)</f>
        <v>0</v>
      </c>
      <c r="BG275" s="14">
        <f>IF(N275="zákl. přenesená",J275,0)</f>
        <v>0</v>
      </c>
      <c r="BH275" s="14">
        <f>IF(N275="sníž. přenesená",J275,0)</f>
        <v>0</v>
      </c>
      <c r="BI275" s="14">
        <f>IF(N275="nulová",J275,0)</f>
        <v>0</v>
      </c>
      <c r="BJ275" s="13" t="s">
        <v>74</v>
      </c>
      <c r="BK275" s="14">
        <f>ROUND(I275*H275,2)</f>
        <v>0</v>
      </c>
      <c r="BL275" s="13" t="s">
        <v>135</v>
      </c>
      <c r="BM275" s="12" t="s">
        <v>474</v>
      </c>
    </row>
    <row r="276" spans="1:65" s="5" customFormat="1" ht="21.75" customHeight="1" x14ac:dyDescent="0.2">
      <c r="A276" s="105"/>
      <c r="B276" s="140"/>
      <c r="C276" s="33" t="s">
        <v>274</v>
      </c>
      <c r="D276" s="33" t="s">
        <v>131</v>
      </c>
      <c r="E276" s="34" t="s">
        <v>1062</v>
      </c>
      <c r="F276" s="7" t="s">
        <v>1063</v>
      </c>
      <c r="G276" s="35" t="s">
        <v>134</v>
      </c>
      <c r="H276" s="36">
        <v>1.1519999999999999</v>
      </c>
      <c r="I276" s="1"/>
      <c r="J276" s="6">
        <f>ROUND(I276*H276,2)</f>
        <v>0</v>
      </c>
      <c r="K276" s="151" t="s">
        <v>1</v>
      </c>
      <c r="L276" s="17"/>
      <c r="M276" s="8" t="s">
        <v>1</v>
      </c>
      <c r="N276" s="9" t="s">
        <v>33</v>
      </c>
      <c r="O276" s="10">
        <v>0</v>
      </c>
      <c r="P276" s="10">
        <f>O276*H276</f>
        <v>0</v>
      </c>
      <c r="Q276" s="10">
        <v>0</v>
      </c>
      <c r="R276" s="10">
        <f>Q276*H276</f>
        <v>0</v>
      </c>
      <c r="S276" s="10">
        <v>0</v>
      </c>
      <c r="T276" s="11">
        <f>S276*H276</f>
        <v>0</v>
      </c>
      <c r="U276" s="105"/>
      <c r="V276" s="105"/>
      <c r="W276" s="105"/>
      <c r="X276" s="105"/>
      <c r="Y276" s="105"/>
      <c r="Z276" s="105"/>
      <c r="AA276" s="105"/>
      <c r="AB276" s="105"/>
      <c r="AC276" s="105"/>
      <c r="AD276" s="105"/>
      <c r="AE276" s="105"/>
      <c r="AR276" s="12" t="s">
        <v>135</v>
      </c>
      <c r="AT276" s="12" t="s">
        <v>131</v>
      </c>
      <c r="AU276" s="12" t="s">
        <v>74</v>
      </c>
      <c r="AY276" s="13" t="s">
        <v>130</v>
      </c>
      <c r="BE276" s="14">
        <f>IF(N276="základní",J276,0)</f>
        <v>0</v>
      </c>
      <c r="BF276" s="14">
        <f>IF(N276="snížená",J276,0)</f>
        <v>0</v>
      </c>
      <c r="BG276" s="14">
        <f>IF(N276="zákl. přenesená",J276,0)</f>
        <v>0</v>
      </c>
      <c r="BH276" s="14">
        <f>IF(N276="sníž. přenesená",J276,0)</f>
        <v>0</v>
      </c>
      <c r="BI276" s="14">
        <f>IF(N276="nulová",J276,0)</f>
        <v>0</v>
      </c>
      <c r="BJ276" s="13" t="s">
        <v>74</v>
      </c>
      <c r="BK276" s="14">
        <f>ROUND(I276*H276,2)</f>
        <v>0</v>
      </c>
      <c r="BL276" s="13" t="s">
        <v>135</v>
      </c>
      <c r="BM276" s="12" t="s">
        <v>477</v>
      </c>
    </row>
    <row r="277" spans="1:65" s="5" customFormat="1" ht="16.5" customHeight="1" x14ac:dyDescent="0.2">
      <c r="A277" s="105"/>
      <c r="B277" s="140"/>
      <c r="C277" s="33" t="s">
        <v>502</v>
      </c>
      <c r="D277" s="33" t="s">
        <v>131</v>
      </c>
      <c r="E277" s="34" t="s">
        <v>1064</v>
      </c>
      <c r="F277" s="7" t="s">
        <v>1065</v>
      </c>
      <c r="G277" s="35" t="s">
        <v>134</v>
      </c>
      <c r="H277" s="36">
        <v>1.1519999999999999</v>
      </c>
      <c r="I277" s="1"/>
      <c r="J277" s="6">
        <f>ROUND(I277*H277,2)</f>
        <v>0</v>
      </c>
      <c r="K277" s="151" t="s">
        <v>1</v>
      </c>
      <c r="L277" s="17"/>
      <c r="M277" s="8" t="s">
        <v>1</v>
      </c>
      <c r="N277" s="9" t="s">
        <v>33</v>
      </c>
      <c r="O277" s="10">
        <v>0</v>
      </c>
      <c r="P277" s="10">
        <f>O277*H277</f>
        <v>0</v>
      </c>
      <c r="Q277" s="10">
        <v>0</v>
      </c>
      <c r="R277" s="10">
        <f>Q277*H277</f>
        <v>0</v>
      </c>
      <c r="S277" s="10">
        <v>0</v>
      </c>
      <c r="T277" s="11">
        <f>S277*H277</f>
        <v>0</v>
      </c>
      <c r="U277" s="105"/>
      <c r="V277" s="105"/>
      <c r="W277" s="105"/>
      <c r="X277" s="105"/>
      <c r="Y277" s="105"/>
      <c r="Z277" s="105"/>
      <c r="AA277" s="105"/>
      <c r="AB277" s="105"/>
      <c r="AC277" s="105"/>
      <c r="AD277" s="105"/>
      <c r="AE277" s="105"/>
      <c r="AR277" s="12" t="s">
        <v>135</v>
      </c>
      <c r="AT277" s="12" t="s">
        <v>131</v>
      </c>
      <c r="AU277" s="12" t="s">
        <v>74</v>
      </c>
      <c r="AY277" s="13" t="s">
        <v>130</v>
      </c>
      <c r="BE277" s="14">
        <f>IF(N277="základní",J277,0)</f>
        <v>0</v>
      </c>
      <c r="BF277" s="14">
        <f>IF(N277="snížená",J277,0)</f>
        <v>0</v>
      </c>
      <c r="BG277" s="14">
        <f>IF(N277="zákl. přenesená",J277,0)</f>
        <v>0</v>
      </c>
      <c r="BH277" s="14">
        <f>IF(N277="sníž. přenesená",J277,0)</f>
        <v>0</v>
      </c>
      <c r="BI277" s="14">
        <f>IF(N277="nulová",J277,0)</f>
        <v>0</v>
      </c>
      <c r="BJ277" s="13" t="s">
        <v>74</v>
      </c>
      <c r="BK277" s="14">
        <f>ROUND(I277*H277,2)</f>
        <v>0</v>
      </c>
      <c r="BL277" s="13" t="s">
        <v>135</v>
      </c>
      <c r="BM277" s="12" t="s">
        <v>479</v>
      </c>
    </row>
    <row r="278" spans="1:65" s="5" customFormat="1" ht="16.5" customHeight="1" x14ac:dyDescent="0.2">
      <c r="A278" s="105"/>
      <c r="B278" s="140"/>
      <c r="C278" s="33" t="s">
        <v>275</v>
      </c>
      <c r="D278" s="33" t="s">
        <v>131</v>
      </c>
      <c r="E278" s="34" t="s">
        <v>1066</v>
      </c>
      <c r="F278" s="7" t="s">
        <v>1067</v>
      </c>
      <c r="G278" s="35" t="s">
        <v>134</v>
      </c>
      <c r="H278" s="36">
        <v>1.1519999999999999</v>
      </c>
      <c r="I278" s="1"/>
      <c r="J278" s="6">
        <f>ROUND(I278*H278,2)</f>
        <v>0</v>
      </c>
      <c r="K278" s="151" t="s">
        <v>1</v>
      </c>
      <c r="L278" s="17"/>
      <c r="M278" s="8" t="s">
        <v>1</v>
      </c>
      <c r="N278" s="9" t="s">
        <v>33</v>
      </c>
      <c r="O278" s="10">
        <v>0</v>
      </c>
      <c r="P278" s="10">
        <f>O278*H278</f>
        <v>0</v>
      </c>
      <c r="Q278" s="10">
        <v>0</v>
      </c>
      <c r="R278" s="10">
        <f>Q278*H278</f>
        <v>0</v>
      </c>
      <c r="S278" s="10">
        <v>0</v>
      </c>
      <c r="T278" s="11">
        <f>S278*H278</f>
        <v>0</v>
      </c>
      <c r="U278" s="105"/>
      <c r="V278" s="105"/>
      <c r="W278" s="105"/>
      <c r="X278" s="105"/>
      <c r="Y278" s="105"/>
      <c r="Z278" s="105"/>
      <c r="AA278" s="105"/>
      <c r="AB278" s="105"/>
      <c r="AC278" s="105"/>
      <c r="AD278" s="105"/>
      <c r="AE278" s="105"/>
      <c r="AR278" s="12" t="s">
        <v>135</v>
      </c>
      <c r="AT278" s="12" t="s">
        <v>131</v>
      </c>
      <c r="AU278" s="12" t="s">
        <v>74</v>
      </c>
      <c r="AY278" s="13" t="s">
        <v>130</v>
      </c>
      <c r="BE278" s="14">
        <f>IF(N278="základní",J278,0)</f>
        <v>0</v>
      </c>
      <c r="BF278" s="14">
        <f>IF(N278="snížená",J278,0)</f>
        <v>0</v>
      </c>
      <c r="BG278" s="14">
        <f>IF(N278="zákl. přenesená",J278,0)</f>
        <v>0</v>
      </c>
      <c r="BH278" s="14">
        <f>IF(N278="sníž. přenesená",J278,0)</f>
        <v>0</v>
      </c>
      <c r="BI278" s="14">
        <f>IF(N278="nulová",J278,0)</f>
        <v>0</v>
      </c>
      <c r="BJ278" s="13" t="s">
        <v>74</v>
      </c>
      <c r="BK278" s="14">
        <f>ROUND(I278*H278,2)</f>
        <v>0</v>
      </c>
      <c r="BL278" s="13" t="s">
        <v>135</v>
      </c>
      <c r="BM278" s="12" t="s">
        <v>481</v>
      </c>
    </row>
    <row r="279" spans="1:65" s="20" customFormat="1" ht="25.9" customHeight="1" x14ac:dyDescent="0.2">
      <c r="B279" s="172"/>
      <c r="C279" s="23"/>
      <c r="D279" s="173" t="s">
        <v>67</v>
      </c>
      <c r="E279" s="174" t="s">
        <v>256</v>
      </c>
      <c r="F279" s="174" t="s">
        <v>1080</v>
      </c>
      <c r="G279" s="23"/>
      <c r="H279" s="23"/>
      <c r="I279" s="23"/>
      <c r="J279" s="175">
        <f>BK279</f>
        <v>0</v>
      </c>
      <c r="K279" s="176"/>
      <c r="L279" s="23"/>
      <c r="M279" s="22"/>
      <c r="N279" s="23"/>
      <c r="O279" s="23"/>
      <c r="P279" s="24">
        <f>SUM(P282:P287)</f>
        <v>0</v>
      </c>
      <c r="Q279" s="23"/>
      <c r="R279" s="24">
        <f>SUM(R282:R287)</f>
        <v>0</v>
      </c>
      <c r="S279" s="23"/>
      <c r="T279" s="25">
        <f>SUM(T282:T287)</f>
        <v>0</v>
      </c>
      <c r="AR279" s="26" t="s">
        <v>74</v>
      </c>
      <c r="AT279" s="27" t="s">
        <v>67</v>
      </c>
      <c r="AU279" s="27" t="s">
        <v>68</v>
      </c>
      <c r="AY279" s="26" t="s">
        <v>130</v>
      </c>
      <c r="BK279" s="28">
        <f>SUM(BK282:BK287)</f>
        <v>0</v>
      </c>
    </row>
    <row r="280" spans="1:65" s="5" customFormat="1" ht="10.15" customHeight="1" x14ac:dyDescent="0.2">
      <c r="B280" s="177"/>
      <c r="C280" s="16"/>
      <c r="D280" s="178" t="s">
        <v>340</v>
      </c>
      <c r="E280" s="16"/>
      <c r="F280" s="179" t="s">
        <v>1224</v>
      </c>
      <c r="G280" s="16"/>
      <c r="H280" s="180">
        <f>5.47*1.1</f>
        <v>6.0170000000000003</v>
      </c>
      <c r="I280" s="16"/>
      <c r="J280" s="16"/>
      <c r="K280" s="181"/>
      <c r="L280" s="16"/>
      <c r="S280" s="129"/>
      <c r="AS280" s="126" t="s">
        <v>148</v>
      </c>
      <c r="AT280" s="126" t="s">
        <v>74</v>
      </c>
    </row>
    <row r="281" spans="1:65" s="5" customFormat="1" ht="10.15" customHeight="1" x14ac:dyDescent="0.2">
      <c r="B281" s="177"/>
      <c r="C281" s="16"/>
      <c r="D281" s="178" t="s">
        <v>340</v>
      </c>
      <c r="E281" s="16"/>
      <c r="F281" s="179" t="s">
        <v>1215</v>
      </c>
      <c r="G281" s="180"/>
      <c r="H281" s="16"/>
      <c r="I281" s="16"/>
      <c r="J281" s="16"/>
      <c r="K281" s="181"/>
      <c r="L281" s="16"/>
      <c r="S281" s="129"/>
      <c r="AS281" s="126" t="s">
        <v>148</v>
      </c>
      <c r="AT281" s="126" t="s">
        <v>74</v>
      </c>
    </row>
    <row r="282" spans="1:65" s="5" customFormat="1" ht="16.5" customHeight="1" x14ac:dyDescent="0.2">
      <c r="A282" s="105"/>
      <c r="B282" s="140"/>
      <c r="C282" s="33" t="s">
        <v>506</v>
      </c>
      <c r="D282" s="33" t="s">
        <v>131</v>
      </c>
      <c r="E282" s="34" t="s">
        <v>1024</v>
      </c>
      <c r="F282" s="7" t="s">
        <v>1025</v>
      </c>
      <c r="G282" s="35" t="s">
        <v>134</v>
      </c>
      <c r="H282" s="36">
        <v>6.0170000000000003</v>
      </c>
      <c r="I282" s="1"/>
      <c r="J282" s="6">
        <f>ROUND(I282*H282,2)</f>
        <v>0</v>
      </c>
      <c r="K282" s="151" t="s">
        <v>1</v>
      </c>
      <c r="L282" s="17"/>
      <c r="M282" s="8" t="s">
        <v>1</v>
      </c>
      <c r="N282" s="9" t="s">
        <v>33</v>
      </c>
      <c r="O282" s="10">
        <v>0</v>
      </c>
      <c r="P282" s="10">
        <f>O282*H282</f>
        <v>0</v>
      </c>
      <c r="Q282" s="10">
        <v>0</v>
      </c>
      <c r="R282" s="10">
        <f>Q282*H282</f>
        <v>0</v>
      </c>
      <c r="S282" s="10">
        <v>0</v>
      </c>
      <c r="T282" s="11">
        <f>S282*H282</f>
        <v>0</v>
      </c>
      <c r="U282" s="105"/>
      <c r="V282" s="105"/>
      <c r="W282" s="105"/>
      <c r="X282" s="105"/>
      <c r="Y282" s="105"/>
      <c r="Z282" s="105"/>
      <c r="AA282" s="105"/>
      <c r="AB282" s="105"/>
      <c r="AC282" s="105"/>
      <c r="AD282" s="105"/>
      <c r="AE282" s="105"/>
      <c r="AR282" s="12" t="s">
        <v>135</v>
      </c>
      <c r="AT282" s="12" t="s">
        <v>131</v>
      </c>
      <c r="AU282" s="12" t="s">
        <v>74</v>
      </c>
      <c r="AY282" s="13" t="s">
        <v>130</v>
      </c>
      <c r="BE282" s="14">
        <f>IF(N282="základní",J282,0)</f>
        <v>0</v>
      </c>
      <c r="BF282" s="14">
        <f>IF(N282="snížená",J282,0)</f>
        <v>0</v>
      </c>
      <c r="BG282" s="14">
        <f>IF(N282="zákl. přenesená",J282,0)</f>
        <v>0</v>
      </c>
      <c r="BH282" s="14">
        <f>IF(N282="sníž. přenesená",J282,0)</f>
        <v>0</v>
      </c>
      <c r="BI282" s="14">
        <f>IF(N282="nulová",J282,0)</f>
        <v>0</v>
      </c>
      <c r="BJ282" s="13" t="s">
        <v>74</v>
      </c>
      <c r="BK282" s="14">
        <f>ROUND(I282*H282,2)</f>
        <v>0</v>
      </c>
      <c r="BL282" s="13" t="s">
        <v>135</v>
      </c>
      <c r="BM282" s="12" t="s">
        <v>483</v>
      </c>
    </row>
    <row r="283" spans="1:65" s="5" customFormat="1" ht="16.5" customHeight="1" x14ac:dyDescent="0.2">
      <c r="A283" s="105"/>
      <c r="B283" s="140"/>
      <c r="C283" s="33" t="s">
        <v>279</v>
      </c>
      <c r="D283" s="33" t="s">
        <v>131</v>
      </c>
      <c r="E283" s="34" t="s">
        <v>1026</v>
      </c>
      <c r="F283" s="7" t="s">
        <v>1027</v>
      </c>
      <c r="G283" s="35" t="s">
        <v>134</v>
      </c>
      <c r="H283" s="36">
        <v>6.0170000000000003</v>
      </c>
      <c r="I283" s="1"/>
      <c r="J283" s="6">
        <f>ROUND(I283*H283,2)</f>
        <v>0</v>
      </c>
      <c r="K283" s="151" t="s">
        <v>1</v>
      </c>
      <c r="L283" s="17"/>
      <c r="M283" s="8" t="s">
        <v>1</v>
      </c>
      <c r="N283" s="9" t="s">
        <v>33</v>
      </c>
      <c r="O283" s="10">
        <v>0</v>
      </c>
      <c r="P283" s="10">
        <f>O283*H283</f>
        <v>0</v>
      </c>
      <c r="Q283" s="10">
        <v>0</v>
      </c>
      <c r="R283" s="10">
        <f>Q283*H283</f>
        <v>0</v>
      </c>
      <c r="S283" s="10">
        <v>0</v>
      </c>
      <c r="T283" s="11">
        <f>S283*H283</f>
        <v>0</v>
      </c>
      <c r="U283" s="105"/>
      <c r="V283" s="105"/>
      <c r="W283" s="105"/>
      <c r="X283" s="105"/>
      <c r="Y283" s="105"/>
      <c r="Z283" s="105"/>
      <c r="AA283" s="105"/>
      <c r="AB283" s="105"/>
      <c r="AC283" s="105"/>
      <c r="AD283" s="105"/>
      <c r="AE283" s="105"/>
      <c r="AR283" s="12" t="s">
        <v>135</v>
      </c>
      <c r="AT283" s="12" t="s">
        <v>131</v>
      </c>
      <c r="AU283" s="12" t="s">
        <v>74</v>
      </c>
      <c r="AY283" s="13" t="s">
        <v>130</v>
      </c>
      <c r="BE283" s="14">
        <f>IF(N283="základní",J283,0)</f>
        <v>0</v>
      </c>
      <c r="BF283" s="14">
        <f>IF(N283="snížená",J283,0)</f>
        <v>0</v>
      </c>
      <c r="BG283" s="14">
        <f>IF(N283="zákl. přenesená",J283,0)</f>
        <v>0</v>
      </c>
      <c r="BH283" s="14">
        <f>IF(N283="sníž. přenesená",J283,0)</f>
        <v>0</v>
      </c>
      <c r="BI283" s="14">
        <f>IF(N283="nulová",J283,0)</f>
        <v>0</v>
      </c>
      <c r="BJ283" s="13" t="s">
        <v>74</v>
      </c>
      <c r="BK283" s="14">
        <f>ROUND(I283*H283,2)</f>
        <v>0</v>
      </c>
      <c r="BL283" s="13" t="s">
        <v>135</v>
      </c>
      <c r="BM283" s="12" t="s">
        <v>488</v>
      </c>
    </row>
    <row r="284" spans="1:65" s="5" customFormat="1" ht="16.5" customHeight="1" x14ac:dyDescent="0.2">
      <c r="A284" s="105"/>
      <c r="B284" s="140"/>
      <c r="C284" s="33" t="s">
        <v>282</v>
      </c>
      <c r="D284" s="33" t="s">
        <v>131</v>
      </c>
      <c r="E284" s="34" t="s">
        <v>1032</v>
      </c>
      <c r="F284" s="7" t="s">
        <v>1033</v>
      </c>
      <c r="G284" s="35" t="s">
        <v>134</v>
      </c>
      <c r="H284" s="36">
        <v>12.034000000000001</v>
      </c>
      <c r="I284" s="1"/>
      <c r="J284" s="6">
        <f>ROUND(I284*H284,2)</f>
        <v>0</v>
      </c>
      <c r="K284" s="151" t="s">
        <v>1</v>
      </c>
      <c r="L284" s="17"/>
      <c r="M284" s="8" t="s">
        <v>1</v>
      </c>
      <c r="N284" s="9" t="s">
        <v>33</v>
      </c>
      <c r="O284" s="10">
        <v>0</v>
      </c>
      <c r="P284" s="10">
        <f>O284*H284</f>
        <v>0</v>
      </c>
      <c r="Q284" s="10">
        <v>0</v>
      </c>
      <c r="R284" s="10">
        <f>Q284*H284</f>
        <v>0</v>
      </c>
      <c r="S284" s="10">
        <v>0</v>
      </c>
      <c r="T284" s="11">
        <f>S284*H284</f>
        <v>0</v>
      </c>
      <c r="U284" s="105"/>
      <c r="V284" s="105"/>
      <c r="W284" s="105"/>
      <c r="X284" s="105"/>
      <c r="Y284" s="105"/>
      <c r="Z284" s="105"/>
      <c r="AA284" s="105"/>
      <c r="AB284" s="105"/>
      <c r="AC284" s="105"/>
      <c r="AD284" s="105"/>
      <c r="AE284" s="105"/>
      <c r="AR284" s="12" t="s">
        <v>135</v>
      </c>
      <c r="AT284" s="12" t="s">
        <v>131</v>
      </c>
      <c r="AU284" s="12" t="s">
        <v>74</v>
      </c>
      <c r="AY284" s="13" t="s">
        <v>130</v>
      </c>
      <c r="BE284" s="14">
        <f>IF(N284="základní",J284,0)</f>
        <v>0</v>
      </c>
      <c r="BF284" s="14">
        <f>IF(N284="snížená",J284,0)</f>
        <v>0</v>
      </c>
      <c r="BG284" s="14">
        <f>IF(N284="zákl. přenesená",J284,0)</f>
        <v>0</v>
      </c>
      <c r="BH284" s="14">
        <f>IF(N284="sníž. přenesená",J284,0)</f>
        <v>0</v>
      </c>
      <c r="BI284" s="14">
        <f>IF(N284="nulová",J284,0)</f>
        <v>0</v>
      </c>
      <c r="BJ284" s="13" t="s">
        <v>74</v>
      </c>
      <c r="BK284" s="14">
        <f>ROUND(I284*H284,2)</f>
        <v>0</v>
      </c>
      <c r="BL284" s="13" t="s">
        <v>135</v>
      </c>
      <c r="BM284" s="12" t="s">
        <v>491</v>
      </c>
    </row>
    <row r="285" spans="1:65" s="152" customFormat="1" x14ac:dyDescent="0.2">
      <c r="B285" s="153"/>
      <c r="C285" s="154"/>
      <c r="D285" s="141" t="s">
        <v>340</v>
      </c>
      <c r="E285" s="155" t="s">
        <v>1</v>
      </c>
      <c r="F285" s="156" t="s">
        <v>1069</v>
      </c>
      <c r="G285" s="154"/>
      <c r="H285" s="157"/>
      <c r="I285" s="154"/>
      <c r="J285" s="154"/>
      <c r="K285" s="158"/>
      <c r="L285" s="154"/>
      <c r="M285" s="159"/>
      <c r="N285" s="154"/>
      <c r="O285" s="154"/>
      <c r="P285" s="154"/>
      <c r="Q285" s="154"/>
      <c r="R285" s="154"/>
      <c r="S285" s="154"/>
      <c r="T285" s="160"/>
      <c r="AT285" s="161" t="s">
        <v>340</v>
      </c>
      <c r="AU285" s="161" t="s">
        <v>74</v>
      </c>
      <c r="AV285" s="152" t="s">
        <v>76</v>
      </c>
      <c r="AW285" s="152" t="s">
        <v>25</v>
      </c>
      <c r="AX285" s="152" t="s">
        <v>68</v>
      </c>
      <c r="AY285" s="161" t="s">
        <v>130</v>
      </c>
    </row>
    <row r="286" spans="1:65" s="162" customFormat="1" x14ac:dyDescent="0.2">
      <c r="B286" s="163"/>
      <c r="C286" s="164"/>
      <c r="D286" s="141" t="s">
        <v>340</v>
      </c>
      <c r="E286" s="165" t="s">
        <v>1</v>
      </c>
      <c r="F286" s="166" t="s">
        <v>342</v>
      </c>
      <c r="G286" s="164"/>
      <c r="H286" s="167">
        <v>12.034000000000001</v>
      </c>
      <c r="I286" s="164"/>
      <c r="J286" s="164"/>
      <c r="K286" s="168"/>
      <c r="L286" s="164"/>
      <c r="M286" s="169"/>
      <c r="N286" s="164"/>
      <c r="O286" s="164"/>
      <c r="P286" s="164"/>
      <c r="Q286" s="164"/>
      <c r="R286" s="164"/>
      <c r="S286" s="164"/>
      <c r="T286" s="170"/>
      <c r="AT286" s="171" t="s">
        <v>340</v>
      </c>
      <c r="AU286" s="171" t="s">
        <v>74</v>
      </c>
      <c r="AV286" s="162" t="s">
        <v>135</v>
      </c>
      <c r="AW286" s="162" t="s">
        <v>25</v>
      </c>
      <c r="AX286" s="162" t="s">
        <v>74</v>
      </c>
      <c r="AY286" s="171" t="s">
        <v>130</v>
      </c>
    </row>
    <row r="287" spans="1:65" s="5" customFormat="1" ht="16.5" customHeight="1" x14ac:dyDescent="0.2">
      <c r="A287" s="105"/>
      <c r="B287" s="140"/>
      <c r="C287" s="33" t="s">
        <v>513</v>
      </c>
      <c r="D287" s="33" t="s">
        <v>131</v>
      </c>
      <c r="E287" s="34" t="s">
        <v>1081</v>
      </c>
      <c r="F287" s="7" t="s">
        <v>1082</v>
      </c>
      <c r="G287" s="35" t="s">
        <v>134</v>
      </c>
      <c r="H287" s="36">
        <v>6.0170000000000003</v>
      </c>
      <c r="I287" s="1"/>
      <c r="J287" s="6">
        <f>ROUND(I287*H287,2)</f>
        <v>0</v>
      </c>
      <c r="K287" s="151" t="s">
        <v>1</v>
      </c>
      <c r="L287" s="17"/>
      <c r="M287" s="8" t="s">
        <v>1</v>
      </c>
      <c r="N287" s="9" t="s">
        <v>33</v>
      </c>
      <c r="O287" s="10">
        <v>0</v>
      </c>
      <c r="P287" s="10">
        <f>O287*H287</f>
        <v>0</v>
      </c>
      <c r="Q287" s="10">
        <v>0</v>
      </c>
      <c r="R287" s="10">
        <f>Q287*H287</f>
        <v>0</v>
      </c>
      <c r="S287" s="10">
        <v>0</v>
      </c>
      <c r="T287" s="11">
        <f>S287*H287</f>
        <v>0</v>
      </c>
      <c r="U287" s="105"/>
      <c r="V287" s="105"/>
      <c r="W287" s="105"/>
      <c r="X287" s="105"/>
      <c r="Y287" s="105"/>
      <c r="Z287" s="105"/>
      <c r="AA287" s="105"/>
      <c r="AB287" s="105"/>
      <c r="AC287" s="105"/>
      <c r="AD287" s="105"/>
      <c r="AE287" s="105"/>
      <c r="AR287" s="12" t="s">
        <v>135</v>
      </c>
      <c r="AT287" s="12" t="s">
        <v>131</v>
      </c>
      <c r="AU287" s="12" t="s">
        <v>74</v>
      </c>
      <c r="AY287" s="13" t="s">
        <v>130</v>
      </c>
      <c r="BE287" s="14">
        <f>IF(N287="základní",J287,0)</f>
        <v>0</v>
      </c>
      <c r="BF287" s="14">
        <f>IF(N287="snížená",J287,0)</f>
        <v>0</v>
      </c>
      <c r="BG287" s="14">
        <f>IF(N287="zákl. přenesená",J287,0)</f>
        <v>0</v>
      </c>
      <c r="BH287" s="14">
        <f>IF(N287="sníž. přenesená",J287,0)</f>
        <v>0</v>
      </c>
      <c r="BI287" s="14">
        <f>IF(N287="nulová",J287,0)</f>
        <v>0</v>
      </c>
      <c r="BJ287" s="13" t="s">
        <v>74</v>
      </c>
      <c r="BK287" s="14">
        <f>ROUND(I287*H287,2)</f>
        <v>0</v>
      </c>
      <c r="BL287" s="13" t="s">
        <v>135</v>
      </c>
      <c r="BM287" s="12" t="s">
        <v>495</v>
      </c>
    </row>
    <row r="288" spans="1:65" s="20" customFormat="1" ht="25.9" customHeight="1" x14ac:dyDescent="0.2">
      <c r="B288" s="172"/>
      <c r="C288" s="23"/>
      <c r="D288" s="173" t="s">
        <v>67</v>
      </c>
      <c r="E288" s="174" t="s">
        <v>263</v>
      </c>
      <c r="F288" s="174" t="s">
        <v>1083</v>
      </c>
      <c r="G288" s="23"/>
      <c r="H288" s="23"/>
      <c r="I288" s="23"/>
      <c r="J288" s="175">
        <f>BK288</f>
        <v>0</v>
      </c>
      <c r="K288" s="176"/>
      <c r="L288" s="23"/>
      <c r="M288" s="22"/>
      <c r="N288" s="23"/>
      <c r="O288" s="23"/>
      <c r="P288" s="24">
        <f>SUM(P291:P296)</f>
        <v>0</v>
      </c>
      <c r="Q288" s="23"/>
      <c r="R288" s="24">
        <f>SUM(R291:R296)</f>
        <v>0</v>
      </c>
      <c r="S288" s="23"/>
      <c r="T288" s="25">
        <f>SUM(T291:T296)</f>
        <v>0</v>
      </c>
      <c r="AR288" s="26" t="s">
        <v>74</v>
      </c>
      <c r="AT288" s="27" t="s">
        <v>67</v>
      </c>
      <c r="AU288" s="27" t="s">
        <v>68</v>
      </c>
      <c r="AY288" s="26" t="s">
        <v>130</v>
      </c>
      <c r="BK288" s="28">
        <f>SUM(BK291:BK296)</f>
        <v>0</v>
      </c>
    </row>
    <row r="289" spans="1:65" s="5" customFormat="1" ht="10.15" customHeight="1" x14ac:dyDescent="0.2">
      <c r="B289" s="177"/>
      <c r="C289" s="16"/>
      <c r="D289" s="178" t="s">
        <v>340</v>
      </c>
      <c r="E289" s="16"/>
      <c r="F289" s="179" t="s">
        <v>1229</v>
      </c>
      <c r="G289" s="16"/>
      <c r="H289" s="180">
        <f>(2*2.86*1.1)/2</f>
        <v>3.1459999999999999</v>
      </c>
      <c r="I289" s="16"/>
      <c r="J289" s="16"/>
      <c r="K289" s="181"/>
      <c r="L289" s="16"/>
      <c r="S289" s="129"/>
      <c r="AS289" s="126" t="s">
        <v>148</v>
      </c>
      <c r="AT289" s="126" t="s">
        <v>74</v>
      </c>
    </row>
    <row r="290" spans="1:65" s="5" customFormat="1" ht="10.15" customHeight="1" x14ac:dyDescent="0.2">
      <c r="B290" s="177"/>
      <c r="C290" s="16"/>
      <c r="D290" s="178" t="s">
        <v>340</v>
      </c>
      <c r="E290" s="16"/>
      <c r="F290" s="179" t="s">
        <v>1215</v>
      </c>
      <c r="G290" s="180"/>
      <c r="H290" s="16"/>
      <c r="I290" s="16"/>
      <c r="J290" s="16"/>
      <c r="K290" s="181"/>
      <c r="L290" s="16"/>
      <c r="S290" s="129"/>
      <c r="AS290" s="126" t="s">
        <v>148</v>
      </c>
      <c r="AT290" s="126" t="s">
        <v>74</v>
      </c>
    </row>
    <row r="291" spans="1:65" s="5" customFormat="1" ht="16.5" customHeight="1" x14ac:dyDescent="0.2">
      <c r="A291" s="105"/>
      <c r="B291" s="140"/>
      <c r="C291" s="33" t="s">
        <v>286</v>
      </c>
      <c r="D291" s="33" t="s">
        <v>131</v>
      </c>
      <c r="E291" s="34" t="s">
        <v>1024</v>
      </c>
      <c r="F291" s="7" t="s">
        <v>1025</v>
      </c>
      <c r="G291" s="35" t="s">
        <v>134</v>
      </c>
      <c r="H291" s="36">
        <v>3.1459999999999999</v>
      </c>
      <c r="I291" s="1"/>
      <c r="J291" s="6">
        <f>ROUND(I291*H291,2)</f>
        <v>0</v>
      </c>
      <c r="K291" s="151" t="s">
        <v>1</v>
      </c>
      <c r="L291" s="17"/>
      <c r="M291" s="8" t="s">
        <v>1</v>
      </c>
      <c r="N291" s="9" t="s">
        <v>33</v>
      </c>
      <c r="O291" s="10">
        <v>0</v>
      </c>
      <c r="P291" s="10">
        <f>O291*H291</f>
        <v>0</v>
      </c>
      <c r="Q291" s="10">
        <v>0</v>
      </c>
      <c r="R291" s="10">
        <f>Q291*H291</f>
        <v>0</v>
      </c>
      <c r="S291" s="10">
        <v>0</v>
      </c>
      <c r="T291" s="11">
        <f>S291*H291</f>
        <v>0</v>
      </c>
      <c r="U291" s="105"/>
      <c r="V291" s="105"/>
      <c r="W291" s="105"/>
      <c r="X291" s="105"/>
      <c r="Y291" s="105"/>
      <c r="Z291" s="105"/>
      <c r="AA291" s="105"/>
      <c r="AB291" s="105"/>
      <c r="AC291" s="105"/>
      <c r="AD291" s="105"/>
      <c r="AE291" s="105"/>
      <c r="AR291" s="12" t="s">
        <v>135</v>
      </c>
      <c r="AT291" s="12" t="s">
        <v>131</v>
      </c>
      <c r="AU291" s="12" t="s">
        <v>74</v>
      </c>
      <c r="AY291" s="13" t="s">
        <v>130</v>
      </c>
      <c r="BE291" s="14">
        <f>IF(N291="základní",J291,0)</f>
        <v>0</v>
      </c>
      <c r="BF291" s="14">
        <f>IF(N291="snížená",J291,0)</f>
        <v>0</v>
      </c>
      <c r="BG291" s="14">
        <f>IF(N291="zákl. přenesená",J291,0)</f>
        <v>0</v>
      </c>
      <c r="BH291" s="14">
        <f>IF(N291="sníž. přenesená",J291,0)</f>
        <v>0</v>
      </c>
      <c r="BI291" s="14">
        <f>IF(N291="nulová",J291,0)</f>
        <v>0</v>
      </c>
      <c r="BJ291" s="13" t="s">
        <v>74</v>
      </c>
      <c r="BK291" s="14">
        <f>ROUND(I291*H291,2)</f>
        <v>0</v>
      </c>
      <c r="BL291" s="13" t="s">
        <v>135</v>
      </c>
      <c r="BM291" s="12" t="s">
        <v>498</v>
      </c>
    </row>
    <row r="292" spans="1:65" s="5" customFormat="1" ht="16.5" customHeight="1" x14ac:dyDescent="0.2">
      <c r="A292" s="105"/>
      <c r="B292" s="140"/>
      <c r="C292" s="33" t="s">
        <v>516</v>
      </c>
      <c r="D292" s="33" t="s">
        <v>131</v>
      </c>
      <c r="E292" s="34" t="s">
        <v>1026</v>
      </c>
      <c r="F292" s="7" t="s">
        <v>1027</v>
      </c>
      <c r="G292" s="35" t="s">
        <v>134</v>
      </c>
      <c r="H292" s="36">
        <v>3.1459999999999999</v>
      </c>
      <c r="I292" s="1"/>
      <c r="J292" s="6">
        <f>ROUND(I292*H292,2)</f>
        <v>0</v>
      </c>
      <c r="K292" s="151" t="s">
        <v>1</v>
      </c>
      <c r="L292" s="17"/>
      <c r="M292" s="8" t="s">
        <v>1</v>
      </c>
      <c r="N292" s="9" t="s">
        <v>33</v>
      </c>
      <c r="O292" s="10">
        <v>0</v>
      </c>
      <c r="P292" s="10">
        <f>O292*H292</f>
        <v>0</v>
      </c>
      <c r="Q292" s="10">
        <v>0</v>
      </c>
      <c r="R292" s="10">
        <f>Q292*H292</f>
        <v>0</v>
      </c>
      <c r="S292" s="10">
        <v>0</v>
      </c>
      <c r="T292" s="11">
        <f>S292*H292</f>
        <v>0</v>
      </c>
      <c r="U292" s="105"/>
      <c r="V292" s="105"/>
      <c r="W292" s="105"/>
      <c r="X292" s="105"/>
      <c r="Y292" s="105"/>
      <c r="Z292" s="105"/>
      <c r="AA292" s="105"/>
      <c r="AB292" s="105"/>
      <c r="AC292" s="105"/>
      <c r="AD292" s="105"/>
      <c r="AE292" s="105"/>
      <c r="AR292" s="12" t="s">
        <v>135</v>
      </c>
      <c r="AT292" s="12" t="s">
        <v>131</v>
      </c>
      <c r="AU292" s="12" t="s">
        <v>74</v>
      </c>
      <c r="AY292" s="13" t="s">
        <v>130</v>
      </c>
      <c r="BE292" s="14">
        <f>IF(N292="základní",J292,0)</f>
        <v>0</v>
      </c>
      <c r="BF292" s="14">
        <f>IF(N292="snížená",J292,0)</f>
        <v>0</v>
      </c>
      <c r="BG292" s="14">
        <f>IF(N292="zákl. přenesená",J292,0)</f>
        <v>0</v>
      </c>
      <c r="BH292" s="14">
        <f>IF(N292="sníž. přenesená",J292,0)</f>
        <v>0</v>
      </c>
      <c r="BI292" s="14">
        <f>IF(N292="nulová",J292,0)</f>
        <v>0</v>
      </c>
      <c r="BJ292" s="13" t="s">
        <v>74</v>
      </c>
      <c r="BK292" s="14">
        <f>ROUND(I292*H292,2)</f>
        <v>0</v>
      </c>
      <c r="BL292" s="13" t="s">
        <v>135</v>
      </c>
      <c r="BM292" s="12" t="s">
        <v>500</v>
      </c>
    </row>
    <row r="293" spans="1:65" s="5" customFormat="1" ht="16.5" customHeight="1" x14ac:dyDescent="0.2">
      <c r="A293" s="105"/>
      <c r="B293" s="140"/>
      <c r="C293" s="33" t="s">
        <v>520</v>
      </c>
      <c r="D293" s="33" t="s">
        <v>131</v>
      </c>
      <c r="E293" s="34" t="s">
        <v>1032</v>
      </c>
      <c r="F293" s="7" t="s">
        <v>1033</v>
      </c>
      <c r="G293" s="35" t="s">
        <v>134</v>
      </c>
      <c r="H293" s="36">
        <v>6.2919999999999998</v>
      </c>
      <c r="I293" s="1"/>
      <c r="J293" s="6">
        <f>ROUND(I293*H293,2)</f>
        <v>0</v>
      </c>
      <c r="K293" s="151" t="s">
        <v>1</v>
      </c>
      <c r="L293" s="17"/>
      <c r="M293" s="8" t="s">
        <v>1</v>
      </c>
      <c r="N293" s="9" t="s">
        <v>33</v>
      </c>
      <c r="O293" s="10">
        <v>0</v>
      </c>
      <c r="P293" s="10">
        <f>O293*H293</f>
        <v>0</v>
      </c>
      <c r="Q293" s="10">
        <v>0</v>
      </c>
      <c r="R293" s="10">
        <f>Q293*H293</f>
        <v>0</v>
      </c>
      <c r="S293" s="10">
        <v>0</v>
      </c>
      <c r="T293" s="11">
        <f>S293*H293</f>
        <v>0</v>
      </c>
      <c r="U293" s="105"/>
      <c r="V293" s="105"/>
      <c r="W293" s="105"/>
      <c r="X293" s="105"/>
      <c r="Y293" s="105"/>
      <c r="Z293" s="105"/>
      <c r="AA293" s="105"/>
      <c r="AB293" s="105"/>
      <c r="AC293" s="105"/>
      <c r="AD293" s="105"/>
      <c r="AE293" s="105"/>
      <c r="AR293" s="12" t="s">
        <v>135</v>
      </c>
      <c r="AT293" s="12" t="s">
        <v>131</v>
      </c>
      <c r="AU293" s="12" t="s">
        <v>74</v>
      </c>
      <c r="AY293" s="13" t="s">
        <v>130</v>
      </c>
      <c r="BE293" s="14">
        <f>IF(N293="základní",J293,0)</f>
        <v>0</v>
      </c>
      <c r="BF293" s="14">
        <f>IF(N293="snížená",J293,0)</f>
        <v>0</v>
      </c>
      <c r="BG293" s="14">
        <f>IF(N293="zákl. přenesená",J293,0)</f>
        <v>0</v>
      </c>
      <c r="BH293" s="14">
        <f>IF(N293="sníž. přenesená",J293,0)</f>
        <v>0</v>
      </c>
      <c r="BI293" s="14">
        <f>IF(N293="nulová",J293,0)</f>
        <v>0</v>
      </c>
      <c r="BJ293" s="13" t="s">
        <v>74</v>
      </c>
      <c r="BK293" s="14">
        <f>ROUND(I293*H293,2)</f>
        <v>0</v>
      </c>
      <c r="BL293" s="13" t="s">
        <v>135</v>
      </c>
      <c r="BM293" s="12" t="s">
        <v>501</v>
      </c>
    </row>
    <row r="294" spans="1:65" s="152" customFormat="1" x14ac:dyDescent="0.2">
      <c r="B294" s="153"/>
      <c r="C294" s="154"/>
      <c r="D294" s="141" t="s">
        <v>340</v>
      </c>
      <c r="E294" s="155" t="s">
        <v>1</v>
      </c>
      <c r="F294" s="156" t="s">
        <v>1084</v>
      </c>
      <c r="G294" s="154"/>
      <c r="H294" s="157"/>
      <c r="I294" s="154"/>
      <c r="J294" s="154"/>
      <c r="K294" s="158"/>
      <c r="L294" s="154"/>
      <c r="M294" s="159"/>
      <c r="N294" s="154"/>
      <c r="O294" s="154"/>
      <c r="P294" s="154"/>
      <c r="Q294" s="154"/>
      <c r="R294" s="154"/>
      <c r="S294" s="154"/>
      <c r="T294" s="160"/>
      <c r="AT294" s="161" t="s">
        <v>340</v>
      </c>
      <c r="AU294" s="161" t="s">
        <v>74</v>
      </c>
      <c r="AV294" s="152" t="s">
        <v>76</v>
      </c>
      <c r="AW294" s="152" t="s">
        <v>25</v>
      </c>
      <c r="AX294" s="152" t="s">
        <v>68</v>
      </c>
      <c r="AY294" s="161" t="s">
        <v>130</v>
      </c>
    </row>
    <row r="295" spans="1:65" s="162" customFormat="1" x14ac:dyDescent="0.2">
      <c r="B295" s="163"/>
      <c r="C295" s="164"/>
      <c r="D295" s="141" t="s">
        <v>340</v>
      </c>
      <c r="E295" s="165" t="s">
        <v>1</v>
      </c>
      <c r="F295" s="166" t="s">
        <v>342</v>
      </c>
      <c r="G295" s="164"/>
      <c r="H295" s="167">
        <v>6.2919999999999998</v>
      </c>
      <c r="I295" s="164"/>
      <c r="J295" s="164"/>
      <c r="K295" s="168"/>
      <c r="L295" s="164"/>
      <c r="M295" s="169"/>
      <c r="N295" s="164"/>
      <c r="O295" s="164"/>
      <c r="P295" s="164"/>
      <c r="Q295" s="164"/>
      <c r="R295" s="164"/>
      <c r="S295" s="164"/>
      <c r="T295" s="170"/>
      <c r="AT295" s="171" t="s">
        <v>340</v>
      </c>
      <c r="AU295" s="171" t="s">
        <v>74</v>
      </c>
      <c r="AV295" s="162" t="s">
        <v>135</v>
      </c>
      <c r="AW295" s="162" t="s">
        <v>25</v>
      </c>
      <c r="AX295" s="162" t="s">
        <v>74</v>
      </c>
      <c r="AY295" s="171" t="s">
        <v>130</v>
      </c>
    </row>
    <row r="296" spans="1:65" s="5" customFormat="1" ht="16.5" customHeight="1" x14ac:dyDescent="0.2">
      <c r="A296" s="105"/>
      <c r="B296" s="140"/>
      <c r="C296" s="33" t="s">
        <v>292</v>
      </c>
      <c r="D296" s="33" t="s">
        <v>131</v>
      </c>
      <c r="E296" s="34" t="s">
        <v>1048</v>
      </c>
      <c r="F296" s="7" t="s">
        <v>1049</v>
      </c>
      <c r="G296" s="35" t="s">
        <v>134</v>
      </c>
      <c r="H296" s="36">
        <v>3.1459999999999999</v>
      </c>
      <c r="I296" s="1"/>
      <c r="J296" s="6">
        <f>ROUND(I296*H296,2)</f>
        <v>0</v>
      </c>
      <c r="K296" s="151" t="s">
        <v>1</v>
      </c>
      <c r="L296" s="17"/>
      <c r="M296" s="8" t="s">
        <v>1</v>
      </c>
      <c r="N296" s="9" t="s">
        <v>33</v>
      </c>
      <c r="O296" s="10">
        <v>0</v>
      </c>
      <c r="P296" s="10">
        <f>O296*H296</f>
        <v>0</v>
      </c>
      <c r="Q296" s="10">
        <v>0</v>
      </c>
      <c r="R296" s="10">
        <f>Q296*H296</f>
        <v>0</v>
      </c>
      <c r="S296" s="10">
        <v>0</v>
      </c>
      <c r="T296" s="11">
        <f>S296*H296</f>
        <v>0</v>
      </c>
      <c r="U296" s="105"/>
      <c r="V296" s="105"/>
      <c r="W296" s="105"/>
      <c r="X296" s="105"/>
      <c r="Y296" s="105"/>
      <c r="Z296" s="105"/>
      <c r="AA296" s="105"/>
      <c r="AB296" s="105"/>
      <c r="AC296" s="105"/>
      <c r="AD296" s="105"/>
      <c r="AE296" s="105"/>
      <c r="AR296" s="12" t="s">
        <v>135</v>
      </c>
      <c r="AT296" s="12" t="s">
        <v>131</v>
      </c>
      <c r="AU296" s="12" t="s">
        <v>74</v>
      </c>
      <c r="AY296" s="13" t="s">
        <v>130</v>
      </c>
      <c r="BE296" s="14">
        <f>IF(N296="základní",J296,0)</f>
        <v>0</v>
      </c>
      <c r="BF296" s="14">
        <f>IF(N296="snížená",J296,0)</f>
        <v>0</v>
      </c>
      <c r="BG296" s="14">
        <f>IF(N296="zákl. přenesená",J296,0)</f>
        <v>0</v>
      </c>
      <c r="BH296" s="14">
        <f>IF(N296="sníž. přenesená",J296,0)</f>
        <v>0</v>
      </c>
      <c r="BI296" s="14">
        <f>IF(N296="nulová",J296,0)</f>
        <v>0</v>
      </c>
      <c r="BJ296" s="13" t="s">
        <v>74</v>
      </c>
      <c r="BK296" s="14">
        <f>ROUND(I296*H296,2)</f>
        <v>0</v>
      </c>
      <c r="BL296" s="13" t="s">
        <v>135</v>
      </c>
      <c r="BM296" s="12" t="s">
        <v>503</v>
      </c>
    </row>
    <row r="297" spans="1:65" s="20" customFormat="1" ht="25.9" customHeight="1" x14ac:dyDescent="0.2">
      <c r="B297" s="172"/>
      <c r="C297" s="23"/>
      <c r="D297" s="173" t="s">
        <v>67</v>
      </c>
      <c r="E297" s="174" t="s">
        <v>271</v>
      </c>
      <c r="F297" s="174" t="s">
        <v>1085</v>
      </c>
      <c r="G297" s="23"/>
      <c r="H297" s="23"/>
      <c r="I297" s="23"/>
      <c r="J297" s="175">
        <f>BK297</f>
        <v>0</v>
      </c>
      <c r="K297" s="176"/>
      <c r="L297" s="23"/>
      <c r="M297" s="22"/>
      <c r="N297" s="23"/>
      <c r="O297" s="23"/>
      <c r="P297" s="24">
        <f>SUM(P300:P303)</f>
        <v>0</v>
      </c>
      <c r="Q297" s="23"/>
      <c r="R297" s="24">
        <f>SUM(R300:R303)</f>
        <v>0</v>
      </c>
      <c r="S297" s="23"/>
      <c r="T297" s="25">
        <f>SUM(T300:T303)</f>
        <v>0</v>
      </c>
      <c r="AR297" s="26" t="s">
        <v>74</v>
      </c>
      <c r="AT297" s="27" t="s">
        <v>67</v>
      </c>
      <c r="AU297" s="27" t="s">
        <v>68</v>
      </c>
      <c r="AY297" s="26" t="s">
        <v>130</v>
      </c>
      <c r="BK297" s="28">
        <f>SUM(BK300:BK303)</f>
        <v>0</v>
      </c>
    </row>
    <row r="298" spans="1:65" s="5" customFormat="1" ht="10.15" customHeight="1" x14ac:dyDescent="0.2">
      <c r="B298" s="177"/>
      <c r="C298" s="16"/>
      <c r="D298" s="178" t="s">
        <v>340</v>
      </c>
      <c r="E298" s="16"/>
      <c r="F298" s="179" t="s">
        <v>1224</v>
      </c>
      <c r="G298" s="16"/>
      <c r="H298" s="180">
        <f>5.47*1.1</f>
        <v>6.0170000000000003</v>
      </c>
      <c r="I298" s="16"/>
      <c r="J298" s="16"/>
      <c r="K298" s="181"/>
      <c r="L298" s="16"/>
      <c r="S298" s="129"/>
      <c r="AS298" s="126" t="s">
        <v>148</v>
      </c>
      <c r="AT298" s="126" t="s">
        <v>74</v>
      </c>
    </row>
    <row r="299" spans="1:65" s="5" customFormat="1" ht="10.15" customHeight="1" x14ac:dyDescent="0.2">
      <c r="B299" s="177"/>
      <c r="C299" s="16"/>
      <c r="D299" s="178" t="s">
        <v>340</v>
      </c>
      <c r="E299" s="16"/>
      <c r="F299" s="179" t="s">
        <v>1215</v>
      </c>
      <c r="G299" s="180"/>
      <c r="H299" s="16"/>
      <c r="I299" s="16"/>
      <c r="J299" s="16"/>
      <c r="K299" s="181"/>
      <c r="L299" s="16"/>
      <c r="S299" s="129"/>
      <c r="AS299" s="126" t="s">
        <v>148</v>
      </c>
      <c r="AT299" s="126" t="s">
        <v>74</v>
      </c>
    </row>
    <row r="300" spans="1:65" s="5" customFormat="1" ht="16.5" customHeight="1" x14ac:dyDescent="0.2">
      <c r="A300" s="105"/>
      <c r="B300" s="140"/>
      <c r="C300" s="33" t="s">
        <v>523</v>
      </c>
      <c r="D300" s="33" t="s">
        <v>131</v>
      </c>
      <c r="E300" s="34" t="s">
        <v>1024</v>
      </c>
      <c r="F300" s="7" t="s">
        <v>1025</v>
      </c>
      <c r="G300" s="35" t="s">
        <v>134</v>
      </c>
      <c r="H300" s="36">
        <v>6.0170000000000003</v>
      </c>
      <c r="I300" s="1"/>
      <c r="J300" s="6">
        <f>ROUND(I300*H300,2)</f>
        <v>0</v>
      </c>
      <c r="K300" s="151" t="s">
        <v>1</v>
      </c>
      <c r="L300" s="17"/>
      <c r="M300" s="8" t="s">
        <v>1</v>
      </c>
      <c r="N300" s="9" t="s">
        <v>33</v>
      </c>
      <c r="O300" s="10">
        <v>0</v>
      </c>
      <c r="P300" s="10">
        <f>O300*H300</f>
        <v>0</v>
      </c>
      <c r="Q300" s="10">
        <v>0</v>
      </c>
      <c r="R300" s="10">
        <f>Q300*H300</f>
        <v>0</v>
      </c>
      <c r="S300" s="10">
        <v>0</v>
      </c>
      <c r="T300" s="11">
        <f>S300*H300</f>
        <v>0</v>
      </c>
      <c r="U300" s="105"/>
      <c r="V300" s="105"/>
      <c r="W300" s="105"/>
      <c r="X300" s="105"/>
      <c r="Y300" s="105"/>
      <c r="Z300" s="105"/>
      <c r="AA300" s="105"/>
      <c r="AB300" s="105"/>
      <c r="AC300" s="105"/>
      <c r="AD300" s="105"/>
      <c r="AE300" s="105"/>
      <c r="AR300" s="12" t="s">
        <v>135</v>
      </c>
      <c r="AT300" s="12" t="s">
        <v>131</v>
      </c>
      <c r="AU300" s="12" t="s">
        <v>74</v>
      </c>
      <c r="AY300" s="13" t="s">
        <v>130</v>
      </c>
      <c r="BE300" s="14">
        <f>IF(N300="základní",J300,0)</f>
        <v>0</v>
      </c>
      <c r="BF300" s="14">
        <f>IF(N300="snížená",J300,0)</f>
        <v>0</v>
      </c>
      <c r="BG300" s="14">
        <f>IF(N300="zákl. přenesená",J300,0)</f>
        <v>0</v>
      </c>
      <c r="BH300" s="14">
        <f>IF(N300="sníž. přenesená",J300,0)</f>
        <v>0</v>
      </c>
      <c r="BI300" s="14">
        <f>IF(N300="nulová",J300,0)</f>
        <v>0</v>
      </c>
      <c r="BJ300" s="13" t="s">
        <v>74</v>
      </c>
      <c r="BK300" s="14">
        <f>ROUND(I300*H300,2)</f>
        <v>0</v>
      </c>
      <c r="BL300" s="13" t="s">
        <v>135</v>
      </c>
      <c r="BM300" s="12" t="s">
        <v>505</v>
      </c>
    </row>
    <row r="301" spans="1:65" s="5" customFormat="1" ht="16.5" customHeight="1" x14ac:dyDescent="0.2">
      <c r="A301" s="105"/>
      <c r="B301" s="140"/>
      <c r="C301" s="33" t="s">
        <v>297</v>
      </c>
      <c r="D301" s="33" t="s">
        <v>131</v>
      </c>
      <c r="E301" s="34" t="s">
        <v>1026</v>
      </c>
      <c r="F301" s="7" t="s">
        <v>1027</v>
      </c>
      <c r="G301" s="35" t="s">
        <v>134</v>
      </c>
      <c r="H301" s="36">
        <v>6.0170000000000003</v>
      </c>
      <c r="I301" s="1"/>
      <c r="J301" s="6">
        <f>ROUND(I301*H301,2)</f>
        <v>0</v>
      </c>
      <c r="K301" s="151" t="s">
        <v>1</v>
      </c>
      <c r="L301" s="17"/>
      <c r="M301" s="8" t="s">
        <v>1</v>
      </c>
      <c r="N301" s="9" t="s">
        <v>33</v>
      </c>
      <c r="O301" s="10">
        <v>0</v>
      </c>
      <c r="P301" s="10">
        <f>O301*H301</f>
        <v>0</v>
      </c>
      <c r="Q301" s="10">
        <v>0</v>
      </c>
      <c r="R301" s="10">
        <f>Q301*H301</f>
        <v>0</v>
      </c>
      <c r="S301" s="10">
        <v>0</v>
      </c>
      <c r="T301" s="11">
        <f>S301*H301</f>
        <v>0</v>
      </c>
      <c r="U301" s="105"/>
      <c r="V301" s="105"/>
      <c r="W301" s="105"/>
      <c r="X301" s="105"/>
      <c r="Y301" s="105"/>
      <c r="Z301" s="105"/>
      <c r="AA301" s="105"/>
      <c r="AB301" s="105"/>
      <c r="AC301" s="105"/>
      <c r="AD301" s="105"/>
      <c r="AE301" s="105"/>
      <c r="AR301" s="12" t="s">
        <v>135</v>
      </c>
      <c r="AT301" s="12" t="s">
        <v>131</v>
      </c>
      <c r="AU301" s="12" t="s">
        <v>74</v>
      </c>
      <c r="AY301" s="13" t="s">
        <v>130</v>
      </c>
      <c r="BE301" s="14">
        <f>IF(N301="základní",J301,0)</f>
        <v>0</v>
      </c>
      <c r="BF301" s="14">
        <f>IF(N301="snížená",J301,0)</f>
        <v>0</v>
      </c>
      <c r="BG301" s="14">
        <f>IF(N301="zákl. přenesená",J301,0)</f>
        <v>0</v>
      </c>
      <c r="BH301" s="14">
        <f>IF(N301="sníž. přenesená",J301,0)</f>
        <v>0</v>
      </c>
      <c r="BI301" s="14">
        <f>IF(N301="nulová",J301,0)</f>
        <v>0</v>
      </c>
      <c r="BJ301" s="13" t="s">
        <v>74</v>
      </c>
      <c r="BK301" s="14">
        <f>ROUND(I301*H301,2)</f>
        <v>0</v>
      </c>
      <c r="BL301" s="13" t="s">
        <v>135</v>
      </c>
      <c r="BM301" s="12" t="s">
        <v>507</v>
      </c>
    </row>
    <row r="302" spans="1:65" s="5" customFormat="1" ht="16.5" customHeight="1" x14ac:dyDescent="0.2">
      <c r="A302" s="105"/>
      <c r="B302" s="140"/>
      <c r="C302" s="33" t="s">
        <v>301</v>
      </c>
      <c r="D302" s="33" t="s">
        <v>131</v>
      </c>
      <c r="E302" s="34" t="s">
        <v>1030</v>
      </c>
      <c r="F302" s="7" t="s">
        <v>1031</v>
      </c>
      <c r="G302" s="35" t="s">
        <v>134</v>
      </c>
      <c r="H302" s="36">
        <v>6.0170000000000003</v>
      </c>
      <c r="I302" s="1"/>
      <c r="J302" s="6">
        <f>ROUND(I302*H302,2)</f>
        <v>0</v>
      </c>
      <c r="K302" s="151" t="s">
        <v>1</v>
      </c>
      <c r="L302" s="17"/>
      <c r="M302" s="8" t="s">
        <v>1</v>
      </c>
      <c r="N302" s="9" t="s">
        <v>33</v>
      </c>
      <c r="O302" s="10">
        <v>0</v>
      </c>
      <c r="P302" s="10">
        <f>O302*H302</f>
        <v>0</v>
      </c>
      <c r="Q302" s="10">
        <v>0</v>
      </c>
      <c r="R302" s="10">
        <f>Q302*H302</f>
        <v>0</v>
      </c>
      <c r="S302" s="10">
        <v>0</v>
      </c>
      <c r="T302" s="11">
        <f>S302*H302</f>
        <v>0</v>
      </c>
      <c r="U302" s="105"/>
      <c r="V302" s="105"/>
      <c r="W302" s="105"/>
      <c r="X302" s="105"/>
      <c r="Y302" s="105"/>
      <c r="Z302" s="105"/>
      <c r="AA302" s="105"/>
      <c r="AB302" s="105"/>
      <c r="AC302" s="105"/>
      <c r="AD302" s="105"/>
      <c r="AE302" s="105"/>
      <c r="AR302" s="12" t="s">
        <v>135</v>
      </c>
      <c r="AT302" s="12" t="s">
        <v>131</v>
      </c>
      <c r="AU302" s="12" t="s">
        <v>74</v>
      </c>
      <c r="AY302" s="13" t="s">
        <v>130</v>
      </c>
      <c r="BE302" s="14">
        <f>IF(N302="základní",J302,0)</f>
        <v>0</v>
      </c>
      <c r="BF302" s="14">
        <f>IF(N302="snížená",J302,0)</f>
        <v>0</v>
      </c>
      <c r="BG302" s="14">
        <f>IF(N302="zákl. přenesená",J302,0)</f>
        <v>0</v>
      </c>
      <c r="BH302" s="14">
        <f>IF(N302="sníž. přenesená",J302,0)</f>
        <v>0</v>
      </c>
      <c r="BI302" s="14">
        <f>IF(N302="nulová",J302,0)</f>
        <v>0</v>
      </c>
      <c r="BJ302" s="13" t="s">
        <v>74</v>
      </c>
      <c r="BK302" s="14">
        <f>ROUND(I302*H302,2)</f>
        <v>0</v>
      </c>
      <c r="BL302" s="13" t="s">
        <v>135</v>
      </c>
      <c r="BM302" s="12" t="s">
        <v>508</v>
      </c>
    </row>
    <row r="303" spans="1:65" s="5" customFormat="1" ht="16.5" customHeight="1" x14ac:dyDescent="0.2">
      <c r="A303" s="105"/>
      <c r="B303" s="140"/>
      <c r="C303" s="33" t="s">
        <v>530</v>
      </c>
      <c r="D303" s="33" t="s">
        <v>131</v>
      </c>
      <c r="E303" s="34" t="s">
        <v>1032</v>
      </c>
      <c r="F303" s="7" t="s">
        <v>1033</v>
      </c>
      <c r="G303" s="35" t="s">
        <v>134</v>
      </c>
      <c r="H303" s="36">
        <v>12.034000000000001</v>
      </c>
      <c r="I303" s="1"/>
      <c r="J303" s="6">
        <f>ROUND(I303*H303,2)</f>
        <v>0</v>
      </c>
      <c r="K303" s="151" t="s">
        <v>1</v>
      </c>
      <c r="L303" s="17"/>
      <c r="M303" s="8" t="s">
        <v>1</v>
      </c>
      <c r="N303" s="9" t="s">
        <v>33</v>
      </c>
      <c r="O303" s="10">
        <v>0</v>
      </c>
      <c r="P303" s="10">
        <f>O303*H303</f>
        <v>0</v>
      </c>
      <c r="Q303" s="10">
        <v>0</v>
      </c>
      <c r="R303" s="10">
        <f>Q303*H303</f>
        <v>0</v>
      </c>
      <c r="S303" s="10">
        <v>0</v>
      </c>
      <c r="T303" s="11">
        <f>S303*H303</f>
        <v>0</v>
      </c>
      <c r="U303" s="105"/>
      <c r="V303" s="105"/>
      <c r="W303" s="105"/>
      <c r="X303" s="105"/>
      <c r="Y303" s="105"/>
      <c r="Z303" s="105"/>
      <c r="AA303" s="105"/>
      <c r="AB303" s="105"/>
      <c r="AC303" s="105"/>
      <c r="AD303" s="105"/>
      <c r="AE303" s="105"/>
      <c r="AR303" s="12" t="s">
        <v>135</v>
      </c>
      <c r="AT303" s="12" t="s">
        <v>131</v>
      </c>
      <c r="AU303" s="12" t="s">
        <v>74</v>
      </c>
      <c r="AY303" s="13" t="s">
        <v>130</v>
      </c>
      <c r="BE303" s="14">
        <f>IF(N303="základní",J303,0)</f>
        <v>0</v>
      </c>
      <c r="BF303" s="14">
        <f>IF(N303="snížená",J303,0)</f>
        <v>0</v>
      </c>
      <c r="BG303" s="14">
        <f>IF(N303="zákl. přenesená",J303,0)</f>
        <v>0</v>
      </c>
      <c r="BH303" s="14">
        <f>IF(N303="sníž. přenesená",J303,0)</f>
        <v>0</v>
      </c>
      <c r="BI303" s="14">
        <f>IF(N303="nulová",J303,0)</f>
        <v>0</v>
      </c>
      <c r="BJ303" s="13" t="s">
        <v>74</v>
      </c>
      <c r="BK303" s="14">
        <f>ROUND(I303*H303,2)</f>
        <v>0</v>
      </c>
      <c r="BL303" s="13" t="s">
        <v>135</v>
      </c>
      <c r="BM303" s="12" t="s">
        <v>510</v>
      </c>
    </row>
    <row r="304" spans="1:65" s="20" customFormat="1" ht="25.9" customHeight="1" x14ac:dyDescent="0.2">
      <c r="B304" s="172"/>
      <c r="C304" s="23"/>
      <c r="D304" s="173" t="s">
        <v>67</v>
      </c>
      <c r="E304" s="174" t="s">
        <v>280</v>
      </c>
      <c r="F304" s="174" t="s">
        <v>1086</v>
      </c>
      <c r="G304" s="23"/>
      <c r="H304" s="23"/>
      <c r="I304" s="23"/>
      <c r="J304" s="175">
        <f>BK304</f>
        <v>0</v>
      </c>
      <c r="K304" s="176"/>
      <c r="L304" s="23"/>
      <c r="M304" s="22"/>
      <c r="N304" s="23"/>
      <c r="O304" s="23"/>
      <c r="P304" s="24">
        <f>SUM(P307:P308)</f>
        <v>0</v>
      </c>
      <c r="Q304" s="23"/>
      <c r="R304" s="24">
        <f>SUM(R307:R308)</f>
        <v>0</v>
      </c>
      <c r="S304" s="23"/>
      <c r="T304" s="25">
        <f>SUM(T307:T308)</f>
        <v>0</v>
      </c>
      <c r="AR304" s="26" t="s">
        <v>74</v>
      </c>
      <c r="AT304" s="27" t="s">
        <v>67</v>
      </c>
      <c r="AU304" s="27" t="s">
        <v>68</v>
      </c>
      <c r="AY304" s="26" t="s">
        <v>130</v>
      </c>
      <c r="BK304" s="28">
        <f>SUM(BK307:BK308)</f>
        <v>0</v>
      </c>
    </row>
    <row r="305" spans="1:65" s="5" customFormat="1" ht="10.15" customHeight="1" x14ac:dyDescent="0.2">
      <c r="B305" s="177"/>
      <c r="C305" s="16"/>
      <c r="D305" s="178" t="s">
        <v>340</v>
      </c>
      <c r="E305" s="16"/>
      <c r="F305" s="179" t="s">
        <v>1230</v>
      </c>
      <c r="G305" s="16"/>
      <c r="H305" s="180">
        <f>(1.34*1.1)/2</f>
        <v>0.7370000000000001</v>
      </c>
      <c r="I305" s="16"/>
      <c r="J305" s="16"/>
      <c r="K305" s="181"/>
      <c r="L305" s="16"/>
      <c r="S305" s="129"/>
      <c r="AS305" s="126" t="s">
        <v>148</v>
      </c>
      <c r="AT305" s="126" t="s">
        <v>74</v>
      </c>
    </row>
    <row r="306" spans="1:65" s="5" customFormat="1" ht="10.15" customHeight="1" x14ac:dyDescent="0.2">
      <c r="B306" s="177"/>
      <c r="C306" s="16"/>
      <c r="D306" s="178" t="s">
        <v>340</v>
      </c>
      <c r="E306" s="16"/>
      <c r="F306" s="179" t="s">
        <v>1215</v>
      </c>
      <c r="G306" s="180"/>
      <c r="H306" s="16"/>
      <c r="I306" s="16"/>
      <c r="J306" s="16"/>
      <c r="K306" s="181"/>
      <c r="L306" s="16"/>
      <c r="S306" s="129"/>
      <c r="AS306" s="126" t="s">
        <v>148</v>
      </c>
      <c r="AT306" s="126" t="s">
        <v>74</v>
      </c>
    </row>
    <row r="307" spans="1:65" s="5" customFormat="1" ht="16.5" customHeight="1" x14ac:dyDescent="0.2">
      <c r="A307" s="105"/>
      <c r="B307" s="140"/>
      <c r="C307" s="33" t="s">
        <v>417</v>
      </c>
      <c r="D307" s="33" t="s">
        <v>131</v>
      </c>
      <c r="E307" s="34" t="s">
        <v>1087</v>
      </c>
      <c r="F307" s="7" t="s">
        <v>1088</v>
      </c>
      <c r="G307" s="35" t="s">
        <v>134</v>
      </c>
      <c r="H307" s="36">
        <v>0.73699999999999999</v>
      </c>
      <c r="I307" s="1"/>
      <c r="J307" s="6">
        <f>ROUND(I307*H307,2)</f>
        <v>0</v>
      </c>
      <c r="K307" s="151" t="s">
        <v>1</v>
      </c>
      <c r="L307" s="17"/>
      <c r="M307" s="8" t="s">
        <v>1</v>
      </c>
      <c r="N307" s="9" t="s">
        <v>33</v>
      </c>
      <c r="O307" s="10">
        <v>0</v>
      </c>
      <c r="P307" s="10">
        <f>O307*H307</f>
        <v>0</v>
      </c>
      <c r="Q307" s="10">
        <v>0</v>
      </c>
      <c r="R307" s="10">
        <f>Q307*H307</f>
        <v>0</v>
      </c>
      <c r="S307" s="10">
        <v>0</v>
      </c>
      <c r="T307" s="11">
        <f>S307*H307</f>
        <v>0</v>
      </c>
      <c r="U307" s="105"/>
      <c r="V307" s="105"/>
      <c r="W307" s="105"/>
      <c r="X307" s="105"/>
      <c r="Y307" s="105"/>
      <c r="Z307" s="105"/>
      <c r="AA307" s="105"/>
      <c r="AB307" s="105"/>
      <c r="AC307" s="105"/>
      <c r="AD307" s="105"/>
      <c r="AE307" s="105"/>
      <c r="AR307" s="12" t="s">
        <v>135</v>
      </c>
      <c r="AT307" s="12" t="s">
        <v>131</v>
      </c>
      <c r="AU307" s="12" t="s">
        <v>74</v>
      </c>
      <c r="AY307" s="13" t="s">
        <v>130</v>
      </c>
      <c r="BE307" s="14">
        <f>IF(N307="základní",J307,0)</f>
        <v>0</v>
      </c>
      <c r="BF307" s="14">
        <f>IF(N307="snížená",J307,0)</f>
        <v>0</v>
      </c>
      <c r="BG307" s="14">
        <f>IF(N307="zákl. přenesená",J307,0)</f>
        <v>0</v>
      </c>
      <c r="BH307" s="14">
        <f>IF(N307="sníž. přenesená",J307,0)</f>
        <v>0</v>
      </c>
      <c r="BI307" s="14">
        <f>IF(N307="nulová",J307,0)</f>
        <v>0</v>
      </c>
      <c r="BJ307" s="13" t="s">
        <v>74</v>
      </c>
      <c r="BK307" s="14">
        <f>ROUND(I307*H307,2)</f>
        <v>0</v>
      </c>
      <c r="BL307" s="13" t="s">
        <v>135</v>
      </c>
      <c r="BM307" s="12" t="s">
        <v>511</v>
      </c>
    </row>
    <row r="308" spans="1:65" s="5" customFormat="1" ht="16.5" customHeight="1" x14ac:dyDescent="0.2">
      <c r="A308" s="105"/>
      <c r="B308" s="140"/>
      <c r="C308" s="33" t="s">
        <v>534</v>
      </c>
      <c r="D308" s="33" t="s">
        <v>131</v>
      </c>
      <c r="E308" s="34" t="s">
        <v>1089</v>
      </c>
      <c r="F308" s="7" t="s">
        <v>1090</v>
      </c>
      <c r="G308" s="35" t="s">
        <v>170</v>
      </c>
      <c r="H308" s="36">
        <v>1.34</v>
      </c>
      <c r="I308" s="1"/>
      <c r="J308" s="6">
        <f>ROUND(I308*H308,2)</f>
        <v>0</v>
      </c>
      <c r="K308" s="151" t="s">
        <v>1</v>
      </c>
      <c r="L308" s="17"/>
      <c r="M308" s="8" t="s">
        <v>1</v>
      </c>
      <c r="N308" s="9" t="s">
        <v>33</v>
      </c>
      <c r="O308" s="10">
        <v>0</v>
      </c>
      <c r="P308" s="10">
        <f>O308*H308</f>
        <v>0</v>
      </c>
      <c r="Q308" s="10">
        <v>0</v>
      </c>
      <c r="R308" s="10">
        <f>Q308*H308</f>
        <v>0</v>
      </c>
      <c r="S308" s="10">
        <v>0</v>
      </c>
      <c r="T308" s="11">
        <f>S308*H308</f>
        <v>0</v>
      </c>
      <c r="U308" s="105"/>
      <c r="V308" s="105"/>
      <c r="W308" s="105"/>
      <c r="X308" s="105"/>
      <c r="Y308" s="105"/>
      <c r="Z308" s="105"/>
      <c r="AA308" s="105"/>
      <c r="AB308" s="105"/>
      <c r="AC308" s="105"/>
      <c r="AD308" s="105"/>
      <c r="AE308" s="105"/>
      <c r="AR308" s="12" t="s">
        <v>135</v>
      </c>
      <c r="AT308" s="12" t="s">
        <v>131</v>
      </c>
      <c r="AU308" s="12" t="s">
        <v>74</v>
      </c>
      <c r="AY308" s="13" t="s">
        <v>130</v>
      </c>
      <c r="BE308" s="14">
        <f>IF(N308="základní",J308,0)</f>
        <v>0</v>
      </c>
      <c r="BF308" s="14">
        <f>IF(N308="snížená",J308,0)</f>
        <v>0</v>
      </c>
      <c r="BG308" s="14">
        <f>IF(N308="zákl. přenesená",J308,0)</f>
        <v>0</v>
      </c>
      <c r="BH308" s="14">
        <f>IF(N308="sníž. přenesená",J308,0)</f>
        <v>0</v>
      </c>
      <c r="BI308" s="14">
        <f>IF(N308="nulová",J308,0)</f>
        <v>0</v>
      </c>
      <c r="BJ308" s="13" t="s">
        <v>74</v>
      </c>
      <c r="BK308" s="14">
        <f>ROUND(I308*H308,2)</f>
        <v>0</v>
      </c>
      <c r="BL308" s="13" t="s">
        <v>135</v>
      </c>
      <c r="BM308" s="12" t="s">
        <v>514</v>
      </c>
    </row>
    <row r="309" spans="1:65" s="20" customFormat="1" ht="25.9" customHeight="1" x14ac:dyDescent="0.2">
      <c r="B309" s="172"/>
      <c r="C309" s="23"/>
      <c r="D309" s="173" t="s">
        <v>67</v>
      </c>
      <c r="E309" s="174" t="s">
        <v>288</v>
      </c>
      <c r="F309" s="174" t="s">
        <v>1091</v>
      </c>
      <c r="G309" s="23"/>
      <c r="H309" s="23"/>
      <c r="I309" s="23"/>
      <c r="J309" s="175">
        <f>BK309</f>
        <v>0</v>
      </c>
      <c r="K309" s="176"/>
      <c r="L309" s="23"/>
      <c r="M309" s="22"/>
      <c r="N309" s="23"/>
      <c r="O309" s="23"/>
      <c r="P309" s="24">
        <f>SUM(P311:P314)</f>
        <v>0</v>
      </c>
      <c r="Q309" s="23"/>
      <c r="R309" s="24">
        <f>SUM(R311:R314)</f>
        <v>0</v>
      </c>
      <c r="S309" s="23"/>
      <c r="T309" s="25">
        <f>SUM(T311:T314)</f>
        <v>0</v>
      </c>
      <c r="AR309" s="26" t="s">
        <v>74</v>
      </c>
      <c r="AT309" s="27" t="s">
        <v>67</v>
      </c>
      <c r="AU309" s="27" t="s">
        <v>68</v>
      </c>
      <c r="AY309" s="26" t="s">
        <v>130</v>
      </c>
      <c r="BK309" s="28">
        <f>SUM(BK311:BK314)</f>
        <v>0</v>
      </c>
    </row>
    <row r="310" spans="1:65" s="5" customFormat="1" ht="10.15" customHeight="1" x14ac:dyDescent="0.2">
      <c r="B310" s="177"/>
      <c r="C310" s="16"/>
      <c r="D310" s="178" t="s">
        <v>340</v>
      </c>
      <c r="E310" s="16"/>
      <c r="F310" s="179" t="s">
        <v>1231</v>
      </c>
      <c r="G310" s="16"/>
      <c r="H310" s="180">
        <f>(7.49*2*3.14*0.01)+(2*3.14*0.01*0.01)</f>
        <v>0.47100000000000009</v>
      </c>
      <c r="I310" s="16"/>
      <c r="J310" s="16"/>
      <c r="K310" s="181"/>
      <c r="L310" s="16"/>
      <c r="S310" s="129"/>
      <c r="AS310" s="126" t="s">
        <v>148</v>
      </c>
      <c r="AT310" s="126" t="s">
        <v>74</v>
      </c>
    </row>
    <row r="311" spans="1:65" s="5" customFormat="1" ht="16.5" customHeight="1" x14ac:dyDescent="0.2">
      <c r="A311" s="105"/>
      <c r="B311" s="140"/>
      <c r="C311" s="33" t="s">
        <v>420</v>
      </c>
      <c r="D311" s="33" t="s">
        <v>131</v>
      </c>
      <c r="E311" s="34" t="s">
        <v>1024</v>
      </c>
      <c r="F311" s="7" t="s">
        <v>1025</v>
      </c>
      <c r="G311" s="35" t="s">
        <v>134</v>
      </c>
      <c r="H311" s="36">
        <v>0.47099999999999997</v>
      </c>
      <c r="I311" s="1"/>
      <c r="J311" s="6">
        <f>ROUND(I311*H311,2)</f>
        <v>0</v>
      </c>
      <c r="K311" s="151" t="s">
        <v>1</v>
      </c>
      <c r="L311" s="17"/>
      <c r="M311" s="8" t="s">
        <v>1</v>
      </c>
      <c r="N311" s="9" t="s">
        <v>33</v>
      </c>
      <c r="O311" s="10">
        <v>0</v>
      </c>
      <c r="P311" s="10">
        <f>O311*H311</f>
        <v>0</v>
      </c>
      <c r="Q311" s="10">
        <v>0</v>
      </c>
      <c r="R311" s="10">
        <f>Q311*H311</f>
        <v>0</v>
      </c>
      <c r="S311" s="10">
        <v>0</v>
      </c>
      <c r="T311" s="11">
        <f>S311*H311</f>
        <v>0</v>
      </c>
      <c r="U311" s="105"/>
      <c r="V311" s="105"/>
      <c r="W311" s="105"/>
      <c r="X311" s="105"/>
      <c r="Y311" s="105"/>
      <c r="Z311" s="105"/>
      <c r="AA311" s="105"/>
      <c r="AB311" s="105"/>
      <c r="AC311" s="105"/>
      <c r="AD311" s="105"/>
      <c r="AE311" s="105"/>
      <c r="AR311" s="12" t="s">
        <v>135</v>
      </c>
      <c r="AT311" s="12" t="s">
        <v>131</v>
      </c>
      <c r="AU311" s="12" t="s">
        <v>74</v>
      </c>
      <c r="AY311" s="13" t="s">
        <v>130</v>
      </c>
      <c r="BE311" s="14">
        <f>IF(N311="základní",J311,0)</f>
        <v>0</v>
      </c>
      <c r="BF311" s="14">
        <f>IF(N311="snížená",J311,0)</f>
        <v>0</v>
      </c>
      <c r="BG311" s="14">
        <f>IF(N311="zákl. přenesená",J311,0)</f>
        <v>0</v>
      </c>
      <c r="BH311" s="14">
        <f>IF(N311="sníž. přenesená",J311,0)</f>
        <v>0</v>
      </c>
      <c r="BI311" s="14">
        <f>IF(N311="nulová",J311,0)</f>
        <v>0</v>
      </c>
      <c r="BJ311" s="13" t="s">
        <v>74</v>
      </c>
      <c r="BK311" s="14">
        <f>ROUND(I311*H311,2)</f>
        <v>0</v>
      </c>
      <c r="BL311" s="13" t="s">
        <v>135</v>
      </c>
      <c r="BM311" s="12" t="s">
        <v>515</v>
      </c>
    </row>
    <row r="312" spans="1:65" s="5" customFormat="1" ht="16.5" customHeight="1" x14ac:dyDescent="0.2">
      <c r="A312" s="105"/>
      <c r="B312" s="140"/>
      <c r="C312" s="33" t="s">
        <v>537</v>
      </c>
      <c r="D312" s="33" t="s">
        <v>131</v>
      </c>
      <c r="E312" s="34" t="s">
        <v>1026</v>
      </c>
      <c r="F312" s="7" t="s">
        <v>1027</v>
      </c>
      <c r="G312" s="35" t="s">
        <v>134</v>
      </c>
      <c r="H312" s="36">
        <v>0.47099999999999997</v>
      </c>
      <c r="I312" s="1"/>
      <c r="J312" s="6">
        <f>ROUND(I312*H312,2)</f>
        <v>0</v>
      </c>
      <c r="K312" s="151" t="s">
        <v>1</v>
      </c>
      <c r="L312" s="17"/>
      <c r="M312" s="8" t="s">
        <v>1</v>
      </c>
      <c r="N312" s="9" t="s">
        <v>33</v>
      </c>
      <c r="O312" s="10">
        <v>0</v>
      </c>
      <c r="P312" s="10">
        <f>O312*H312</f>
        <v>0</v>
      </c>
      <c r="Q312" s="10">
        <v>0</v>
      </c>
      <c r="R312" s="10">
        <f>Q312*H312</f>
        <v>0</v>
      </c>
      <c r="S312" s="10">
        <v>0</v>
      </c>
      <c r="T312" s="11">
        <f>S312*H312</f>
        <v>0</v>
      </c>
      <c r="U312" s="105"/>
      <c r="V312" s="105"/>
      <c r="W312" s="105"/>
      <c r="X312" s="105"/>
      <c r="Y312" s="105"/>
      <c r="Z312" s="105"/>
      <c r="AA312" s="105"/>
      <c r="AB312" s="105"/>
      <c r="AC312" s="105"/>
      <c r="AD312" s="105"/>
      <c r="AE312" s="105"/>
      <c r="AR312" s="12" t="s">
        <v>135</v>
      </c>
      <c r="AT312" s="12" t="s">
        <v>131</v>
      </c>
      <c r="AU312" s="12" t="s">
        <v>74</v>
      </c>
      <c r="AY312" s="13" t="s">
        <v>130</v>
      </c>
      <c r="BE312" s="14">
        <f>IF(N312="základní",J312,0)</f>
        <v>0</v>
      </c>
      <c r="BF312" s="14">
        <f>IF(N312="snížená",J312,0)</f>
        <v>0</v>
      </c>
      <c r="BG312" s="14">
        <f>IF(N312="zákl. přenesená",J312,0)</f>
        <v>0</v>
      </c>
      <c r="BH312" s="14">
        <f>IF(N312="sníž. přenesená",J312,0)</f>
        <v>0</v>
      </c>
      <c r="BI312" s="14">
        <f>IF(N312="nulová",J312,0)</f>
        <v>0</v>
      </c>
      <c r="BJ312" s="13" t="s">
        <v>74</v>
      </c>
      <c r="BK312" s="14">
        <f>ROUND(I312*H312,2)</f>
        <v>0</v>
      </c>
      <c r="BL312" s="13" t="s">
        <v>135</v>
      </c>
      <c r="BM312" s="12" t="s">
        <v>517</v>
      </c>
    </row>
    <row r="313" spans="1:65" s="5" customFormat="1" ht="16.5" customHeight="1" x14ac:dyDescent="0.2">
      <c r="A313" s="105"/>
      <c r="B313" s="140"/>
      <c r="C313" s="33" t="s">
        <v>541</v>
      </c>
      <c r="D313" s="33" t="s">
        <v>131</v>
      </c>
      <c r="E313" s="34" t="s">
        <v>1030</v>
      </c>
      <c r="F313" s="7" t="s">
        <v>1031</v>
      </c>
      <c r="G313" s="35" t="s">
        <v>134</v>
      </c>
      <c r="H313" s="36">
        <v>0.47099999999999997</v>
      </c>
      <c r="I313" s="1"/>
      <c r="J313" s="6">
        <f>ROUND(I313*H313,2)</f>
        <v>0</v>
      </c>
      <c r="K313" s="151" t="s">
        <v>1</v>
      </c>
      <c r="L313" s="17"/>
      <c r="M313" s="8" t="s">
        <v>1</v>
      </c>
      <c r="N313" s="9" t="s">
        <v>33</v>
      </c>
      <c r="O313" s="10">
        <v>0</v>
      </c>
      <c r="P313" s="10">
        <f>O313*H313</f>
        <v>0</v>
      </c>
      <c r="Q313" s="10">
        <v>0</v>
      </c>
      <c r="R313" s="10">
        <f>Q313*H313</f>
        <v>0</v>
      </c>
      <c r="S313" s="10">
        <v>0</v>
      </c>
      <c r="T313" s="11">
        <f>S313*H313</f>
        <v>0</v>
      </c>
      <c r="U313" s="105"/>
      <c r="V313" s="105"/>
      <c r="W313" s="105"/>
      <c r="X313" s="105"/>
      <c r="Y313" s="105"/>
      <c r="Z313" s="105"/>
      <c r="AA313" s="105"/>
      <c r="AB313" s="105"/>
      <c r="AC313" s="105"/>
      <c r="AD313" s="105"/>
      <c r="AE313" s="105"/>
      <c r="AR313" s="12" t="s">
        <v>135</v>
      </c>
      <c r="AT313" s="12" t="s">
        <v>131</v>
      </c>
      <c r="AU313" s="12" t="s">
        <v>74</v>
      </c>
      <c r="AY313" s="13" t="s">
        <v>130</v>
      </c>
      <c r="BE313" s="14">
        <f>IF(N313="základní",J313,0)</f>
        <v>0</v>
      </c>
      <c r="BF313" s="14">
        <f>IF(N313="snížená",J313,0)</f>
        <v>0</v>
      </c>
      <c r="BG313" s="14">
        <f>IF(N313="zákl. přenesená",J313,0)</f>
        <v>0</v>
      </c>
      <c r="BH313" s="14">
        <f>IF(N313="sníž. přenesená",J313,0)</f>
        <v>0</v>
      </c>
      <c r="BI313" s="14">
        <f>IF(N313="nulová",J313,0)</f>
        <v>0</v>
      </c>
      <c r="BJ313" s="13" t="s">
        <v>74</v>
      </c>
      <c r="BK313" s="14">
        <f>ROUND(I313*H313,2)</f>
        <v>0</v>
      </c>
      <c r="BL313" s="13" t="s">
        <v>135</v>
      </c>
      <c r="BM313" s="12" t="s">
        <v>518</v>
      </c>
    </row>
    <row r="314" spans="1:65" s="5" customFormat="1" ht="16.5" customHeight="1" x14ac:dyDescent="0.2">
      <c r="A314" s="105"/>
      <c r="B314" s="140"/>
      <c r="C314" s="33" t="s">
        <v>425</v>
      </c>
      <c r="D314" s="33" t="s">
        <v>131</v>
      </c>
      <c r="E314" s="34" t="s">
        <v>1032</v>
      </c>
      <c r="F314" s="7" t="s">
        <v>1033</v>
      </c>
      <c r="G314" s="35" t="s">
        <v>134</v>
      </c>
      <c r="H314" s="36">
        <v>0.47099999999999997</v>
      </c>
      <c r="I314" s="1"/>
      <c r="J314" s="6">
        <f>ROUND(I314*H314,2)</f>
        <v>0</v>
      </c>
      <c r="K314" s="151" t="s">
        <v>1</v>
      </c>
      <c r="L314" s="17"/>
      <c r="M314" s="29" t="s">
        <v>1</v>
      </c>
      <c r="N314" s="30" t="s">
        <v>33</v>
      </c>
      <c r="O314" s="31">
        <v>0</v>
      </c>
      <c r="P314" s="31">
        <f>O314*H314</f>
        <v>0</v>
      </c>
      <c r="Q314" s="31">
        <v>0</v>
      </c>
      <c r="R314" s="31">
        <f>Q314*H314</f>
        <v>0</v>
      </c>
      <c r="S314" s="31">
        <v>0</v>
      </c>
      <c r="T314" s="32">
        <f>S314*H314</f>
        <v>0</v>
      </c>
      <c r="U314" s="105"/>
      <c r="V314" s="105"/>
      <c r="W314" s="105"/>
      <c r="X314" s="105"/>
      <c r="Y314" s="105"/>
      <c r="Z314" s="105"/>
      <c r="AA314" s="105"/>
      <c r="AB314" s="105"/>
      <c r="AC314" s="105"/>
      <c r="AD314" s="105"/>
      <c r="AE314" s="105"/>
      <c r="AR314" s="12" t="s">
        <v>135</v>
      </c>
      <c r="AT314" s="12" t="s">
        <v>131</v>
      </c>
      <c r="AU314" s="12" t="s">
        <v>74</v>
      </c>
      <c r="AY314" s="13" t="s">
        <v>130</v>
      </c>
      <c r="BE314" s="14">
        <f>IF(N314="základní",J314,0)</f>
        <v>0</v>
      </c>
      <c r="BF314" s="14">
        <f>IF(N314="snížená",J314,0)</f>
        <v>0</v>
      </c>
      <c r="BG314" s="14">
        <f>IF(N314="zákl. přenesená",J314,0)</f>
        <v>0</v>
      </c>
      <c r="BH314" s="14">
        <f>IF(N314="sníž. přenesená",J314,0)</f>
        <v>0</v>
      </c>
      <c r="BI314" s="14">
        <f>IF(N314="nulová",J314,0)</f>
        <v>0</v>
      </c>
      <c r="BJ314" s="13" t="s">
        <v>74</v>
      </c>
      <c r="BK314" s="14">
        <f>ROUND(I314*H314,2)</f>
        <v>0</v>
      </c>
      <c r="BL314" s="13" t="s">
        <v>135</v>
      </c>
      <c r="BM314" s="12" t="s">
        <v>521</v>
      </c>
    </row>
    <row r="315" spans="1:65" s="5" customFormat="1" ht="6.95" customHeight="1" x14ac:dyDescent="0.2">
      <c r="A315" s="105"/>
      <c r="B315" s="148"/>
      <c r="C315" s="149"/>
      <c r="D315" s="149"/>
      <c r="E315" s="149"/>
      <c r="F315" s="149"/>
      <c r="G315" s="149"/>
      <c r="H315" s="149"/>
      <c r="I315" s="149"/>
      <c r="J315" s="149"/>
      <c r="K315" s="150"/>
      <c r="L315" s="17"/>
      <c r="M315" s="105"/>
      <c r="O315" s="105"/>
      <c r="P315" s="105"/>
      <c r="Q315" s="105"/>
      <c r="R315" s="105"/>
      <c r="S315" s="105"/>
      <c r="T315" s="105"/>
      <c r="U315" s="105"/>
      <c r="V315" s="105"/>
      <c r="W315" s="105"/>
      <c r="X315" s="105"/>
      <c r="Y315" s="105"/>
      <c r="Z315" s="105"/>
      <c r="AA315" s="105"/>
      <c r="AB315" s="105"/>
      <c r="AC315" s="105"/>
      <c r="AD315" s="105"/>
      <c r="AE315" s="105"/>
    </row>
  </sheetData>
  <sheetProtection algorithmName="SHA-512" hashValue="KD+lc1aqAQTIvTW4A95wCX4XdIFAMVHwRrH7oTmeILVArbIjQXjEriPCiEefMfwwhFu4LDkBi9lwpfLPJDxcww==" saltValue="woD9HnCx+2kSt1PNJqYyKQ==" spinCount="100000" sheet="1" objects="1" scenarios="1"/>
  <autoFilter ref="C136:K314"/>
  <mergeCells count="10">
    <mergeCell ref="E87:H87"/>
    <mergeCell ref="E127:H127"/>
    <mergeCell ref="E129:H129"/>
    <mergeCell ref="L2:V2"/>
    <mergeCell ref="C137:K13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topLeftCell="A102" zoomScale="90" zoomScaleNormal="90" workbookViewId="0">
      <selection activeCell="W122" sqref="W122"/>
    </sheetView>
  </sheetViews>
  <sheetFormatPr defaultColWidth="9.1640625" defaultRowHeight="11.25" x14ac:dyDescent="0.2"/>
  <cols>
    <col min="1" max="1" width="8.33203125" style="107" customWidth="1"/>
    <col min="2" max="2" width="1.1640625" style="107" customWidth="1"/>
    <col min="3" max="3" width="4.1640625" style="107" customWidth="1"/>
    <col min="4" max="4" width="4.33203125" style="107" customWidth="1"/>
    <col min="5" max="5" width="17.1640625" style="107" customWidth="1"/>
    <col min="6" max="6" width="100.83203125" style="107" customWidth="1"/>
    <col min="7" max="7" width="7.5" style="107" customWidth="1"/>
    <col min="8" max="8" width="14" style="107" customWidth="1"/>
    <col min="9" max="9" width="15.83203125" style="107" customWidth="1"/>
    <col min="10" max="11" width="22.33203125" style="107" customWidth="1"/>
    <col min="12" max="12" width="9.33203125" style="107" customWidth="1"/>
    <col min="13" max="13" width="10.83203125" style="107" hidden="1" customWidth="1"/>
    <col min="14" max="14" width="9.33203125" style="107" hidden="1"/>
    <col min="15" max="20" width="14.1640625" style="107" hidden="1" customWidth="1"/>
    <col min="21" max="21" width="16.33203125" style="107" hidden="1" customWidth="1"/>
    <col min="22" max="22" width="12.33203125" style="107" customWidth="1"/>
    <col min="23" max="23" width="16.33203125" style="107" customWidth="1"/>
    <col min="24" max="24" width="12.33203125" style="107" customWidth="1"/>
    <col min="25" max="25" width="15" style="107" customWidth="1"/>
    <col min="26" max="26" width="11" style="107" customWidth="1"/>
    <col min="27" max="27" width="15" style="107" customWidth="1"/>
    <col min="28" max="28" width="16.33203125" style="107" customWidth="1"/>
    <col min="29" max="29" width="11" style="107" customWidth="1"/>
    <col min="30" max="30" width="15" style="107" customWidth="1"/>
    <col min="31" max="31" width="16.33203125" style="107" customWidth="1"/>
    <col min="32" max="43" width="9.1640625" style="107"/>
    <col min="44" max="65" width="9.33203125" style="107" hidden="1"/>
    <col min="66" max="16384" width="9.1640625" style="107"/>
  </cols>
  <sheetData>
    <row r="2" spans="1:46" ht="36.950000000000003" customHeight="1" x14ac:dyDescent="0.2">
      <c r="L2" s="306" t="s">
        <v>5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3" t="s">
        <v>84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106" t="s">
        <v>14</v>
      </c>
      <c r="L6" s="42"/>
    </row>
    <row r="7" spans="1:46" ht="16.5" customHeight="1" x14ac:dyDescent="0.2">
      <c r="B7" s="42"/>
      <c r="E7" s="312" t="str">
        <f>'Rekapitulace stavby'!K6</f>
        <v>REKONSTRUKCE A DOSTAVBA BUDOV FF UK - DVD</v>
      </c>
      <c r="F7" s="313"/>
      <c r="G7" s="313"/>
      <c r="H7" s="313"/>
      <c r="L7" s="42"/>
    </row>
    <row r="8" spans="1:46" s="5" customFormat="1" ht="12" customHeight="1" x14ac:dyDescent="0.2">
      <c r="A8" s="105"/>
      <c r="B8" s="4"/>
      <c r="C8" s="105"/>
      <c r="D8" s="106" t="s">
        <v>87</v>
      </c>
      <c r="E8" s="105"/>
      <c r="F8" s="105"/>
      <c r="G8" s="105"/>
      <c r="H8" s="105"/>
      <c r="I8" s="105"/>
      <c r="J8" s="105"/>
      <c r="K8" s="105"/>
      <c r="L8" s="4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46" s="5" customFormat="1" ht="16.5" customHeight="1" x14ac:dyDescent="0.2">
      <c r="A9" s="105"/>
      <c r="B9" s="4"/>
      <c r="C9" s="105"/>
      <c r="D9" s="105"/>
      <c r="E9" s="277" t="s">
        <v>1206</v>
      </c>
      <c r="F9" s="311"/>
      <c r="G9" s="311"/>
      <c r="H9" s="311"/>
      <c r="I9" s="105"/>
      <c r="J9" s="105"/>
      <c r="K9" s="105"/>
      <c r="L9" s="4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46" s="5" customFormat="1" x14ac:dyDescent="0.2">
      <c r="A10" s="105"/>
      <c r="B10" s="4"/>
      <c r="C10" s="105"/>
      <c r="D10" s="105"/>
      <c r="E10" s="105"/>
      <c r="F10" s="105"/>
      <c r="G10" s="105"/>
      <c r="H10" s="105"/>
      <c r="I10" s="105"/>
      <c r="J10" s="105"/>
      <c r="K10" s="105"/>
      <c r="L10" s="4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46" s="5" customFormat="1" ht="12" customHeight="1" x14ac:dyDescent="0.2">
      <c r="A11" s="105"/>
      <c r="B11" s="4"/>
      <c r="C11" s="105"/>
      <c r="D11" s="106" t="s">
        <v>15</v>
      </c>
      <c r="E11" s="105"/>
      <c r="F11" s="46" t="s">
        <v>1291</v>
      </c>
      <c r="G11" s="105"/>
      <c r="H11" s="105"/>
      <c r="I11" s="106" t="s">
        <v>16</v>
      </c>
      <c r="J11" s="108" t="s">
        <v>1</v>
      </c>
      <c r="K11" s="105"/>
      <c r="L11" s="4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46" s="5" customFormat="1" ht="12" customHeight="1" x14ac:dyDescent="0.2">
      <c r="A12" s="105"/>
      <c r="B12" s="4"/>
      <c r="C12" s="105"/>
      <c r="D12" s="106" t="s">
        <v>17</v>
      </c>
      <c r="E12" s="105"/>
      <c r="F12" s="46" t="s">
        <v>1292</v>
      </c>
      <c r="G12" s="105"/>
      <c r="H12" s="105"/>
      <c r="I12" s="106" t="s">
        <v>19</v>
      </c>
      <c r="J12" s="47">
        <f>'Rekapitulace stavby'!AN8</f>
        <v>44310</v>
      </c>
      <c r="K12" s="105"/>
      <c r="L12" s="4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46" s="5" customFormat="1" ht="10.9" customHeight="1" x14ac:dyDescent="0.2">
      <c r="A13" s="105"/>
      <c r="B13" s="4"/>
      <c r="C13" s="105"/>
      <c r="D13" s="105"/>
      <c r="E13" s="105"/>
      <c r="F13" s="105"/>
      <c r="G13" s="105"/>
      <c r="H13" s="105"/>
      <c r="I13" s="105"/>
      <c r="J13" s="105"/>
      <c r="K13" s="105"/>
      <c r="L13" s="4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46" s="5" customFormat="1" ht="12" customHeight="1" x14ac:dyDescent="0.2">
      <c r="A14" s="105"/>
      <c r="B14" s="4"/>
      <c r="C14" s="105"/>
      <c r="D14" s="106" t="s">
        <v>20</v>
      </c>
      <c r="E14" s="105"/>
      <c r="F14" s="105"/>
      <c r="G14" s="105"/>
      <c r="H14" s="105"/>
      <c r="I14" s="106" t="s">
        <v>21</v>
      </c>
      <c r="J14" s="108" t="str">
        <f>IF('Rekapitulace stavby'!AN10="","",'Rekapitulace stavby'!AN10)</f>
        <v/>
      </c>
      <c r="K14" s="105"/>
      <c r="L14" s="4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46" s="5" customFormat="1" ht="18" customHeight="1" x14ac:dyDescent="0.2">
      <c r="A15" s="105"/>
      <c r="B15" s="4"/>
      <c r="C15" s="105"/>
      <c r="D15" s="105"/>
      <c r="E15" s="48" t="s">
        <v>1293</v>
      </c>
      <c r="F15" s="105"/>
      <c r="G15" s="105"/>
      <c r="H15" s="105"/>
      <c r="I15" s="106" t="s">
        <v>22</v>
      </c>
      <c r="J15" s="108" t="str">
        <f>IF('Rekapitulace stavby'!AN11="","",'Rekapitulace stavby'!AN11)</f>
        <v/>
      </c>
      <c r="K15" s="105"/>
      <c r="L15" s="4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46" s="5" customFormat="1" ht="6.95" customHeight="1" x14ac:dyDescent="0.2">
      <c r="A16" s="105"/>
      <c r="B16" s="4"/>
      <c r="C16" s="105"/>
      <c r="D16" s="105"/>
      <c r="E16" s="105"/>
      <c r="F16" s="105"/>
      <c r="G16" s="105"/>
      <c r="H16" s="105"/>
      <c r="I16" s="105"/>
      <c r="J16" s="105"/>
      <c r="K16" s="105"/>
      <c r="L16" s="4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31" s="5" customFormat="1" ht="12" customHeight="1" x14ac:dyDescent="0.2">
      <c r="A17" s="105"/>
      <c r="B17" s="4"/>
      <c r="C17" s="105"/>
      <c r="D17" s="106" t="s">
        <v>23</v>
      </c>
      <c r="E17" s="105"/>
      <c r="F17" s="105"/>
      <c r="G17" s="105"/>
      <c r="H17" s="105"/>
      <c r="I17" s="106" t="s">
        <v>21</v>
      </c>
      <c r="J17" s="108" t="str">
        <f>'Rekapitulace stavby'!AN13</f>
        <v/>
      </c>
      <c r="K17" s="105"/>
      <c r="L17" s="4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</row>
    <row r="18" spans="1:31" s="5" customFormat="1" ht="18" customHeight="1" x14ac:dyDescent="0.2">
      <c r="A18" s="105"/>
      <c r="B18" s="4"/>
      <c r="C18" s="105"/>
      <c r="D18" s="105"/>
      <c r="E18" s="299" t="str">
        <f>'Rekapitulace stavby'!E14</f>
        <v xml:space="preserve"> </v>
      </c>
      <c r="F18" s="299"/>
      <c r="G18" s="299"/>
      <c r="H18" s="299"/>
      <c r="I18" s="106" t="s">
        <v>22</v>
      </c>
      <c r="J18" s="108" t="str">
        <f>'Rekapitulace stavby'!AN14</f>
        <v/>
      </c>
      <c r="K18" s="105"/>
      <c r="L18" s="4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5" customFormat="1" ht="6.95" customHeight="1" x14ac:dyDescent="0.2">
      <c r="A19" s="105"/>
      <c r="B19" s="4"/>
      <c r="C19" s="105"/>
      <c r="D19" s="105"/>
      <c r="E19" s="105"/>
      <c r="F19" s="105"/>
      <c r="G19" s="105"/>
      <c r="H19" s="105"/>
      <c r="I19" s="105"/>
      <c r="J19" s="105"/>
      <c r="K19" s="105"/>
      <c r="L19" s="4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</row>
    <row r="20" spans="1:31" s="5" customFormat="1" ht="12" customHeight="1" x14ac:dyDescent="0.2">
      <c r="A20" s="105"/>
      <c r="B20" s="4"/>
      <c r="C20" s="105"/>
      <c r="D20" s="106" t="s">
        <v>24</v>
      </c>
      <c r="E20" s="105"/>
      <c r="F20" s="105"/>
      <c r="G20" s="105"/>
      <c r="H20" s="105"/>
      <c r="I20" s="106" t="s">
        <v>21</v>
      </c>
      <c r="J20" s="108" t="str">
        <f>IF('Rekapitulace stavby'!AN16="","",'Rekapitulace stavby'!AN16)</f>
        <v/>
      </c>
      <c r="K20" s="105"/>
      <c r="L20" s="4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</row>
    <row r="21" spans="1:31" s="5" customFormat="1" ht="18" customHeight="1" x14ac:dyDescent="0.2">
      <c r="A21" s="105"/>
      <c r="B21" s="4"/>
      <c r="C21" s="105"/>
      <c r="D21" s="105"/>
      <c r="E21" s="48" t="s">
        <v>1294</v>
      </c>
      <c r="F21" s="105"/>
      <c r="G21" s="105"/>
      <c r="H21" s="105"/>
      <c r="I21" s="106" t="s">
        <v>22</v>
      </c>
      <c r="J21" s="108" t="str">
        <f>IF('Rekapitulace stavby'!AN17="","",'Rekapitulace stavby'!AN17)</f>
        <v/>
      </c>
      <c r="K21" s="105"/>
      <c r="L21" s="4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</row>
    <row r="22" spans="1:31" s="5" customFormat="1" ht="6.95" customHeight="1" x14ac:dyDescent="0.2">
      <c r="A22" s="105"/>
      <c r="B22" s="4"/>
      <c r="C22" s="105"/>
      <c r="D22" s="105"/>
      <c r="E22" s="105"/>
      <c r="F22" s="105"/>
      <c r="G22" s="105"/>
      <c r="H22" s="105"/>
      <c r="I22" s="105"/>
      <c r="J22" s="105"/>
      <c r="K22" s="105"/>
      <c r="L22" s="4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</row>
    <row r="23" spans="1:31" s="5" customFormat="1" ht="12" customHeight="1" x14ac:dyDescent="0.2">
      <c r="A23" s="105"/>
      <c r="B23" s="4"/>
      <c r="C23" s="105"/>
      <c r="D23" s="106" t="s">
        <v>26</v>
      </c>
      <c r="E23" s="105"/>
      <c r="F23" s="105"/>
      <c r="G23" s="105"/>
      <c r="H23" s="105"/>
      <c r="I23" s="106" t="s">
        <v>21</v>
      </c>
      <c r="J23" s="108" t="str">
        <f>IF('Rekapitulace stavby'!AN19="","",'Rekapitulace stavby'!AN19)</f>
        <v/>
      </c>
      <c r="K23" s="105"/>
      <c r="L23" s="4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</row>
    <row r="24" spans="1:31" s="5" customFormat="1" ht="18" customHeight="1" x14ac:dyDescent="0.2">
      <c r="A24" s="105"/>
      <c r="B24" s="4"/>
      <c r="C24" s="105"/>
      <c r="D24" s="105"/>
      <c r="E24" s="48" t="s">
        <v>1295</v>
      </c>
      <c r="F24" s="105"/>
      <c r="G24" s="105"/>
      <c r="H24" s="105"/>
      <c r="I24" s="106" t="s">
        <v>22</v>
      </c>
      <c r="J24" s="108" t="str">
        <f>IF('Rekapitulace stavby'!AN20="","",'Rekapitulace stavby'!AN20)</f>
        <v/>
      </c>
      <c r="K24" s="105"/>
      <c r="L24" s="4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</row>
    <row r="25" spans="1:31" s="5" customFormat="1" ht="6.95" customHeight="1" x14ac:dyDescent="0.2">
      <c r="A25" s="105"/>
      <c r="B25" s="4"/>
      <c r="C25" s="105"/>
      <c r="D25" s="105"/>
      <c r="E25" s="105"/>
      <c r="F25" s="105"/>
      <c r="G25" s="105"/>
      <c r="H25" s="105"/>
      <c r="I25" s="105"/>
      <c r="J25" s="105"/>
      <c r="K25" s="105"/>
      <c r="L25" s="4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5" customFormat="1" ht="12" customHeight="1" x14ac:dyDescent="0.2">
      <c r="A26" s="105"/>
      <c r="B26" s="4"/>
      <c r="C26" s="105"/>
      <c r="D26" s="106" t="s">
        <v>27</v>
      </c>
      <c r="E26" s="105"/>
      <c r="F26" s="105"/>
      <c r="G26" s="105"/>
      <c r="H26" s="105"/>
      <c r="I26" s="105"/>
      <c r="J26" s="105"/>
      <c r="K26" s="105"/>
      <c r="L26" s="4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</row>
    <row r="27" spans="1:31" s="52" customFormat="1" ht="16.5" customHeight="1" x14ac:dyDescent="0.2">
      <c r="A27" s="49"/>
      <c r="B27" s="50"/>
      <c r="C27" s="49"/>
      <c r="D27" s="49"/>
      <c r="E27" s="302" t="s">
        <v>1</v>
      </c>
      <c r="F27" s="302"/>
      <c r="G27" s="302"/>
      <c r="H27" s="302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105"/>
      <c r="B28" s="4"/>
      <c r="C28" s="105"/>
      <c r="D28" s="105"/>
      <c r="E28" s="105"/>
      <c r="F28" s="105"/>
      <c r="G28" s="105"/>
      <c r="H28" s="105"/>
      <c r="I28" s="105"/>
      <c r="J28" s="105"/>
      <c r="K28" s="105"/>
      <c r="L28" s="4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s="5" customFormat="1" ht="6.95" customHeight="1" x14ac:dyDescent="0.2">
      <c r="A29" s="105"/>
      <c r="B29" s="4"/>
      <c r="C29" s="105"/>
      <c r="D29" s="53"/>
      <c r="E29" s="53"/>
      <c r="F29" s="53"/>
      <c r="G29" s="53"/>
      <c r="H29" s="53"/>
      <c r="I29" s="53"/>
      <c r="J29" s="53"/>
      <c r="K29" s="53"/>
      <c r="L29" s="4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5" customFormat="1" ht="25.35" customHeight="1" x14ac:dyDescent="0.2">
      <c r="A30" s="105"/>
      <c r="B30" s="4"/>
      <c r="C30" s="105"/>
      <c r="D30" s="54" t="s">
        <v>28</v>
      </c>
      <c r="E30" s="105"/>
      <c r="F30" s="105"/>
      <c r="G30" s="105"/>
      <c r="H30" s="105"/>
      <c r="I30" s="105"/>
      <c r="J30" s="55">
        <f>ROUND(J121, 2)</f>
        <v>0</v>
      </c>
      <c r="K30" s="105"/>
      <c r="L30" s="4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</row>
    <row r="31" spans="1:31" s="5" customFormat="1" ht="6.95" customHeight="1" x14ac:dyDescent="0.2">
      <c r="A31" s="105"/>
      <c r="B31" s="4"/>
      <c r="C31" s="105"/>
      <c r="D31" s="53"/>
      <c r="E31" s="53"/>
      <c r="F31" s="53"/>
      <c r="G31" s="53"/>
      <c r="H31" s="53"/>
      <c r="I31" s="53"/>
      <c r="J31" s="53"/>
      <c r="K31" s="53"/>
      <c r="L31" s="4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5" customFormat="1" ht="14.45" customHeight="1" x14ac:dyDescent="0.2">
      <c r="A32" s="105"/>
      <c r="B32" s="4"/>
      <c r="C32" s="105"/>
      <c r="D32" s="105"/>
      <c r="E32" s="105"/>
      <c r="F32" s="56" t="s">
        <v>30</v>
      </c>
      <c r="G32" s="105"/>
      <c r="H32" s="105"/>
      <c r="I32" s="56" t="s">
        <v>29</v>
      </c>
      <c r="J32" s="56" t="s">
        <v>31</v>
      </c>
      <c r="K32" s="105"/>
      <c r="L32" s="4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</row>
    <row r="33" spans="1:31" s="5" customFormat="1" ht="14.45" customHeight="1" x14ac:dyDescent="0.2">
      <c r="A33" s="105"/>
      <c r="B33" s="4"/>
      <c r="C33" s="105"/>
      <c r="D33" s="57" t="s">
        <v>32</v>
      </c>
      <c r="E33" s="106" t="s">
        <v>33</v>
      </c>
      <c r="F33" s="58">
        <f>ROUND((SUM(BE121:BE204)),  2)</f>
        <v>0</v>
      </c>
      <c r="G33" s="105"/>
      <c r="H33" s="105"/>
      <c r="I33" s="59">
        <v>0.21</v>
      </c>
      <c r="J33" s="58">
        <f>ROUND(((SUM(BE121:BE204))*I33),  2)</f>
        <v>0</v>
      </c>
      <c r="K33" s="105"/>
      <c r="L33" s="4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</row>
    <row r="34" spans="1:31" s="5" customFormat="1" ht="14.45" customHeight="1" x14ac:dyDescent="0.2">
      <c r="A34" s="105"/>
      <c r="B34" s="4"/>
      <c r="C34" s="105"/>
      <c r="D34" s="105"/>
      <c r="E34" s="106" t="s">
        <v>34</v>
      </c>
      <c r="F34" s="58">
        <f>ROUND((SUM(BF121:BF204)),  2)</f>
        <v>0</v>
      </c>
      <c r="G34" s="105"/>
      <c r="H34" s="105"/>
      <c r="I34" s="59">
        <v>0.15</v>
      </c>
      <c r="J34" s="58">
        <f>ROUND(((SUM(BF121:BF204))*I34),  2)</f>
        <v>0</v>
      </c>
      <c r="K34" s="105"/>
      <c r="L34" s="4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</row>
    <row r="35" spans="1:31" s="5" customFormat="1" ht="14.45" hidden="1" customHeight="1" x14ac:dyDescent="0.2">
      <c r="A35" s="105"/>
      <c r="B35" s="4"/>
      <c r="C35" s="105"/>
      <c r="D35" s="105"/>
      <c r="E35" s="106" t="s">
        <v>35</v>
      </c>
      <c r="F35" s="58">
        <f>ROUND((SUM(BG121:BG204)),  2)</f>
        <v>0</v>
      </c>
      <c r="G35" s="105"/>
      <c r="H35" s="105"/>
      <c r="I35" s="59">
        <v>0.21</v>
      </c>
      <c r="J35" s="58">
        <f>0</f>
        <v>0</v>
      </c>
      <c r="K35" s="105"/>
      <c r="L35" s="4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</row>
    <row r="36" spans="1:31" s="5" customFormat="1" ht="14.45" hidden="1" customHeight="1" x14ac:dyDescent="0.2">
      <c r="A36" s="105"/>
      <c r="B36" s="4"/>
      <c r="C36" s="105"/>
      <c r="D36" s="105"/>
      <c r="E36" s="106" t="s">
        <v>36</v>
      </c>
      <c r="F36" s="58">
        <f>ROUND((SUM(BH121:BH204)),  2)</f>
        <v>0</v>
      </c>
      <c r="G36" s="105"/>
      <c r="H36" s="105"/>
      <c r="I36" s="59">
        <v>0.15</v>
      </c>
      <c r="J36" s="58">
        <f>0</f>
        <v>0</v>
      </c>
      <c r="K36" s="105"/>
      <c r="L36" s="4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</row>
    <row r="37" spans="1:31" s="5" customFormat="1" ht="14.45" hidden="1" customHeight="1" x14ac:dyDescent="0.2">
      <c r="A37" s="105"/>
      <c r="B37" s="4"/>
      <c r="C37" s="105"/>
      <c r="D37" s="105"/>
      <c r="E37" s="106" t="s">
        <v>37</v>
      </c>
      <c r="F37" s="58">
        <f>ROUND((SUM(BI121:BI204)),  2)</f>
        <v>0</v>
      </c>
      <c r="G37" s="105"/>
      <c r="H37" s="105"/>
      <c r="I37" s="59">
        <v>0</v>
      </c>
      <c r="J37" s="58">
        <f>0</f>
        <v>0</v>
      </c>
      <c r="K37" s="105"/>
      <c r="L37" s="4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</row>
    <row r="38" spans="1:31" s="5" customFormat="1" ht="6.95" customHeight="1" x14ac:dyDescent="0.2">
      <c r="A38" s="105"/>
      <c r="B38" s="4"/>
      <c r="C38" s="105"/>
      <c r="D38" s="105"/>
      <c r="E38" s="105"/>
      <c r="F38" s="105"/>
      <c r="G38" s="105"/>
      <c r="H38" s="105"/>
      <c r="I38" s="105"/>
      <c r="J38" s="105"/>
      <c r="K38" s="105"/>
      <c r="L38" s="4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</row>
    <row r="39" spans="1:31" s="5" customFormat="1" ht="25.35" customHeight="1" x14ac:dyDescent="0.2">
      <c r="A39" s="105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</row>
    <row r="40" spans="1:31" s="5" customFormat="1" ht="14.45" customHeight="1" x14ac:dyDescent="0.2">
      <c r="A40" s="105"/>
      <c r="B40" s="4"/>
      <c r="C40" s="105"/>
      <c r="D40" s="105"/>
      <c r="E40" s="105"/>
      <c r="F40" s="105"/>
      <c r="G40" s="105"/>
      <c r="H40" s="105"/>
      <c r="I40" s="105"/>
      <c r="J40" s="105"/>
      <c r="K40" s="105"/>
      <c r="L40" s="4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105"/>
      <c r="B61" s="4"/>
      <c r="C61" s="105"/>
      <c r="D61" s="69" t="s">
        <v>43</v>
      </c>
      <c r="E61" s="70"/>
      <c r="F61" s="71" t="s">
        <v>44</v>
      </c>
      <c r="G61" s="69" t="s">
        <v>43</v>
      </c>
      <c r="H61" s="70"/>
      <c r="I61" s="70"/>
      <c r="J61" s="72" t="s">
        <v>44</v>
      </c>
      <c r="K61" s="70"/>
      <c r="L61" s="4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105"/>
      <c r="B65" s="4"/>
      <c r="C65" s="105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105"/>
      <c r="B76" s="4"/>
      <c r="C76" s="105"/>
      <c r="D76" s="69" t="s">
        <v>43</v>
      </c>
      <c r="E76" s="70"/>
      <c r="F76" s="71" t="s">
        <v>44</v>
      </c>
      <c r="G76" s="69" t="s">
        <v>43</v>
      </c>
      <c r="H76" s="70"/>
      <c r="I76" s="70"/>
      <c r="J76" s="72" t="s">
        <v>44</v>
      </c>
      <c r="K76" s="70"/>
      <c r="L76" s="4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</row>
    <row r="77" spans="1:31" s="5" customFormat="1" ht="14.45" customHeight="1" x14ac:dyDescent="0.2">
      <c r="A77" s="105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</row>
    <row r="81" spans="1:47" s="5" customFormat="1" ht="6.95" customHeight="1" x14ac:dyDescent="0.2">
      <c r="A81" s="105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</row>
    <row r="82" spans="1:47" s="5" customFormat="1" ht="24.95" customHeight="1" x14ac:dyDescent="0.2">
      <c r="A82" s="105"/>
      <c r="B82" s="4"/>
      <c r="C82" s="43" t="s">
        <v>88</v>
      </c>
      <c r="D82" s="105"/>
      <c r="E82" s="105"/>
      <c r="F82" s="105"/>
      <c r="G82" s="105"/>
      <c r="H82" s="105"/>
      <c r="I82" s="105"/>
      <c r="J82" s="105"/>
      <c r="K82" s="105"/>
      <c r="L82" s="4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</row>
    <row r="83" spans="1:47" s="5" customFormat="1" ht="6.95" customHeight="1" x14ac:dyDescent="0.2">
      <c r="A83" s="105"/>
      <c r="B83" s="4"/>
      <c r="C83" s="105"/>
      <c r="D83" s="105"/>
      <c r="E83" s="105"/>
      <c r="F83" s="105"/>
      <c r="G83" s="105"/>
      <c r="H83" s="105"/>
      <c r="I83" s="105"/>
      <c r="J83" s="105"/>
      <c r="K83" s="105"/>
      <c r="L83" s="4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</row>
    <row r="84" spans="1:47" s="5" customFormat="1" ht="12" customHeight="1" x14ac:dyDescent="0.2">
      <c r="A84" s="105"/>
      <c r="B84" s="4"/>
      <c r="C84" s="106" t="s">
        <v>14</v>
      </c>
      <c r="D84" s="105"/>
      <c r="E84" s="105"/>
      <c r="F84" s="105"/>
      <c r="G84" s="105"/>
      <c r="H84" s="105"/>
      <c r="I84" s="105"/>
      <c r="J84" s="105"/>
      <c r="K84" s="105"/>
      <c r="L84" s="4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</row>
    <row r="85" spans="1:47" s="5" customFormat="1" ht="16.5" customHeight="1" x14ac:dyDescent="0.2">
      <c r="A85" s="105"/>
      <c r="B85" s="4"/>
      <c r="C85" s="105"/>
      <c r="D85" s="105"/>
      <c r="E85" s="312" t="str">
        <f>E7</f>
        <v>REKONSTRUKCE A DOSTAVBA BUDOV FF UK - DVD</v>
      </c>
      <c r="F85" s="313"/>
      <c r="G85" s="313"/>
      <c r="H85" s="313"/>
      <c r="I85" s="105"/>
      <c r="J85" s="105"/>
      <c r="K85" s="105"/>
      <c r="L85" s="4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47" s="5" customFormat="1" ht="12" customHeight="1" x14ac:dyDescent="0.2">
      <c r="A86" s="105"/>
      <c r="B86" s="4"/>
      <c r="C86" s="106" t="s">
        <v>87</v>
      </c>
      <c r="D86" s="105"/>
      <c r="E86" s="105"/>
      <c r="F86" s="105"/>
      <c r="G86" s="105"/>
      <c r="H86" s="105"/>
      <c r="I86" s="105"/>
      <c r="J86" s="105"/>
      <c r="K86" s="105"/>
      <c r="L86" s="4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47" s="5" customFormat="1" ht="16.5" customHeight="1" x14ac:dyDescent="0.2">
      <c r="A87" s="105"/>
      <c r="B87" s="4"/>
      <c r="C87" s="105"/>
      <c r="D87" s="105"/>
      <c r="E87" s="277" t="str">
        <f>E9</f>
        <v>14 - RESTAURÁTORSKÝ ZÁMĚR - Uliční fasády</v>
      </c>
      <c r="F87" s="311"/>
      <c r="G87" s="311"/>
      <c r="H87" s="311"/>
      <c r="I87" s="105"/>
      <c r="J87" s="105"/>
      <c r="K87" s="105"/>
      <c r="L87" s="4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</row>
    <row r="88" spans="1:47" s="5" customFormat="1" ht="6.95" customHeight="1" x14ac:dyDescent="0.2">
      <c r="A88" s="105"/>
      <c r="B88" s="4"/>
      <c r="C88" s="105"/>
      <c r="D88" s="105"/>
      <c r="E88" s="105"/>
      <c r="F88" s="105"/>
      <c r="G88" s="105"/>
      <c r="H88" s="105"/>
      <c r="I88" s="105"/>
      <c r="J88" s="105"/>
      <c r="K88" s="105"/>
      <c r="L88" s="4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</row>
    <row r="89" spans="1:47" s="5" customFormat="1" ht="12" customHeight="1" x14ac:dyDescent="0.2">
      <c r="A89" s="105"/>
      <c r="B89" s="4"/>
      <c r="C89" s="106" t="s">
        <v>17</v>
      </c>
      <c r="D89" s="105"/>
      <c r="E89" s="105"/>
      <c r="F89" s="108" t="str">
        <f>F12</f>
        <v>OPLETALOVA 47,49 - PRAHA 1</v>
      </c>
      <c r="G89" s="105"/>
      <c r="H89" s="105"/>
      <c r="I89" s="106" t="s">
        <v>19</v>
      </c>
      <c r="J89" s="47">
        <f>IF(J12="","",J12)</f>
        <v>44310</v>
      </c>
      <c r="K89" s="105"/>
      <c r="L89" s="4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</row>
    <row r="90" spans="1:47" s="5" customFormat="1" ht="6.95" customHeight="1" x14ac:dyDescent="0.2">
      <c r="A90" s="105"/>
      <c r="B90" s="4"/>
      <c r="C90" s="105"/>
      <c r="D90" s="105"/>
      <c r="E90" s="105"/>
      <c r="F90" s="105"/>
      <c r="G90" s="105"/>
      <c r="H90" s="105"/>
      <c r="I90" s="105"/>
      <c r="J90" s="105"/>
      <c r="K90" s="105"/>
      <c r="L90" s="4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</row>
    <row r="91" spans="1:47" s="5" customFormat="1" ht="38.25" x14ac:dyDescent="0.2">
      <c r="A91" s="105"/>
      <c r="B91" s="4"/>
      <c r="C91" s="106" t="s">
        <v>20</v>
      </c>
      <c r="D91" s="105"/>
      <c r="E91" s="105"/>
      <c r="F91" s="108" t="str">
        <f>E15</f>
        <v>Filozofická fakulta, UK</v>
      </c>
      <c r="G91" s="105"/>
      <c r="H91" s="105"/>
      <c r="I91" s="106" t="s">
        <v>24</v>
      </c>
      <c r="J91" s="109" t="str">
        <f>E21</f>
        <v>Škarda architekti - ing.arch. Václav Škarda</v>
      </c>
      <c r="K91" s="105"/>
      <c r="L91" s="4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</row>
    <row r="92" spans="1:47" s="5" customFormat="1" ht="15.2" customHeight="1" x14ac:dyDescent="0.2">
      <c r="A92" s="105"/>
      <c r="B92" s="4"/>
      <c r="C92" s="106" t="s">
        <v>23</v>
      </c>
      <c r="D92" s="105"/>
      <c r="E92" s="105"/>
      <c r="F92" s="108" t="str">
        <f>IF(E18="","",E18)</f>
        <v xml:space="preserve"> </v>
      </c>
      <c r="G92" s="105"/>
      <c r="H92" s="105"/>
      <c r="I92" s="106" t="s">
        <v>26</v>
      </c>
      <c r="J92" s="109" t="str">
        <f>E24</f>
        <v>Vladimír Mrázek</v>
      </c>
      <c r="K92" s="105"/>
      <c r="L92" s="4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</row>
    <row r="93" spans="1:47" s="5" customFormat="1" ht="10.35" customHeight="1" x14ac:dyDescent="0.2">
      <c r="A93" s="105"/>
      <c r="B93" s="4"/>
      <c r="C93" s="105"/>
      <c r="D93" s="105"/>
      <c r="E93" s="105"/>
      <c r="F93" s="105"/>
      <c r="G93" s="105"/>
      <c r="H93" s="105"/>
      <c r="I93" s="105"/>
      <c r="J93" s="105"/>
      <c r="K93" s="105"/>
      <c r="L93" s="4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</row>
    <row r="94" spans="1:47" s="5" customFormat="1" ht="29.25" customHeight="1" x14ac:dyDescent="0.2">
      <c r="A94" s="105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</row>
    <row r="95" spans="1:47" s="5" customFormat="1" ht="10.35" customHeight="1" x14ac:dyDescent="0.2">
      <c r="A95" s="105"/>
      <c r="B95" s="4"/>
      <c r="C95" s="105"/>
      <c r="D95" s="105"/>
      <c r="E95" s="105"/>
      <c r="F95" s="105"/>
      <c r="G95" s="105"/>
      <c r="H95" s="105"/>
      <c r="I95" s="105"/>
      <c r="J95" s="105"/>
      <c r="K95" s="105"/>
      <c r="L95" s="4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</row>
    <row r="96" spans="1:47" s="5" customFormat="1" ht="22.9" customHeight="1" x14ac:dyDescent="0.2">
      <c r="A96" s="105"/>
      <c r="B96" s="4"/>
      <c r="C96" s="78" t="s">
        <v>91</v>
      </c>
      <c r="D96" s="105"/>
      <c r="E96" s="105"/>
      <c r="F96" s="105"/>
      <c r="G96" s="105"/>
      <c r="H96" s="105"/>
      <c r="I96" s="105"/>
      <c r="J96" s="55">
        <f>J121</f>
        <v>0</v>
      </c>
      <c r="K96" s="105"/>
      <c r="L96" s="4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U96" s="13" t="s">
        <v>92</v>
      </c>
    </row>
    <row r="97" spans="1:31" s="80" customFormat="1" ht="24.95" customHeight="1" x14ac:dyDescent="0.2">
      <c r="B97" s="79"/>
      <c r="D97" s="81" t="s">
        <v>1092</v>
      </c>
      <c r="E97" s="82"/>
      <c r="F97" s="82"/>
      <c r="G97" s="82"/>
      <c r="H97" s="82"/>
      <c r="I97" s="82"/>
      <c r="J97" s="83">
        <f>J122</f>
        <v>0</v>
      </c>
      <c r="L97" s="79"/>
    </row>
    <row r="98" spans="1:31" s="80" customFormat="1" ht="24.95" customHeight="1" x14ac:dyDescent="0.2">
      <c r="B98" s="79"/>
      <c r="D98" s="81" t="s">
        <v>1093</v>
      </c>
      <c r="E98" s="82"/>
      <c r="F98" s="82"/>
      <c r="G98" s="82"/>
      <c r="H98" s="82"/>
      <c r="I98" s="82"/>
      <c r="J98" s="83">
        <f>J142</f>
        <v>0</v>
      </c>
      <c r="L98" s="79"/>
    </row>
    <row r="99" spans="1:31" s="80" customFormat="1" ht="24.95" customHeight="1" x14ac:dyDescent="0.2">
      <c r="B99" s="79"/>
      <c r="D99" s="81" t="s">
        <v>1094</v>
      </c>
      <c r="E99" s="82"/>
      <c r="F99" s="82"/>
      <c r="G99" s="82"/>
      <c r="H99" s="82"/>
      <c r="I99" s="82"/>
      <c r="J99" s="83">
        <f>J168</f>
        <v>0</v>
      </c>
      <c r="L99" s="79"/>
    </row>
    <row r="100" spans="1:31" s="80" customFormat="1" ht="24.95" customHeight="1" x14ac:dyDescent="0.2">
      <c r="B100" s="79"/>
      <c r="D100" s="81" t="s">
        <v>1095</v>
      </c>
      <c r="E100" s="82"/>
      <c r="F100" s="82"/>
      <c r="G100" s="82"/>
      <c r="H100" s="82"/>
      <c r="I100" s="82"/>
      <c r="J100" s="83">
        <f>J187</f>
        <v>0</v>
      </c>
      <c r="L100" s="79"/>
    </row>
    <row r="101" spans="1:31" s="5" customFormat="1" ht="21.75" customHeight="1" x14ac:dyDescent="0.2">
      <c r="A101" s="105"/>
      <c r="B101" s="4"/>
      <c r="C101" s="105"/>
      <c r="D101" s="105"/>
      <c r="E101" s="105"/>
      <c r="F101" s="105"/>
      <c r="G101" s="105"/>
      <c r="H101" s="105"/>
      <c r="I101" s="105"/>
      <c r="J101" s="105"/>
      <c r="K101" s="105"/>
      <c r="L101" s="45"/>
      <c r="S101" s="105"/>
      <c r="T101" s="105"/>
      <c r="U101" s="105"/>
      <c r="V101" s="105"/>
      <c r="W101" s="105"/>
      <c r="X101" s="105"/>
      <c r="Y101" s="105"/>
      <c r="Z101" s="105"/>
      <c r="AA101" s="105"/>
      <c r="AB101" s="105"/>
      <c r="AC101" s="105"/>
      <c r="AD101" s="105"/>
      <c r="AE101" s="105"/>
    </row>
    <row r="102" spans="1:31" s="5" customFormat="1" ht="6.95" customHeight="1" x14ac:dyDescent="0.2">
      <c r="A102" s="105"/>
      <c r="B102" s="2"/>
      <c r="C102" s="3"/>
      <c r="D102" s="3"/>
      <c r="E102" s="3"/>
      <c r="F102" s="3"/>
      <c r="G102" s="3"/>
      <c r="H102" s="3"/>
      <c r="I102" s="3"/>
      <c r="J102" s="3"/>
      <c r="K102" s="3"/>
      <c r="L102" s="45"/>
      <c r="S102" s="105"/>
      <c r="T102" s="105"/>
      <c r="U102" s="105"/>
      <c r="V102" s="105"/>
      <c r="W102" s="105"/>
      <c r="X102" s="105"/>
      <c r="Y102" s="105"/>
      <c r="Z102" s="105"/>
      <c r="AA102" s="105"/>
      <c r="AB102" s="105"/>
      <c r="AC102" s="105"/>
      <c r="AD102" s="105"/>
      <c r="AE102" s="105"/>
    </row>
    <row r="106" spans="1:31" s="5" customFormat="1" ht="6.95" customHeight="1" x14ac:dyDescent="0.2">
      <c r="A106" s="105"/>
      <c r="B106" s="182"/>
      <c r="C106" s="183"/>
      <c r="D106" s="183"/>
      <c r="E106" s="183"/>
      <c r="F106" s="183"/>
      <c r="G106" s="183"/>
      <c r="H106" s="183"/>
      <c r="I106" s="183"/>
      <c r="J106" s="183"/>
      <c r="K106" s="184"/>
      <c r="L106" s="16"/>
      <c r="S106" s="105"/>
      <c r="T106" s="105"/>
      <c r="U106" s="105"/>
      <c r="V106" s="105"/>
      <c r="W106" s="105"/>
      <c r="X106" s="105"/>
      <c r="Y106" s="105"/>
      <c r="Z106" s="105"/>
      <c r="AA106" s="105"/>
      <c r="AB106" s="105"/>
      <c r="AC106" s="105"/>
      <c r="AD106" s="105"/>
      <c r="AE106" s="105"/>
    </row>
    <row r="107" spans="1:31" s="5" customFormat="1" ht="24.95" customHeight="1" x14ac:dyDescent="0.2">
      <c r="A107" s="105"/>
      <c r="B107" s="140"/>
      <c r="C107" s="185" t="s">
        <v>115</v>
      </c>
      <c r="D107" s="17"/>
      <c r="E107" s="17"/>
      <c r="F107" s="17"/>
      <c r="G107" s="17"/>
      <c r="H107" s="17"/>
      <c r="I107" s="17"/>
      <c r="J107" s="17"/>
      <c r="K107" s="143"/>
      <c r="L107" s="16"/>
      <c r="S107" s="105"/>
      <c r="T107" s="105"/>
      <c r="U107" s="105"/>
      <c r="V107" s="105"/>
      <c r="W107" s="105"/>
      <c r="X107" s="105"/>
      <c r="Y107" s="105"/>
      <c r="Z107" s="105"/>
      <c r="AA107" s="105"/>
      <c r="AB107" s="105"/>
      <c r="AC107" s="105"/>
      <c r="AD107" s="105"/>
      <c r="AE107" s="105"/>
    </row>
    <row r="108" spans="1:31" s="5" customFormat="1" ht="6.95" customHeight="1" x14ac:dyDescent="0.2">
      <c r="A108" s="105"/>
      <c r="B108" s="140"/>
      <c r="C108" s="17"/>
      <c r="D108" s="17"/>
      <c r="E108" s="17"/>
      <c r="F108" s="17"/>
      <c r="G108" s="17"/>
      <c r="H108" s="17"/>
      <c r="I108" s="17"/>
      <c r="J108" s="17"/>
      <c r="K108" s="143"/>
      <c r="L108" s="16"/>
      <c r="S108" s="105"/>
      <c r="T108" s="105"/>
      <c r="U108" s="105"/>
      <c r="V108" s="105"/>
      <c r="W108" s="105"/>
      <c r="X108" s="105"/>
      <c r="Y108" s="105"/>
      <c r="Z108" s="105"/>
      <c r="AA108" s="105"/>
      <c r="AB108" s="105"/>
      <c r="AC108" s="105"/>
      <c r="AD108" s="105"/>
      <c r="AE108" s="105"/>
    </row>
    <row r="109" spans="1:31" s="5" customFormat="1" ht="12" customHeight="1" x14ac:dyDescent="0.2">
      <c r="A109" s="105"/>
      <c r="B109" s="140"/>
      <c r="C109" s="186" t="s">
        <v>14</v>
      </c>
      <c r="D109" s="17"/>
      <c r="E109" s="17"/>
      <c r="F109" s="17"/>
      <c r="G109" s="17"/>
      <c r="H109" s="17"/>
      <c r="I109" s="17"/>
      <c r="J109" s="17"/>
      <c r="K109" s="143"/>
      <c r="L109" s="16"/>
      <c r="S109" s="105"/>
      <c r="T109" s="105"/>
      <c r="U109" s="105"/>
      <c r="V109" s="105"/>
      <c r="W109" s="105"/>
      <c r="X109" s="105"/>
      <c r="Y109" s="105"/>
      <c r="Z109" s="105"/>
      <c r="AA109" s="105"/>
      <c r="AB109" s="105"/>
      <c r="AC109" s="105"/>
      <c r="AD109" s="105"/>
      <c r="AE109" s="105"/>
    </row>
    <row r="110" spans="1:31" s="5" customFormat="1" ht="16.5" customHeight="1" x14ac:dyDescent="0.2">
      <c r="A110" s="105"/>
      <c r="B110" s="140"/>
      <c r="C110" s="17"/>
      <c r="D110" s="17"/>
      <c r="E110" s="316" t="str">
        <f>E7</f>
        <v>REKONSTRUKCE A DOSTAVBA BUDOV FF UK - DVD</v>
      </c>
      <c r="F110" s="317"/>
      <c r="G110" s="317"/>
      <c r="H110" s="317"/>
      <c r="I110" s="17"/>
      <c r="J110" s="17"/>
      <c r="K110" s="143"/>
      <c r="L110" s="16"/>
      <c r="S110" s="105"/>
      <c r="T110" s="105"/>
      <c r="U110" s="105"/>
      <c r="V110" s="105"/>
      <c r="W110" s="105"/>
      <c r="X110" s="105"/>
      <c r="Y110" s="105"/>
      <c r="Z110" s="105"/>
      <c r="AA110" s="105"/>
      <c r="AB110" s="105"/>
      <c r="AC110" s="105"/>
      <c r="AD110" s="105"/>
      <c r="AE110" s="105"/>
    </row>
    <row r="111" spans="1:31" s="5" customFormat="1" ht="12" customHeight="1" x14ac:dyDescent="0.2">
      <c r="A111" s="105"/>
      <c r="B111" s="140"/>
      <c r="C111" s="186" t="s">
        <v>87</v>
      </c>
      <c r="D111" s="17"/>
      <c r="E111" s="17"/>
      <c r="F111" s="17"/>
      <c r="G111" s="17"/>
      <c r="H111" s="17"/>
      <c r="I111" s="17"/>
      <c r="J111" s="17"/>
      <c r="K111" s="143"/>
      <c r="L111" s="16"/>
      <c r="S111" s="105"/>
      <c r="T111" s="105"/>
      <c r="U111" s="105"/>
      <c r="V111" s="105"/>
      <c r="W111" s="105"/>
      <c r="X111" s="105"/>
      <c r="Y111" s="105"/>
      <c r="Z111" s="105"/>
      <c r="AA111" s="105"/>
      <c r="AB111" s="105"/>
      <c r="AC111" s="105"/>
      <c r="AD111" s="105"/>
      <c r="AE111" s="105"/>
    </row>
    <row r="112" spans="1:31" s="5" customFormat="1" ht="16.5" customHeight="1" x14ac:dyDescent="0.2">
      <c r="A112" s="105"/>
      <c r="B112" s="140"/>
      <c r="C112" s="17"/>
      <c r="D112" s="17"/>
      <c r="E112" s="318" t="str">
        <f>E9</f>
        <v>14 - RESTAURÁTORSKÝ ZÁMĚR - Uliční fasády</v>
      </c>
      <c r="F112" s="319"/>
      <c r="G112" s="319"/>
      <c r="H112" s="319"/>
      <c r="I112" s="17"/>
      <c r="J112" s="17"/>
      <c r="K112" s="143"/>
      <c r="L112" s="16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105"/>
      <c r="AD112" s="105"/>
      <c r="AE112" s="105"/>
    </row>
    <row r="113" spans="1:65" s="5" customFormat="1" ht="6.95" customHeight="1" x14ac:dyDescent="0.2">
      <c r="A113" s="105"/>
      <c r="B113" s="140"/>
      <c r="C113" s="17"/>
      <c r="D113" s="17"/>
      <c r="E113" s="17"/>
      <c r="F113" s="17"/>
      <c r="G113" s="17"/>
      <c r="H113" s="17"/>
      <c r="I113" s="17"/>
      <c r="J113" s="17"/>
      <c r="K113" s="143"/>
      <c r="L113" s="16"/>
      <c r="S113" s="105"/>
      <c r="T113" s="105"/>
      <c r="U113" s="105"/>
      <c r="V113" s="105"/>
      <c r="W113" s="105"/>
      <c r="X113" s="105"/>
      <c r="Y113" s="105"/>
      <c r="Z113" s="105"/>
      <c r="AA113" s="105"/>
      <c r="AB113" s="105"/>
      <c r="AC113" s="105"/>
      <c r="AD113" s="105"/>
      <c r="AE113" s="105"/>
    </row>
    <row r="114" spans="1:65" s="5" customFormat="1" ht="12" customHeight="1" x14ac:dyDescent="0.2">
      <c r="A114" s="105"/>
      <c r="B114" s="140"/>
      <c r="C114" s="186" t="s">
        <v>17</v>
      </c>
      <c r="D114" s="17"/>
      <c r="E114" s="17"/>
      <c r="F114" s="188" t="str">
        <f>F12</f>
        <v>OPLETALOVA 47,49 - PRAHA 1</v>
      </c>
      <c r="G114" s="17"/>
      <c r="H114" s="17"/>
      <c r="I114" s="186" t="s">
        <v>19</v>
      </c>
      <c r="J114" s="189">
        <f>IF(J12="","",J12)</f>
        <v>44310</v>
      </c>
      <c r="K114" s="143"/>
      <c r="L114" s="16"/>
      <c r="S114" s="105"/>
      <c r="T114" s="105"/>
      <c r="U114" s="105"/>
      <c r="V114" s="105"/>
      <c r="W114" s="105"/>
      <c r="X114" s="105"/>
      <c r="Y114" s="105"/>
      <c r="Z114" s="105"/>
      <c r="AA114" s="105"/>
      <c r="AB114" s="105"/>
      <c r="AC114" s="105"/>
      <c r="AD114" s="105"/>
      <c r="AE114" s="105"/>
    </row>
    <row r="115" spans="1:65" s="5" customFormat="1" ht="6.95" customHeight="1" x14ac:dyDescent="0.2">
      <c r="A115" s="105"/>
      <c r="B115" s="140"/>
      <c r="C115" s="17"/>
      <c r="D115" s="17"/>
      <c r="E115" s="17"/>
      <c r="F115" s="17"/>
      <c r="G115" s="17"/>
      <c r="H115" s="17"/>
      <c r="I115" s="17"/>
      <c r="J115" s="17"/>
      <c r="K115" s="143"/>
      <c r="L115" s="16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5"/>
      <c r="AC115" s="105"/>
      <c r="AD115" s="105"/>
      <c r="AE115" s="105"/>
    </row>
    <row r="116" spans="1:65" s="5" customFormat="1" ht="38.25" x14ac:dyDescent="0.2">
      <c r="A116" s="105"/>
      <c r="B116" s="140"/>
      <c r="C116" s="186" t="s">
        <v>20</v>
      </c>
      <c r="D116" s="17"/>
      <c r="E116" s="17"/>
      <c r="F116" s="188" t="str">
        <f>E15</f>
        <v>Filozofická fakulta, UK</v>
      </c>
      <c r="G116" s="17"/>
      <c r="H116" s="17"/>
      <c r="I116" s="186" t="s">
        <v>24</v>
      </c>
      <c r="J116" s="190" t="str">
        <f>E21</f>
        <v>Škarda architekti - ing.arch. Václav Škarda</v>
      </c>
      <c r="K116" s="143"/>
      <c r="L116" s="16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5"/>
      <c r="AC116" s="105"/>
      <c r="AD116" s="105"/>
      <c r="AE116" s="105"/>
    </row>
    <row r="117" spans="1:65" s="5" customFormat="1" ht="15.2" customHeight="1" x14ac:dyDescent="0.2">
      <c r="A117" s="105"/>
      <c r="B117" s="140"/>
      <c r="C117" s="186" t="s">
        <v>23</v>
      </c>
      <c r="D117" s="17"/>
      <c r="E117" s="17"/>
      <c r="F117" s="188" t="str">
        <f>IF(E18="","",E18)</f>
        <v xml:space="preserve"> </v>
      </c>
      <c r="G117" s="17"/>
      <c r="H117" s="17"/>
      <c r="I117" s="186" t="s">
        <v>26</v>
      </c>
      <c r="J117" s="190" t="str">
        <f>E24</f>
        <v>Vladimír Mrázek</v>
      </c>
      <c r="K117" s="143"/>
      <c r="L117" s="16"/>
      <c r="S117" s="105"/>
      <c r="T117" s="105"/>
      <c r="U117" s="105"/>
      <c r="V117" s="105"/>
      <c r="W117" s="105"/>
      <c r="X117" s="105"/>
      <c r="Y117" s="105"/>
      <c r="Z117" s="105"/>
      <c r="AA117" s="105"/>
      <c r="AB117" s="105"/>
      <c r="AC117" s="105"/>
      <c r="AD117" s="105"/>
      <c r="AE117" s="105"/>
    </row>
    <row r="118" spans="1:65" s="5" customFormat="1" ht="10.35" customHeight="1" x14ac:dyDescent="0.2">
      <c r="A118" s="105"/>
      <c r="B118" s="140"/>
      <c r="C118" s="17"/>
      <c r="D118" s="17"/>
      <c r="E118" s="17"/>
      <c r="F118" s="17"/>
      <c r="G118" s="17"/>
      <c r="H118" s="17"/>
      <c r="I118" s="17"/>
      <c r="J118" s="17"/>
      <c r="K118" s="143"/>
      <c r="L118" s="16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5"/>
    </row>
    <row r="119" spans="1:65" s="93" customFormat="1" ht="29.25" customHeight="1" x14ac:dyDescent="0.2">
      <c r="A119" s="84"/>
      <c r="B119" s="191"/>
      <c r="C119" s="86" t="s">
        <v>116</v>
      </c>
      <c r="D119" s="87" t="s">
        <v>53</v>
      </c>
      <c r="E119" s="87" t="s">
        <v>49</v>
      </c>
      <c r="F119" s="87" t="s">
        <v>50</v>
      </c>
      <c r="G119" s="87" t="s">
        <v>117</v>
      </c>
      <c r="H119" s="87" t="s">
        <v>118</v>
      </c>
      <c r="I119" s="87" t="s">
        <v>119</v>
      </c>
      <c r="J119" s="87" t="s">
        <v>90</v>
      </c>
      <c r="K119" s="192" t="s">
        <v>120</v>
      </c>
      <c r="L119" s="193"/>
      <c r="M119" s="90" t="s">
        <v>1</v>
      </c>
      <c r="N119" s="91" t="s">
        <v>32</v>
      </c>
      <c r="O119" s="91" t="s">
        <v>121</v>
      </c>
      <c r="P119" s="91" t="s">
        <v>122</v>
      </c>
      <c r="Q119" s="91" t="s">
        <v>123</v>
      </c>
      <c r="R119" s="91" t="s">
        <v>124</v>
      </c>
      <c r="S119" s="91" t="s">
        <v>125</v>
      </c>
      <c r="T119" s="92" t="s">
        <v>126</v>
      </c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</row>
    <row r="120" spans="1:65" s="93" customFormat="1" ht="48.6" customHeight="1" x14ac:dyDescent="0.2">
      <c r="B120" s="194"/>
      <c r="C120" s="314" t="s">
        <v>1149</v>
      </c>
      <c r="D120" s="314"/>
      <c r="E120" s="314"/>
      <c r="F120" s="314"/>
      <c r="G120" s="314"/>
      <c r="H120" s="314"/>
      <c r="I120" s="314"/>
      <c r="J120" s="314"/>
      <c r="K120" s="315"/>
      <c r="L120" s="195"/>
      <c r="N120" s="96"/>
      <c r="O120" s="96"/>
      <c r="P120" s="96"/>
      <c r="Q120" s="96"/>
      <c r="R120" s="96"/>
      <c r="S120" s="96"/>
      <c r="T120" s="97"/>
    </row>
    <row r="121" spans="1:65" s="5" customFormat="1" ht="22.9" customHeight="1" x14ac:dyDescent="0.25">
      <c r="A121" s="105"/>
      <c r="B121" s="140"/>
      <c r="C121" s="196" t="s">
        <v>127</v>
      </c>
      <c r="D121" s="17"/>
      <c r="E121" s="17"/>
      <c r="F121" s="17"/>
      <c r="G121" s="17"/>
      <c r="H121" s="17"/>
      <c r="I121" s="17"/>
      <c r="J121" s="197">
        <f>BK121</f>
        <v>0</v>
      </c>
      <c r="K121" s="143"/>
      <c r="L121" s="17"/>
      <c r="M121" s="100"/>
      <c r="N121" s="101"/>
      <c r="O121" s="53"/>
      <c r="P121" s="102">
        <f>P122+P142+P168+P187</f>
        <v>0</v>
      </c>
      <c r="Q121" s="53"/>
      <c r="R121" s="102">
        <f>R122+R142+R168+R187</f>
        <v>0</v>
      </c>
      <c r="S121" s="53"/>
      <c r="T121" s="103">
        <f>T122+T142+T168+T187</f>
        <v>0</v>
      </c>
      <c r="U121" s="105"/>
      <c r="V121" s="105"/>
      <c r="W121" s="105"/>
      <c r="X121" s="105"/>
      <c r="Y121" s="105"/>
      <c r="Z121" s="105"/>
      <c r="AA121" s="105"/>
      <c r="AB121" s="105"/>
      <c r="AC121" s="105"/>
      <c r="AD121" s="105"/>
      <c r="AE121" s="105"/>
      <c r="AT121" s="13" t="s">
        <v>67</v>
      </c>
      <c r="AU121" s="13" t="s">
        <v>92</v>
      </c>
      <c r="BK121" s="104">
        <f>BK122+BK142+BK168+BK187</f>
        <v>0</v>
      </c>
    </row>
    <row r="122" spans="1:65" s="20" customFormat="1" ht="25.9" customHeight="1" x14ac:dyDescent="0.2">
      <c r="B122" s="172"/>
      <c r="C122" s="23"/>
      <c r="D122" s="173" t="s">
        <v>67</v>
      </c>
      <c r="E122" s="174" t="s">
        <v>128</v>
      </c>
      <c r="F122" s="174" t="s">
        <v>1096</v>
      </c>
      <c r="G122" s="23"/>
      <c r="H122" s="23"/>
      <c r="I122" s="23"/>
      <c r="J122" s="175">
        <f>BK122</f>
        <v>0</v>
      </c>
      <c r="K122" s="176"/>
      <c r="L122" s="23"/>
      <c r="M122" s="22"/>
      <c r="N122" s="23"/>
      <c r="O122" s="23"/>
      <c r="P122" s="24">
        <f>SUM(P124:P141)</f>
        <v>0</v>
      </c>
      <c r="Q122" s="23"/>
      <c r="R122" s="24">
        <f>SUM(R124:R141)</f>
        <v>0</v>
      </c>
      <c r="S122" s="23"/>
      <c r="T122" s="25">
        <f>SUM(T124:T141)</f>
        <v>0</v>
      </c>
      <c r="AR122" s="26" t="s">
        <v>74</v>
      </c>
      <c r="AT122" s="27" t="s">
        <v>67</v>
      </c>
      <c r="AU122" s="27" t="s">
        <v>68</v>
      </c>
      <c r="AY122" s="26" t="s">
        <v>130</v>
      </c>
      <c r="BK122" s="28">
        <f>SUM(BK124:BK141)</f>
        <v>0</v>
      </c>
    </row>
    <row r="123" spans="1:65" s="5" customFormat="1" ht="12" customHeight="1" x14ac:dyDescent="0.2">
      <c r="B123" s="177"/>
      <c r="C123" s="16"/>
      <c r="D123" s="178" t="s">
        <v>340</v>
      </c>
      <c r="E123" s="16"/>
      <c r="F123" s="179" t="s">
        <v>1207</v>
      </c>
      <c r="G123" s="16"/>
      <c r="H123" s="180">
        <f>(26.1*(3.84+((1.12+0.87)/2)))-(6*(1.2*0.43))-(8*(1.2*2))-(2.2*2.5)-(3.14*1.1*1.1/2)+(8*(1.2+2)*2*0.18)+((2.5+(3.14*1.1)+2.5)*0.41)</f>
        <v>109.17993999999999</v>
      </c>
      <c r="I123" s="16"/>
      <c r="J123" s="16"/>
      <c r="K123" s="181"/>
      <c r="R123" s="129"/>
      <c r="AQ123" s="126" t="s">
        <v>148</v>
      </c>
      <c r="AR123" s="126" t="s">
        <v>74</v>
      </c>
    </row>
    <row r="124" spans="1:65" s="5" customFormat="1" ht="16.5" customHeight="1" x14ac:dyDescent="0.2">
      <c r="A124" s="105"/>
      <c r="B124" s="140"/>
      <c r="C124" s="33" t="s">
        <v>74</v>
      </c>
      <c r="D124" s="33" t="s">
        <v>131</v>
      </c>
      <c r="E124" s="34" t="s">
        <v>1097</v>
      </c>
      <c r="F124" s="7" t="s">
        <v>1098</v>
      </c>
      <c r="G124" s="35" t="s">
        <v>134</v>
      </c>
      <c r="H124" s="36">
        <v>109.18</v>
      </c>
      <c r="I124" s="1"/>
      <c r="J124" s="6">
        <f>ROUND(I124*H124,2)</f>
        <v>0</v>
      </c>
      <c r="K124" s="151" t="s">
        <v>1</v>
      </c>
      <c r="L124" s="17"/>
      <c r="M124" s="8" t="s">
        <v>1</v>
      </c>
      <c r="N124" s="9" t="s">
        <v>33</v>
      </c>
      <c r="O124" s="10">
        <v>0</v>
      </c>
      <c r="P124" s="10">
        <f>O124*H124</f>
        <v>0</v>
      </c>
      <c r="Q124" s="10">
        <v>0</v>
      </c>
      <c r="R124" s="10">
        <f>Q124*H124</f>
        <v>0</v>
      </c>
      <c r="S124" s="10">
        <v>0</v>
      </c>
      <c r="T124" s="11">
        <f>S124*H124</f>
        <v>0</v>
      </c>
      <c r="U124" s="105"/>
      <c r="V124" s="105"/>
      <c r="W124" s="105"/>
      <c r="X124" s="105"/>
      <c r="Y124" s="105"/>
      <c r="Z124" s="105"/>
      <c r="AA124" s="105"/>
      <c r="AB124" s="105"/>
      <c r="AC124" s="105"/>
      <c r="AD124" s="105"/>
      <c r="AE124" s="105"/>
      <c r="AR124" s="12" t="s">
        <v>135</v>
      </c>
      <c r="AT124" s="12" t="s">
        <v>131</v>
      </c>
      <c r="AU124" s="12" t="s">
        <v>74</v>
      </c>
      <c r="AY124" s="13" t="s">
        <v>130</v>
      </c>
      <c r="BE124" s="14">
        <f>IF(N124="základní",J124,0)</f>
        <v>0</v>
      </c>
      <c r="BF124" s="14">
        <f>IF(N124="snížená",J124,0)</f>
        <v>0</v>
      </c>
      <c r="BG124" s="14">
        <f>IF(N124="zákl. přenesená",J124,0)</f>
        <v>0</v>
      </c>
      <c r="BH124" s="14">
        <f>IF(N124="sníž. přenesená",J124,0)</f>
        <v>0</v>
      </c>
      <c r="BI124" s="14">
        <f>IF(N124="nulová",J124,0)</f>
        <v>0</v>
      </c>
      <c r="BJ124" s="13" t="s">
        <v>74</v>
      </c>
      <c r="BK124" s="14">
        <f>ROUND(I124*H124,2)</f>
        <v>0</v>
      </c>
      <c r="BL124" s="13" t="s">
        <v>135</v>
      </c>
      <c r="BM124" s="12" t="s">
        <v>76</v>
      </c>
    </row>
    <row r="125" spans="1:65" s="5" customFormat="1" ht="16.5" customHeight="1" x14ac:dyDescent="0.2">
      <c r="A125" s="105"/>
      <c r="B125" s="140"/>
      <c r="C125" s="33" t="s">
        <v>76</v>
      </c>
      <c r="D125" s="33" t="s">
        <v>131</v>
      </c>
      <c r="E125" s="34" t="s">
        <v>1099</v>
      </c>
      <c r="F125" s="7" t="s">
        <v>1100</v>
      </c>
      <c r="G125" s="35" t="s">
        <v>134</v>
      </c>
      <c r="H125" s="36">
        <v>54.59</v>
      </c>
      <c r="I125" s="1"/>
      <c r="J125" s="6">
        <f>ROUND(I125*H125,2)</f>
        <v>0</v>
      </c>
      <c r="K125" s="151" t="s">
        <v>1</v>
      </c>
      <c r="L125" s="17"/>
      <c r="M125" s="8" t="s">
        <v>1</v>
      </c>
      <c r="N125" s="9" t="s">
        <v>33</v>
      </c>
      <c r="O125" s="10">
        <v>0</v>
      </c>
      <c r="P125" s="10">
        <f>O125*H125</f>
        <v>0</v>
      </c>
      <c r="Q125" s="10">
        <v>0</v>
      </c>
      <c r="R125" s="10">
        <f>Q125*H125</f>
        <v>0</v>
      </c>
      <c r="S125" s="10">
        <v>0</v>
      </c>
      <c r="T125" s="11">
        <f>S125*H125</f>
        <v>0</v>
      </c>
      <c r="U125" s="105"/>
      <c r="V125" s="105"/>
      <c r="W125" s="105"/>
      <c r="X125" s="105"/>
      <c r="Y125" s="105"/>
      <c r="Z125" s="105"/>
      <c r="AA125" s="105"/>
      <c r="AB125" s="105"/>
      <c r="AC125" s="105"/>
      <c r="AD125" s="105"/>
      <c r="AE125" s="105"/>
      <c r="AR125" s="12" t="s">
        <v>135</v>
      </c>
      <c r="AT125" s="12" t="s">
        <v>131</v>
      </c>
      <c r="AU125" s="12" t="s">
        <v>74</v>
      </c>
      <c r="AY125" s="13" t="s">
        <v>130</v>
      </c>
      <c r="BE125" s="14">
        <f>IF(N125="základní",J125,0)</f>
        <v>0</v>
      </c>
      <c r="BF125" s="14">
        <f>IF(N125="snížená",J125,0)</f>
        <v>0</v>
      </c>
      <c r="BG125" s="14">
        <f>IF(N125="zákl. přenesená",J125,0)</f>
        <v>0</v>
      </c>
      <c r="BH125" s="14">
        <f>IF(N125="sníž. přenesená",J125,0)</f>
        <v>0</v>
      </c>
      <c r="BI125" s="14">
        <f>IF(N125="nulová",J125,0)</f>
        <v>0</v>
      </c>
      <c r="BJ125" s="13" t="s">
        <v>74</v>
      </c>
      <c r="BK125" s="14">
        <f>ROUND(I125*H125,2)</f>
        <v>0</v>
      </c>
      <c r="BL125" s="13" t="s">
        <v>135</v>
      </c>
      <c r="BM125" s="12" t="s">
        <v>135</v>
      </c>
    </row>
    <row r="126" spans="1:65" s="5" customFormat="1" ht="19.5" x14ac:dyDescent="0.2">
      <c r="A126" s="105"/>
      <c r="B126" s="140"/>
      <c r="C126" s="17"/>
      <c r="D126" s="141" t="s">
        <v>148</v>
      </c>
      <c r="E126" s="17"/>
      <c r="F126" s="142" t="s">
        <v>1101</v>
      </c>
      <c r="G126" s="17"/>
      <c r="H126" s="17"/>
      <c r="I126" s="17"/>
      <c r="J126" s="17"/>
      <c r="K126" s="143"/>
      <c r="L126" s="17"/>
      <c r="M126" s="15"/>
      <c r="N126" s="16"/>
      <c r="O126" s="17"/>
      <c r="P126" s="17"/>
      <c r="Q126" s="17"/>
      <c r="R126" s="17"/>
      <c r="S126" s="17"/>
      <c r="T126" s="18"/>
      <c r="U126" s="105"/>
      <c r="V126" s="105"/>
      <c r="W126" s="105"/>
      <c r="X126" s="105"/>
      <c r="Y126" s="105"/>
      <c r="Z126" s="105"/>
      <c r="AA126" s="105"/>
      <c r="AB126" s="105"/>
      <c r="AC126" s="105"/>
      <c r="AD126" s="105"/>
      <c r="AE126" s="105"/>
      <c r="AT126" s="13" t="s">
        <v>148</v>
      </c>
      <c r="AU126" s="13" t="s">
        <v>74</v>
      </c>
    </row>
    <row r="127" spans="1:65" s="5" customFormat="1" ht="16.5" customHeight="1" x14ac:dyDescent="0.2">
      <c r="A127" s="105"/>
      <c r="B127" s="140"/>
      <c r="C127" s="33" t="s">
        <v>141</v>
      </c>
      <c r="D127" s="33" t="s">
        <v>131</v>
      </c>
      <c r="E127" s="34" t="s">
        <v>1102</v>
      </c>
      <c r="F127" s="7" t="s">
        <v>1103</v>
      </c>
      <c r="G127" s="35" t="s">
        <v>134</v>
      </c>
      <c r="H127" s="36">
        <v>54.59</v>
      </c>
      <c r="I127" s="1"/>
      <c r="J127" s="6">
        <f>ROUND(I127*H127,2)</f>
        <v>0</v>
      </c>
      <c r="K127" s="151" t="s">
        <v>1</v>
      </c>
      <c r="L127" s="17"/>
      <c r="M127" s="8" t="s">
        <v>1</v>
      </c>
      <c r="N127" s="9" t="s">
        <v>33</v>
      </c>
      <c r="O127" s="10">
        <v>0</v>
      </c>
      <c r="P127" s="10">
        <f>O127*H127</f>
        <v>0</v>
      </c>
      <c r="Q127" s="10">
        <v>0</v>
      </c>
      <c r="R127" s="10">
        <f>Q127*H127</f>
        <v>0</v>
      </c>
      <c r="S127" s="10">
        <v>0</v>
      </c>
      <c r="T127" s="11">
        <f>S127*H127</f>
        <v>0</v>
      </c>
      <c r="U127" s="105"/>
      <c r="V127" s="105"/>
      <c r="W127" s="105"/>
      <c r="X127" s="105"/>
      <c r="Y127" s="105"/>
      <c r="Z127" s="105"/>
      <c r="AA127" s="105"/>
      <c r="AB127" s="105"/>
      <c r="AC127" s="105"/>
      <c r="AD127" s="105"/>
      <c r="AE127" s="105"/>
      <c r="AR127" s="12" t="s">
        <v>135</v>
      </c>
      <c r="AT127" s="12" t="s">
        <v>131</v>
      </c>
      <c r="AU127" s="12" t="s">
        <v>74</v>
      </c>
      <c r="AY127" s="13" t="s">
        <v>130</v>
      </c>
      <c r="BE127" s="14">
        <f>IF(N127="základní",J127,0)</f>
        <v>0</v>
      </c>
      <c r="BF127" s="14">
        <f>IF(N127="snížená",J127,0)</f>
        <v>0</v>
      </c>
      <c r="BG127" s="14">
        <f>IF(N127="zákl. přenesená",J127,0)</f>
        <v>0</v>
      </c>
      <c r="BH127" s="14">
        <f>IF(N127="sníž. přenesená",J127,0)</f>
        <v>0</v>
      </c>
      <c r="BI127" s="14">
        <f>IF(N127="nulová",J127,0)</f>
        <v>0</v>
      </c>
      <c r="BJ127" s="13" t="s">
        <v>74</v>
      </c>
      <c r="BK127" s="14">
        <f>ROUND(I127*H127,2)</f>
        <v>0</v>
      </c>
      <c r="BL127" s="13" t="s">
        <v>135</v>
      </c>
      <c r="BM127" s="12" t="s">
        <v>144</v>
      </c>
    </row>
    <row r="128" spans="1:65" s="5" customFormat="1" ht="19.5" x14ac:dyDescent="0.2">
      <c r="A128" s="105"/>
      <c r="B128" s="140"/>
      <c r="C128" s="17"/>
      <c r="D128" s="141" t="s">
        <v>148</v>
      </c>
      <c r="E128" s="17"/>
      <c r="F128" s="142" t="s">
        <v>1101</v>
      </c>
      <c r="G128" s="17"/>
      <c r="H128" s="17"/>
      <c r="I128" s="17"/>
      <c r="J128" s="17"/>
      <c r="K128" s="143"/>
      <c r="L128" s="17"/>
      <c r="M128" s="15"/>
      <c r="N128" s="16"/>
      <c r="O128" s="17"/>
      <c r="P128" s="17"/>
      <c r="Q128" s="17"/>
      <c r="R128" s="17"/>
      <c r="S128" s="17"/>
      <c r="T128" s="18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  <c r="AE128" s="105"/>
      <c r="AT128" s="13" t="s">
        <v>148</v>
      </c>
      <c r="AU128" s="13" t="s">
        <v>74</v>
      </c>
    </row>
    <row r="129" spans="1:65" s="5" customFormat="1" ht="16.5" customHeight="1" x14ac:dyDescent="0.2">
      <c r="A129" s="105"/>
      <c r="B129" s="140"/>
      <c r="C129" s="33" t="s">
        <v>135</v>
      </c>
      <c r="D129" s="33" t="s">
        <v>131</v>
      </c>
      <c r="E129" s="34" t="s">
        <v>1104</v>
      </c>
      <c r="F129" s="7" t="s">
        <v>1105</v>
      </c>
      <c r="G129" s="35" t="s">
        <v>333</v>
      </c>
      <c r="H129" s="36">
        <v>14.56</v>
      </c>
      <c r="I129" s="1"/>
      <c r="J129" s="6">
        <f>ROUND(I129*H129,2)</f>
        <v>0</v>
      </c>
      <c r="K129" s="151" t="s">
        <v>1</v>
      </c>
      <c r="L129" s="17"/>
      <c r="M129" s="8" t="s">
        <v>1</v>
      </c>
      <c r="N129" s="9" t="s">
        <v>33</v>
      </c>
      <c r="O129" s="10">
        <v>0</v>
      </c>
      <c r="P129" s="10">
        <f>O129*H129</f>
        <v>0</v>
      </c>
      <c r="Q129" s="10">
        <v>0</v>
      </c>
      <c r="R129" s="10">
        <f>Q129*H129</f>
        <v>0</v>
      </c>
      <c r="S129" s="10">
        <v>0</v>
      </c>
      <c r="T129" s="11">
        <f>S129*H129</f>
        <v>0</v>
      </c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  <c r="AR129" s="12" t="s">
        <v>135</v>
      </c>
      <c r="AT129" s="12" t="s">
        <v>131</v>
      </c>
      <c r="AU129" s="12" t="s">
        <v>74</v>
      </c>
      <c r="AY129" s="13" t="s">
        <v>130</v>
      </c>
      <c r="BE129" s="14">
        <f>IF(N129="základní",J129,0)</f>
        <v>0</v>
      </c>
      <c r="BF129" s="14">
        <f>IF(N129="snížená",J129,0)</f>
        <v>0</v>
      </c>
      <c r="BG129" s="14">
        <f>IF(N129="zákl. přenesená",J129,0)</f>
        <v>0</v>
      </c>
      <c r="BH129" s="14">
        <f>IF(N129="sníž. přenesená",J129,0)</f>
        <v>0</v>
      </c>
      <c r="BI129" s="14">
        <f>IF(N129="nulová",J129,0)</f>
        <v>0</v>
      </c>
      <c r="BJ129" s="13" t="s">
        <v>74</v>
      </c>
      <c r="BK129" s="14">
        <f>ROUND(I129*H129,2)</f>
        <v>0</v>
      </c>
      <c r="BL129" s="13" t="s">
        <v>135</v>
      </c>
      <c r="BM129" s="12" t="s">
        <v>147</v>
      </c>
    </row>
    <row r="130" spans="1:65" s="152" customFormat="1" x14ac:dyDescent="0.2">
      <c r="B130" s="153"/>
      <c r="C130" s="154"/>
      <c r="D130" s="141" t="s">
        <v>340</v>
      </c>
      <c r="E130" s="155" t="s">
        <v>1</v>
      </c>
      <c r="F130" s="156" t="s">
        <v>1106</v>
      </c>
      <c r="G130" s="154"/>
      <c r="H130" s="157"/>
      <c r="I130" s="154"/>
      <c r="J130" s="154"/>
      <c r="K130" s="158"/>
      <c r="L130" s="154"/>
      <c r="M130" s="159"/>
      <c r="N130" s="154"/>
      <c r="O130" s="154"/>
      <c r="P130" s="154"/>
      <c r="Q130" s="154"/>
      <c r="R130" s="154"/>
      <c r="S130" s="154"/>
      <c r="T130" s="160"/>
      <c r="AT130" s="161" t="s">
        <v>340</v>
      </c>
      <c r="AU130" s="161" t="s">
        <v>74</v>
      </c>
      <c r="AV130" s="152" t="s">
        <v>76</v>
      </c>
      <c r="AW130" s="152" t="s">
        <v>25</v>
      </c>
      <c r="AX130" s="152" t="s">
        <v>68</v>
      </c>
      <c r="AY130" s="161" t="s">
        <v>130</v>
      </c>
    </row>
    <row r="131" spans="1:65" s="162" customFormat="1" x14ac:dyDescent="0.2">
      <c r="B131" s="163"/>
      <c r="C131" s="164"/>
      <c r="D131" s="141" t="s">
        <v>340</v>
      </c>
      <c r="E131" s="165" t="s">
        <v>1</v>
      </c>
      <c r="F131" s="166" t="s">
        <v>342</v>
      </c>
      <c r="G131" s="164"/>
      <c r="H131" s="167">
        <v>14.56</v>
      </c>
      <c r="I131" s="164"/>
      <c r="J131" s="164"/>
      <c r="K131" s="168"/>
      <c r="L131" s="164"/>
      <c r="M131" s="169"/>
      <c r="N131" s="164"/>
      <c r="O131" s="164"/>
      <c r="P131" s="164"/>
      <c r="Q131" s="164"/>
      <c r="R131" s="164"/>
      <c r="S131" s="164"/>
      <c r="T131" s="170"/>
      <c r="AT131" s="171" t="s">
        <v>340</v>
      </c>
      <c r="AU131" s="171" t="s">
        <v>74</v>
      </c>
      <c r="AV131" s="162" t="s">
        <v>135</v>
      </c>
      <c r="AW131" s="162" t="s">
        <v>25</v>
      </c>
      <c r="AX131" s="162" t="s">
        <v>74</v>
      </c>
      <c r="AY131" s="171" t="s">
        <v>130</v>
      </c>
    </row>
    <row r="132" spans="1:65" s="5" customFormat="1" ht="16.5" customHeight="1" x14ac:dyDescent="0.2">
      <c r="A132" s="105"/>
      <c r="B132" s="140"/>
      <c r="C132" s="33" t="s">
        <v>150</v>
      </c>
      <c r="D132" s="33" t="s">
        <v>131</v>
      </c>
      <c r="E132" s="34" t="s">
        <v>1107</v>
      </c>
      <c r="F132" s="7" t="s">
        <v>1108</v>
      </c>
      <c r="G132" s="35" t="s">
        <v>134</v>
      </c>
      <c r="H132" s="36">
        <v>32.753999999999998</v>
      </c>
      <c r="I132" s="1"/>
      <c r="J132" s="6">
        <f>ROUND(I132*H132,2)</f>
        <v>0</v>
      </c>
      <c r="K132" s="151" t="s">
        <v>1</v>
      </c>
      <c r="L132" s="17"/>
      <c r="M132" s="8" t="s">
        <v>1</v>
      </c>
      <c r="N132" s="9" t="s">
        <v>33</v>
      </c>
      <c r="O132" s="10">
        <v>0</v>
      </c>
      <c r="P132" s="10">
        <f>O132*H132</f>
        <v>0</v>
      </c>
      <c r="Q132" s="10">
        <v>0</v>
      </c>
      <c r="R132" s="10">
        <f>Q132*H132</f>
        <v>0</v>
      </c>
      <c r="S132" s="10">
        <v>0</v>
      </c>
      <c r="T132" s="11">
        <f>S132*H132</f>
        <v>0</v>
      </c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  <c r="AR132" s="12" t="s">
        <v>135</v>
      </c>
      <c r="AT132" s="12" t="s">
        <v>131</v>
      </c>
      <c r="AU132" s="12" t="s">
        <v>74</v>
      </c>
      <c r="AY132" s="13" t="s">
        <v>130</v>
      </c>
      <c r="BE132" s="14">
        <f>IF(N132="základní",J132,0)</f>
        <v>0</v>
      </c>
      <c r="BF132" s="14">
        <f>IF(N132="snížená",J132,0)</f>
        <v>0</v>
      </c>
      <c r="BG132" s="14">
        <f>IF(N132="zákl. přenesená",J132,0)</f>
        <v>0</v>
      </c>
      <c r="BH132" s="14">
        <f>IF(N132="sníž. přenesená",J132,0)</f>
        <v>0</v>
      </c>
      <c r="BI132" s="14">
        <f>IF(N132="nulová",J132,0)</f>
        <v>0</v>
      </c>
      <c r="BJ132" s="13" t="s">
        <v>74</v>
      </c>
      <c r="BK132" s="14">
        <f>ROUND(I132*H132,2)</f>
        <v>0</v>
      </c>
      <c r="BL132" s="13" t="s">
        <v>135</v>
      </c>
      <c r="BM132" s="12" t="s">
        <v>72</v>
      </c>
    </row>
    <row r="133" spans="1:65" s="5" customFormat="1" ht="19.5" x14ac:dyDescent="0.2">
      <c r="A133" s="105"/>
      <c r="B133" s="140"/>
      <c r="C133" s="17"/>
      <c r="D133" s="141" t="s">
        <v>148</v>
      </c>
      <c r="E133" s="17"/>
      <c r="F133" s="142" t="s">
        <v>1109</v>
      </c>
      <c r="G133" s="17"/>
      <c r="H133" s="17"/>
      <c r="I133" s="17"/>
      <c r="J133" s="17"/>
      <c r="K133" s="143"/>
      <c r="L133" s="17"/>
      <c r="M133" s="15"/>
      <c r="N133" s="16"/>
      <c r="O133" s="17"/>
      <c r="P133" s="17"/>
      <c r="Q133" s="17"/>
      <c r="R133" s="17"/>
      <c r="S133" s="17"/>
      <c r="T133" s="18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  <c r="AT133" s="13" t="s">
        <v>148</v>
      </c>
      <c r="AU133" s="13" t="s">
        <v>74</v>
      </c>
    </row>
    <row r="134" spans="1:65" s="5" customFormat="1" ht="16.5" customHeight="1" x14ac:dyDescent="0.2">
      <c r="A134" s="105"/>
      <c r="B134" s="140"/>
      <c r="C134" s="33" t="s">
        <v>144</v>
      </c>
      <c r="D134" s="33" t="s">
        <v>131</v>
      </c>
      <c r="E134" s="34" t="s">
        <v>1110</v>
      </c>
      <c r="F134" s="7" t="s">
        <v>1111</v>
      </c>
      <c r="G134" s="35" t="s">
        <v>134</v>
      </c>
      <c r="H134" s="36">
        <v>54.59</v>
      </c>
      <c r="I134" s="1"/>
      <c r="J134" s="6">
        <f>ROUND(I134*H134,2)</f>
        <v>0</v>
      </c>
      <c r="K134" s="151" t="s">
        <v>1</v>
      </c>
      <c r="L134" s="17"/>
      <c r="M134" s="8" t="s">
        <v>1</v>
      </c>
      <c r="N134" s="9" t="s">
        <v>33</v>
      </c>
      <c r="O134" s="10">
        <v>0</v>
      </c>
      <c r="P134" s="10">
        <f>O134*H134</f>
        <v>0</v>
      </c>
      <c r="Q134" s="10">
        <v>0</v>
      </c>
      <c r="R134" s="10">
        <f>Q134*H134</f>
        <v>0</v>
      </c>
      <c r="S134" s="10">
        <v>0</v>
      </c>
      <c r="T134" s="11">
        <f>S134*H134</f>
        <v>0</v>
      </c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  <c r="AR134" s="12" t="s">
        <v>135</v>
      </c>
      <c r="AT134" s="12" t="s">
        <v>131</v>
      </c>
      <c r="AU134" s="12" t="s">
        <v>74</v>
      </c>
      <c r="AY134" s="13" t="s">
        <v>130</v>
      </c>
      <c r="BE134" s="14">
        <f>IF(N134="základní",J134,0)</f>
        <v>0</v>
      </c>
      <c r="BF134" s="14">
        <f>IF(N134="snížená",J134,0)</f>
        <v>0</v>
      </c>
      <c r="BG134" s="14">
        <f>IF(N134="zákl. přenesená",J134,0)</f>
        <v>0</v>
      </c>
      <c r="BH134" s="14">
        <f>IF(N134="sníž. přenesená",J134,0)</f>
        <v>0</v>
      </c>
      <c r="BI134" s="14">
        <f>IF(N134="nulová",J134,0)</f>
        <v>0</v>
      </c>
      <c r="BJ134" s="13" t="s">
        <v>74</v>
      </c>
      <c r="BK134" s="14">
        <f>ROUND(I134*H134,2)</f>
        <v>0</v>
      </c>
      <c r="BL134" s="13" t="s">
        <v>135</v>
      </c>
      <c r="BM134" s="12" t="s">
        <v>79</v>
      </c>
    </row>
    <row r="135" spans="1:65" s="5" customFormat="1" ht="19.5" x14ac:dyDescent="0.2">
      <c r="A135" s="105"/>
      <c r="B135" s="140"/>
      <c r="C135" s="17"/>
      <c r="D135" s="141" t="s">
        <v>148</v>
      </c>
      <c r="E135" s="17"/>
      <c r="F135" s="142" t="s">
        <v>1101</v>
      </c>
      <c r="G135" s="17"/>
      <c r="H135" s="17"/>
      <c r="I135" s="17"/>
      <c r="J135" s="17"/>
      <c r="K135" s="143"/>
      <c r="L135" s="17"/>
      <c r="M135" s="15"/>
      <c r="N135" s="16"/>
      <c r="O135" s="17"/>
      <c r="P135" s="17"/>
      <c r="Q135" s="17"/>
      <c r="R135" s="17"/>
      <c r="S135" s="17"/>
      <c r="T135" s="18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  <c r="AT135" s="13" t="s">
        <v>148</v>
      </c>
      <c r="AU135" s="13" t="s">
        <v>74</v>
      </c>
    </row>
    <row r="136" spans="1:65" s="5" customFormat="1" ht="16.5" customHeight="1" x14ac:dyDescent="0.2">
      <c r="A136" s="105"/>
      <c r="B136" s="140"/>
      <c r="C136" s="33" t="s">
        <v>158</v>
      </c>
      <c r="D136" s="33" t="s">
        <v>131</v>
      </c>
      <c r="E136" s="34" t="s">
        <v>1112</v>
      </c>
      <c r="F136" s="7" t="s">
        <v>1113</v>
      </c>
      <c r="G136" s="35" t="s">
        <v>134</v>
      </c>
      <c r="H136" s="36">
        <v>32.753999999999998</v>
      </c>
      <c r="I136" s="1"/>
      <c r="J136" s="6">
        <f>ROUND(I136*H136,2)</f>
        <v>0</v>
      </c>
      <c r="K136" s="151" t="s">
        <v>1</v>
      </c>
      <c r="L136" s="17"/>
      <c r="M136" s="8" t="s">
        <v>1</v>
      </c>
      <c r="N136" s="9" t="s">
        <v>33</v>
      </c>
      <c r="O136" s="10">
        <v>0</v>
      </c>
      <c r="P136" s="10">
        <f>O136*H136</f>
        <v>0</v>
      </c>
      <c r="Q136" s="10">
        <v>0</v>
      </c>
      <c r="R136" s="10">
        <f>Q136*H136</f>
        <v>0</v>
      </c>
      <c r="S136" s="10">
        <v>0</v>
      </c>
      <c r="T136" s="11">
        <f>S136*H136</f>
        <v>0</v>
      </c>
      <c r="U136" s="105"/>
      <c r="V136" s="105"/>
      <c r="W136" s="105"/>
      <c r="X136" s="105"/>
      <c r="Y136" s="105"/>
      <c r="Z136" s="105"/>
      <c r="AA136" s="105"/>
      <c r="AB136" s="105"/>
      <c r="AC136" s="105"/>
      <c r="AD136" s="105"/>
      <c r="AE136" s="105"/>
      <c r="AR136" s="12" t="s">
        <v>135</v>
      </c>
      <c r="AT136" s="12" t="s">
        <v>131</v>
      </c>
      <c r="AU136" s="12" t="s">
        <v>74</v>
      </c>
      <c r="AY136" s="13" t="s">
        <v>130</v>
      </c>
      <c r="BE136" s="14">
        <f>IF(N136="základní",J136,0)</f>
        <v>0</v>
      </c>
      <c r="BF136" s="14">
        <f>IF(N136="snížená",J136,0)</f>
        <v>0</v>
      </c>
      <c r="BG136" s="14">
        <f>IF(N136="zákl. přenesená",J136,0)</f>
        <v>0</v>
      </c>
      <c r="BH136" s="14">
        <f>IF(N136="sníž. přenesená",J136,0)</f>
        <v>0</v>
      </c>
      <c r="BI136" s="14">
        <f>IF(N136="nulová",J136,0)</f>
        <v>0</v>
      </c>
      <c r="BJ136" s="13" t="s">
        <v>74</v>
      </c>
      <c r="BK136" s="14">
        <f>ROUND(I136*H136,2)</f>
        <v>0</v>
      </c>
      <c r="BL136" s="13" t="s">
        <v>135</v>
      </c>
      <c r="BM136" s="12" t="s">
        <v>83</v>
      </c>
    </row>
    <row r="137" spans="1:65" s="5" customFormat="1" ht="19.5" x14ac:dyDescent="0.2">
      <c r="A137" s="105"/>
      <c r="B137" s="140"/>
      <c r="C137" s="17"/>
      <c r="D137" s="141" t="s">
        <v>148</v>
      </c>
      <c r="E137" s="17"/>
      <c r="F137" s="142" t="s">
        <v>1109</v>
      </c>
      <c r="G137" s="17"/>
      <c r="H137" s="17"/>
      <c r="I137" s="17"/>
      <c r="J137" s="17"/>
      <c r="K137" s="143"/>
      <c r="L137" s="17"/>
      <c r="M137" s="15"/>
      <c r="N137" s="16"/>
      <c r="O137" s="17"/>
      <c r="P137" s="17"/>
      <c r="Q137" s="17"/>
      <c r="R137" s="17"/>
      <c r="S137" s="17"/>
      <c r="T137" s="18"/>
      <c r="U137" s="105"/>
      <c r="V137" s="105"/>
      <c r="W137" s="105"/>
      <c r="X137" s="105"/>
      <c r="Y137" s="105"/>
      <c r="Z137" s="105"/>
      <c r="AA137" s="105"/>
      <c r="AB137" s="105"/>
      <c r="AC137" s="105"/>
      <c r="AD137" s="105"/>
      <c r="AE137" s="105"/>
      <c r="AT137" s="13" t="s">
        <v>148</v>
      </c>
      <c r="AU137" s="13" t="s">
        <v>74</v>
      </c>
    </row>
    <row r="138" spans="1:65" s="5" customFormat="1" ht="16.5" customHeight="1" x14ac:dyDescent="0.2">
      <c r="A138" s="105"/>
      <c r="B138" s="140"/>
      <c r="C138" s="33" t="s">
        <v>147</v>
      </c>
      <c r="D138" s="33" t="s">
        <v>131</v>
      </c>
      <c r="E138" s="34" t="s">
        <v>1114</v>
      </c>
      <c r="F138" s="7" t="s">
        <v>1115</v>
      </c>
      <c r="G138" s="35" t="s">
        <v>134</v>
      </c>
      <c r="H138" s="36">
        <v>109.18</v>
      </c>
      <c r="I138" s="1"/>
      <c r="J138" s="6">
        <f>ROUND(I138*H138,2)</f>
        <v>0</v>
      </c>
      <c r="K138" s="151" t="s">
        <v>1</v>
      </c>
      <c r="L138" s="17"/>
      <c r="M138" s="8" t="s">
        <v>1</v>
      </c>
      <c r="N138" s="9" t="s">
        <v>33</v>
      </c>
      <c r="O138" s="10">
        <v>0</v>
      </c>
      <c r="P138" s="10">
        <f>O138*H138</f>
        <v>0</v>
      </c>
      <c r="Q138" s="10">
        <v>0</v>
      </c>
      <c r="R138" s="10">
        <f>Q138*H138</f>
        <v>0</v>
      </c>
      <c r="S138" s="10">
        <v>0</v>
      </c>
      <c r="T138" s="11">
        <f>S138*H138</f>
        <v>0</v>
      </c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  <c r="AE138" s="105"/>
      <c r="AR138" s="12" t="s">
        <v>135</v>
      </c>
      <c r="AT138" s="12" t="s">
        <v>131</v>
      </c>
      <c r="AU138" s="12" t="s">
        <v>74</v>
      </c>
      <c r="AY138" s="13" t="s">
        <v>130</v>
      </c>
      <c r="BE138" s="14">
        <f>IF(N138="základní",J138,0)</f>
        <v>0</v>
      </c>
      <c r="BF138" s="14">
        <f>IF(N138="snížená",J138,0)</f>
        <v>0</v>
      </c>
      <c r="BG138" s="14">
        <f>IF(N138="zákl. přenesená",J138,0)</f>
        <v>0</v>
      </c>
      <c r="BH138" s="14">
        <f>IF(N138="sníž. přenesená",J138,0)</f>
        <v>0</v>
      </c>
      <c r="BI138" s="14">
        <f>IF(N138="nulová",J138,0)</f>
        <v>0</v>
      </c>
      <c r="BJ138" s="13" t="s">
        <v>74</v>
      </c>
      <c r="BK138" s="14">
        <f>ROUND(I138*H138,2)</f>
        <v>0</v>
      </c>
      <c r="BL138" s="13" t="s">
        <v>135</v>
      </c>
      <c r="BM138" s="12" t="s">
        <v>163</v>
      </c>
    </row>
    <row r="139" spans="1:65" s="5" customFormat="1" ht="19.5" x14ac:dyDescent="0.2">
      <c r="A139" s="105"/>
      <c r="B139" s="140"/>
      <c r="C139" s="17"/>
      <c r="D139" s="141" t="s">
        <v>148</v>
      </c>
      <c r="E139" s="17"/>
      <c r="F139" s="142" t="s">
        <v>1116</v>
      </c>
      <c r="G139" s="17"/>
      <c r="H139" s="17"/>
      <c r="I139" s="17"/>
      <c r="J139" s="17"/>
      <c r="K139" s="143"/>
      <c r="L139" s="17"/>
      <c r="M139" s="15"/>
      <c r="N139" s="16"/>
      <c r="O139" s="17"/>
      <c r="P139" s="17"/>
      <c r="Q139" s="17"/>
      <c r="R139" s="17"/>
      <c r="S139" s="17"/>
      <c r="T139" s="18"/>
      <c r="U139" s="105"/>
      <c r="V139" s="105"/>
      <c r="W139" s="105"/>
      <c r="X139" s="105"/>
      <c r="Y139" s="105"/>
      <c r="Z139" s="105"/>
      <c r="AA139" s="105"/>
      <c r="AB139" s="105"/>
      <c r="AC139" s="105"/>
      <c r="AD139" s="105"/>
      <c r="AE139" s="105"/>
      <c r="AT139" s="13" t="s">
        <v>148</v>
      </c>
      <c r="AU139" s="13" t="s">
        <v>74</v>
      </c>
    </row>
    <row r="140" spans="1:65" s="5" customFormat="1" ht="24" x14ac:dyDescent="0.2">
      <c r="A140" s="105"/>
      <c r="B140" s="140"/>
      <c r="C140" s="33" t="s">
        <v>164</v>
      </c>
      <c r="D140" s="33" t="s">
        <v>131</v>
      </c>
      <c r="E140" s="34" t="s">
        <v>1117</v>
      </c>
      <c r="F140" s="7" t="s">
        <v>1118</v>
      </c>
      <c r="G140" s="35" t="s">
        <v>134</v>
      </c>
      <c r="H140" s="36">
        <v>43.671999999999997</v>
      </c>
      <c r="I140" s="1"/>
      <c r="J140" s="6">
        <f>ROUND(I140*H140,2)</f>
        <v>0</v>
      </c>
      <c r="K140" s="151" t="s">
        <v>1</v>
      </c>
      <c r="L140" s="17"/>
      <c r="M140" s="8" t="s">
        <v>1</v>
      </c>
      <c r="N140" s="9" t="s">
        <v>33</v>
      </c>
      <c r="O140" s="10">
        <v>0</v>
      </c>
      <c r="P140" s="10">
        <f>O140*H140</f>
        <v>0</v>
      </c>
      <c r="Q140" s="10">
        <v>0</v>
      </c>
      <c r="R140" s="10">
        <f>Q140*H140</f>
        <v>0</v>
      </c>
      <c r="S140" s="10">
        <v>0</v>
      </c>
      <c r="T140" s="11">
        <f>S140*H140</f>
        <v>0</v>
      </c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R140" s="12" t="s">
        <v>135</v>
      </c>
      <c r="AT140" s="12" t="s">
        <v>131</v>
      </c>
      <c r="AU140" s="12" t="s">
        <v>74</v>
      </c>
      <c r="AY140" s="13" t="s">
        <v>130</v>
      </c>
      <c r="BE140" s="14">
        <f>IF(N140="základní",J140,0)</f>
        <v>0</v>
      </c>
      <c r="BF140" s="14">
        <f>IF(N140="snížená",J140,0)</f>
        <v>0</v>
      </c>
      <c r="BG140" s="14">
        <f>IF(N140="zákl. přenesená",J140,0)</f>
        <v>0</v>
      </c>
      <c r="BH140" s="14">
        <f>IF(N140="sníž. přenesená",J140,0)</f>
        <v>0</v>
      </c>
      <c r="BI140" s="14">
        <f>IF(N140="nulová",J140,0)</f>
        <v>0</v>
      </c>
      <c r="BJ140" s="13" t="s">
        <v>74</v>
      </c>
      <c r="BK140" s="14">
        <f>ROUND(I140*H140,2)</f>
        <v>0</v>
      </c>
      <c r="BL140" s="13" t="s">
        <v>135</v>
      </c>
      <c r="BM140" s="12" t="s">
        <v>165</v>
      </c>
    </row>
    <row r="141" spans="1:65" s="5" customFormat="1" ht="19.5" x14ac:dyDescent="0.2">
      <c r="A141" s="105"/>
      <c r="B141" s="140"/>
      <c r="C141" s="17"/>
      <c r="D141" s="141" t="s">
        <v>148</v>
      </c>
      <c r="E141" s="17"/>
      <c r="F141" s="142" t="s">
        <v>1119</v>
      </c>
      <c r="G141" s="17"/>
      <c r="H141" s="17"/>
      <c r="I141" s="17"/>
      <c r="J141" s="17"/>
      <c r="K141" s="143"/>
      <c r="L141" s="17"/>
      <c r="M141" s="15"/>
      <c r="N141" s="16"/>
      <c r="O141" s="17"/>
      <c r="P141" s="17"/>
      <c r="Q141" s="17"/>
      <c r="R141" s="17"/>
      <c r="S141" s="17"/>
      <c r="T141" s="18"/>
      <c r="U141" s="105"/>
      <c r="V141" s="105"/>
      <c r="W141" s="105"/>
      <c r="X141" s="105"/>
      <c r="Y141" s="105"/>
      <c r="Z141" s="105"/>
      <c r="AA141" s="105"/>
      <c r="AB141" s="105"/>
      <c r="AC141" s="105"/>
      <c r="AD141" s="105"/>
      <c r="AE141" s="105"/>
      <c r="AT141" s="13" t="s">
        <v>148</v>
      </c>
      <c r="AU141" s="13" t="s">
        <v>74</v>
      </c>
    </row>
    <row r="142" spans="1:65" s="20" customFormat="1" ht="25.9" customHeight="1" x14ac:dyDescent="0.2">
      <c r="B142" s="172"/>
      <c r="C142" s="23"/>
      <c r="D142" s="173" t="s">
        <v>67</v>
      </c>
      <c r="E142" s="174" t="s">
        <v>139</v>
      </c>
      <c r="F142" s="174" t="s">
        <v>1120</v>
      </c>
      <c r="G142" s="23"/>
      <c r="H142" s="23"/>
      <c r="I142" s="23"/>
      <c r="J142" s="175">
        <f>BK142</f>
        <v>0</v>
      </c>
      <c r="K142" s="176"/>
      <c r="L142" s="23"/>
      <c r="M142" s="22"/>
      <c r="N142" s="23"/>
      <c r="O142" s="23"/>
      <c r="P142" s="24">
        <f>SUM(P145:P167)</f>
        <v>0</v>
      </c>
      <c r="Q142" s="23"/>
      <c r="R142" s="24">
        <f>SUM(R145:R167)</f>
        <v>0</v>
      </c>
      <c r="S142" s="23"/>
      <c r="T142" s="25">
        <f>SUM(T145:T167)</f>
        <v>0</v>
      </c>
      <c r="AR142" s="26" t="s">
        <v>74</v>
      </c>
      <c r="AT142" s="27" t="s">
        <v>67</v>
      </c>
      <c r="AU142" s="27" t="s">
        <v>68</v>
      </c>
      <c r="AY142" s="26" t="s">
        <v>130</v>
      </c>
      <c r="BK142" s="28">
        <f>SUM(BK145:BK167)</f>
        <v>0</v>
      </c>
    </row>
    <row r="143" spans="1:65" s="5" customFormat="1" ht="14.45" customHeight="1" x14ac:dyDescent="0.2">
      <c r="B143" s="177"/>
      <c r="C143" s="16"/>
      <c r="D143" s="178" t="s">
        <v>340</v>
      </c>
      <c r="E143" s="16"/>
      <c r="F143" s="179" t="s">
        <v>1208</v>
      </c>
      <c r="G143" s="16"/>
      <c r="H143" s="180">
        <f>(30.7*(4.08+((0.33+0.87)/2)))-(2.61*2.37)-(3.14*1.3*1.3/2)-(9*(1.1*2))-(4*(1.3*0.36))-(1.9*3.8)+(9*(1.1+2)*2*0.17)+((1.9+3.8)*2*0.27)</f>
        <v>118.509</v>
      </c>
      <c r="I143" s="16"/>
      <c r="J143" s="16"/>
      <c r="K143" s="181"/>
      <c r="R143" s="129"/>
      <c r="AQ143" s="126" t="s">
        <v>148</v>
      </c>
      <c r="AR143" s="126" t="s">
        <v>74</v>
      </c>
    </row>
    <row r="144" spans="1:65" s="5" customFormat="1" ht="15.75" customHeight="1" x14ac:dyDescent="0.2">
      <c r="B144" s="177"/>
      <c r="C144" s="16"/>
      <c r="D144" s="178" t="s">
        <v>340</v>
      </c>
      <c r="E144" s="16"/>
      <c r="F144" s="179" t="s">
        <v>1209</v>
      </c>
      <c r="G144" s="180"/>
      <c r="H144" s="16"/>
      <c r="I144" s="16"/>
      <c r="J144" s="16"/>
      <c r="K144" s="181"/>
      <c r="R144" s="129"/>
      <c r="AQ144" s="126" t="s">
        <v>148</v>
      </c>
      <c r="AR144" s="126" t="s">
        <v>74</v>
      </c>
    </row>
    <row r="145" spans="1:65" s="5" customFormat="1" ht="16.5" customHeight="1" x14ac:dyDescent="0.2">
      <c r="A145" s="105"/>
      <c r="B145" s="140"/>
      <c r="C145" s="33" t="s">
        <v>72</v>
      </c>
      <c r="D145" s="33" t="s">
        <v>131</v>
      </c>
      <c r="E145" s="34" t="s">
        <v>1121</v>
      </c>
      <c r="F145" s="7" t="s">
        <v>1122</v>
      </c>
      <c r="G145" s="35" t="s">
        <v>134</v>
      </c>
      <c r="H145" s="36">
        <v>23.702000000000002</v>
      </c>
      <c r="I145" s="1"/>
      <c r="J145" s="6">
        <f>ROUND(I145*H145,2)</f>
        <v>0</v>
      </c>
      <c r="K145" s="151" t="s">
        <v>1</v>
      </c>
      <c r="L145" s="17"/>
      <c r="M145" s="8" t="s">
        <v>1</v>
      </c>
      <c r="N145" s="9" t="s">
        <v>33</v>
      </c>
      <c r="O145" s="10">
        <v>0</v>
      </c>
      <c r="P145" s="10">
        <f>O145*H145</f>
        <v>0</v>
      </c>
      <c r="Q145" s="10">
        <v>0</v>
      </c>
      <c r="R145" s="10">
        <f>Q145*H145</f>
        <v>0</v>
      </c>
      <c r="S145" s="10">
        <v>0</v>
      </c>
      <c r="T145" s="11">
        <f>S145*H145</f>
        <v>0</v>
      </c>
      <c r="U145" s="105"/>
      <c r="V145" s="105"/>
      <c r="W145" s="105"/>
      <c r="X145" s="105"/>
      <c r="Y145" s="105"/>
      <c r="Z145" s="105"/>
      <c r="AA145" s="105"/>
      <c r="AB145" s="105"/>
      <c r="AC145" s="105"/>
      <c r="AD145" s="105"/>
      <c r="AE145" s="105"/>
      <c r="AR145" s="12" t="s">
        <v>135</v>
      </c>
      <c r="AT145" s="12" t="s">
        <v>131</v>
      </c>
      <c r="AU145" s="12" t="s">
        <v>74</v>
      </c>
      <c r="AY145" s="13" t="s">
        <v>130</v>
      </c>
      <c r="BE145" s="14">
        <f>IF(N145="základní",J145,0)</f>
        <v>0</v>
      </c>
      <c r="BF145" s="14">
        <f>IF(N145="snížená",J145,0)</f>
        <v>0</v>
      </c>
      <c r="BG145" s="14">
        <f>IF(N145="zákl. přenesená",J145,0)</f>
        <v>0</v>
      </c>
      <c r="BH145" s="14">
        <f>IF(N145="sníž. přenesená",J145,0)</f>
        <v>0</v>
      </c>
      <c r="BI145" s="14">
        <f>IF(N145="nulová",J145,0)</f>
        <v>0</v>
      </c>
      <c r="BJ145" s="13" t="s">
        <v>74</v>
      </c>
      <c r="BK145" s="14">
        <f>ROUND(I145*H145,2)</f>
        <v>0</v>
      </c>
      <c r="BL145" s="13" t="s">
        <v>135</v>
      </c>
      <c r="BM145" s="12" t="s">
        <v>171</v>
      </c>
    </row>
    <row r="146" spans="1:65" s="5" customFormat="1" ht="19.5" x14ac:dyDescent="0.2">
      <c r="A146" s="105"/>
      <c r="B146" s="140"/>
      <c r="C146" s="17"/>
      <c r="D146" s="141" t="s">
        <v>148</v>
      </c>
      <c r="E146" s="17"/>
      <c r="F146" s="142" t="s">
        <v>1123</v>
      </c>
      <c r="G146" s="17"/>
      <c r="H146" s="17"/>
      <c r="I146" s="17"/>
      <c r="J146" s="17"/>
      <c r="K146" s="143"/>
      <c r="L146" s="17"/>
      <c r="M146" s="15"/>
      <c r="N146" s="16"/>
      <c r="O146" s="17"/>
      <c r="P146" s="17"/>
      <c r="Q146" s="17"/>
      <c r="R146" s="17"/>
      <c r="S146" s="17"/>
      <c r="T146" s="18"/>
      <c r="U146" s="105"/>
      <c r="V146" s="105"/>
      <c r="W146" s="105"/>
      <c r="X146" s="105"/>
      <c r="Y146" s="105"/>
      <c r="Z146" s="105"/>
      <c r="AA146" s="105"/>
      <c r="AB146" s="105"/>
      <c r="AC146" s="105"/>
      <c r="AD146" s="105"/>
      <c r="AE146" s="105"/>
      <c r="AT146" s="13" t="s">
        <v>148</v>
      </c>
      <c r="AU146" s="13" t="s">
        <v>74</v>
      </c>
    </row>
    <row r="147" spans="1:65" s="5" customFormat="1" ht="16.5" customHeight="1" x14ac:dyDescent="0.2">
      <c r="A147" s="105"/>
      <c r="B147" s="140"/>
      <c r="C147" s="33" t="s">
        <v>77</v>
      </c>
      <c r="D147" s="33" t="s">
        <v>131</v>
      </c>
      <c r="E147" s="34" t="s">
        <v>1097</v>
      </c>
      <c r="F147" s="7" t="s">
        <v>1098</v>
      </c>
      <c r="G147" s="35" t="s">
        <v>134</v>
      </c>
      <c r="H147" s="36">
        <v>118.509</v>
      </c>
      <c r="I147" s="1"/>
      <c r="J147" s="6">
        <f>ROUND(I147*H147,2)</f>
        <v>0</v>
      </c>
      <c r="K147" s="151" t="s">
        <v>1</v>
      </c>
      <c r="L147" s="17"/>
      <c r="M147" s="8" t="s">
        <v>1</v>
      </c>
      <c r="N147" s="9" t="s">
        <v>33</v>
      </c>
      <c r="O147" s="10">
        <v>0</v>
      </c>
      <c r="P147" s="10">
        <f>O147*H147</f>
        <v>0</v>
      </c>
      <c r="Q147" s="10">
        <v>0</v>
      </c>
      <c r="R147" s="10">
        <f>Q147*H147</f>
        <v>0</v>
      </c>
      <c r="S147" s="10">
        <v>0</v>
      </c>
      <c r="T147" s="11">
        <f>S147*H147</f>
        <v>0</v>
      </c>
      <c r="U147" s="105"/>
      <c r="V147" s="105"/>
      <c r="W147" s="105"/>
      <c r="X147" s="105"/>
      <c r="Y147" s="105"/>
      <c r="Z147" s="105"/>
      <c r="AA147" s="105"/>
      <c r="AB147" s="105"/>
      <c r="AC147" s="105"/>
      <c r="AD147" s="105"/>
      <c r="AE147" s="105"/>
      <c r="AR147" s="12" t="s">
        <v>135</v>
      </c>
      <c r="AT147" s="12" t="s">
        <v>131</v>
      </c>
      <c r="AU147" s="12" t="s">
        <v>74</v>
      </c>
      <c r="AY147" s="13" t="s">
        <v>130</v>
      </c>
      <c r="BE147" s="14">
        <f>IF(N147="základní",J147,0)</f>
        <v>0</v>
      </c>
      <c r="BF147" s="14">
        <f>IF(N147="snížená",J147,0)</f>
        <v>0</v>
      </c>
      <c r="BG147" s="14">
        <f>IF(N147="zákl. přenesená",J147,0)</f>
        <v>0</v>
      </c>
      <c r="BH147" s="14">
        <f>IF(N147="sníž. přenesená",J147,0)</f>
        <v>0</v>
      </c>
      <c r="BI147" s="14">
        <f>IF(N147="nulová",J147,0)</f>
        <v>0</v>
      </c>
      <c r="BJ147" s="13" t="s">
        <v>74</v>
      </c>
      <c r="BK147" s="14">
        <f>ROUND(I147*H147,2)</f>
        <v>0</v>
      </c>
      <c r="BL147" s="13" t="s">
        <v>135</v>
      </c>
      <c r="BM147" s="12" t="s">
        <v>174</v>
      </c>
    </row>
    <row r="148" spans="1:65" s="5" customFormat="1" ht="16.5" customHeight="1" x14ac:dyDescent="0.2">
      <c r="A148" s="105"/>
      <c r="B148" s="140"/>
      <c r="C148" s="33" t="s">
        <v>79</v>
      </c>
      <c r="D148" s="33" t="s">
        <v>131</v>
      </c>
      <c r="E148" s="34" t="s">
        <v>1099</v>
      </c>
      <c r="F148" s="7" t="s">
        <v>1100</v>
      </c>
      <c r="G148" s="35" t="s">
        <v>134</v>
      </c>
      <c r="H148" s="36">
        <v>59.255000000000003</v>
      </c>
      <c r="I148" s="1"/>
      <c r="J148" s="6">
        <f>ROUND(I148*H148,2)</f>
        <v>0</v>
      </c>
      <c r="K148" s="151" t="s">
        <v>1</v>
      </c>
      <c r="L148" s="17"/>
      <c r="M148" s="8" t="s">
        <v>1</v>
      </c>
      <c r="N148" s="9" t="s">
        <v>33</v>
      </c>
      <c r="O148" s="10">
        <v>0</v>
      </c>
      <c r="P148" s="10">
        <f>O148*H148</f>
        <v>0</v>
      </c>
      <c r="Q148" s="10">
        <v>0</v>
      </c>
      <c r="R148" s="10">
        <f>Q148*H148</f>
        <v>0</v>
      </c>
      <c r="S148" s="10">
        <v>0</v>
      </c>
      <c r="T148" s="11">
        <f>S148*H148</f>
        <v>0</v>
      </c>
      <c r="U148" s="105"/>
      <c r="V148" s="105"/>
      <c r="W148" s="105"/>
      <c r="X148" s="105"/>
      <c r="Y148" s="105"/>
      <c r="Z148" s="105"/>
      <c r="AA148" s="105"/>
      <c r="AB148" s="105"/>
      <c r="AC148" s="105"/>
      <c r="AD148" s="105"/>
      <c r="AE148" s="105"/>
      <c r="AR148" s="12" t="s">
        <v>135</v>
      </c>
      <c r="AT148" s="12" t="s">
        <v>131</v>
      </c>
      <c r="AU148" s="12" t="s">
        <v>74</v>
      </c>
      <c r="AY148" s="13" t="s">
        <v>130</v>
      </c>
      <c r="BE148" s="14">
        <f>IF(N148="základní",J148,0)</f>
        <v>0</v>
      </c>
      <c r="BF148" s="14">
        <f>IF(N148="snížená",J148,0)</f>
        <v>0</v>
      </c>
      <c r="BG148" s="14">
        <f>IF(N148="zákl. přenesená",J148,0)</f>
        <v>0</v>
      </c>
      <c r="BH148" s="14">
        <f>IF(N148="sníž. přenesená",J148,0)</f>
        <v>0</v>
      </c>
      <c r="BI148" s="14">
        <f>IF(N148="nulová",J148,0)</f>
        <v>0</v>
      </c>
      <c r="BJ148" s="13" t="s">
        <v>74</v>
      </c>
      <c r="BK148" s="14">
        <f>ROUND(I148*H148,2)</f>
        <v>0</v>
      </c>
      <c r="BL148" s="13" t="s">
        <v>135</v>
      </c>
      <c r="BM148" s="12" t="s">
        <v>177</v>
      </c>
    </row>
    <row r="149" spans="1:65" s="5" customFormat="1" ht="19.5" x14ac:dyDescent="0.2">
      <c r="A149" s="105"/>
      <c r="B149" s="140"/>
      <c r="C149" s="17"/>
      <c r="D149" s="141" t="s">
        <v>148</v>
      </c>
      <c r="E149" s="17"/>
      <c r="F149" s="142" t="s">
        <v>1101</v>
      </c>
      <c r="G149" s="17"/>
      <c r="H149" s="17"/>
      <c r="I149" s="17"/>
      <c r="J149" s="17"/>
      <c r="K149" s="143"/>
      <c r="L149" s="17"/>
      <c r="M149" s="15"/>
      <c r="N149" s="16"/>
      <c r="O149" s="17"/>
      <c r="P149" s="17"/>
      <c r="Q149" s="17"/>
      <c r="R149" s="17"/>
      <c r="S149" s="17"/>
      <c r="T149" s="18"/>
      <c r="U149" s="105"/>
      <c r="V149" s="105"/>
      <c r="W149" s="105"/>
      <c r="X149" s="105"/>
      <c r="Y149" s="105"/>
      <c r="Z149" s="105"/>
      <c r="AA149" s="105"/>
      <c r="AB149" s="105"/>
      <c r="AC149" s="105"/>
      <c r="AD149" s="105"/>
      <c r="AE149" s="105"/>
      <c r="AT149" s="13" t="s">
        <v>148</v>
      </c>
      <c r="AU149" s="13" t="s">
        <v>74</v>
      </c>
    </row>
    <row r="150" spans="1:65" s="5" customFormat="1" ht="16.5" customHeight="1" x14ac:dyDescent="0.2">
      <c r="A150" s="105"/>
      <c r="B150" s="140"/>
      <c r="C150" s="33" t="s">
        <v>81</v>
      </c>
      <c r="D150" s="33" t="s">
        <v>131</v>
      </c>
      <c r="E150" s="34" t="s">
        <v>1102</v>
      </c>
      <c r="F150" s="7" t="s">
        <v>1103</v>
      </c>
      <c r="G150" s="35" t="s">
        <v>134</v>
      </c>
      <c r="H150" s="36">
        <v>59.255000000000003</v>
      </c>
      <c r="I150" s="1"/>
      <c r="J150" s="6">
        <f>ROUND(I150*H150,2)</f>
        <v>0</v>
      </c>
      <c r="K150" s="151" t="s">
        <v>1</v>
      </c>
      <c r="L150" s="17"/>
      <c r="M150" s="8" t="s">
        <v>1</v>
      </c>
      <c r="N150" s="9" t="s">
        <v>33</v>
      </c>
      <c r="O150" s="10">
        <v>0</v>
      </c>
      <c r="P150" s="10">
        <f>O150*H150</f>
        <v>0</v>
      </c>
      <c r="Q150" s="10">
        <v>0</v>
      </c>
      <c r="R150" s="10">
        <f>Q150*H150</f>
        <v>0</v>
      </c>
      <c r="S150" s="10">
        <v>0</v>
      </c>
      <c r="T150" s="11">
        <f>S150*H150</f>
        <v>0</v>
      </c>
      <c r="U150" s="105"/>
      <c r="V150" s="105"/>
      <c r="W150" s="105"/>
      <c r="X150" s="105"/>
      <c r="Y150" s="105"/>
      <c r="Z150" s="105"/>
      <c r="AA150" s="105"/>
      <c r="AB150" s="105"/>
      <c r="AC150" s="105"/>
      <c r="AD150" s="105"/>
      <c r="AE150" s="105"/>
      <c r="AR150" s="12" t="s">
        <v>135</v>
      </c>
      <c r="AT150" s="12" t="s">
        <v>131</v>
      </c>
      <c r="AU150" s="12" t="s">
        <v>74</v>
      </c>
      <c r="AY150" s="13" t="s">
        <v>130</v>
      </c>
      <c r="BE150" s="14">
        <f>IF(N150="základní",J150,0)</f>
        <v>0</v>
      </c>
      <c r="BF150" s="14">
        <f>IF(N150="snížená",J150,0)</f>
        <v>0</v>
      </c>
      <c r="BG150" s="14">
        <f>IF(N150="zákl. přenesená",J150,0)</f>
        <v>0</v>
      </c>
      <c r="BH150" s="14">
        <f>IF(N150="sníž. přenesená",J150,0)</f>
        <v>0</v>
      </c>
      <c r="BI150" s="14">
        <f>IF(N150="nulová",J150,0)</f>
        <v>0</v>
      </c>
      <c r="BJ150" s="13" t="s">
        <v>74</v>
      </c>
      <c r="BK150" s="14">
        <f>ROUND(I150*H150,2)</f>
        <v>0</v>
      </c>
      <c r="BL150" s="13" t="s">
        <v>135</v>
      </c>
      <c r="BM150" s="12" t="s">
        <v>180</v>
      </c>
    </row>
    <row r="151" spans="1:65" s="5" customFormat="1" ht="19.5" x14ac:dyDescent="0.2">
      <c r="A151" s="105"/>
      <c r="B151" s="140"/>
      <c r="C151" s="17"/>
      <c r="D151" s="141" t="s">
        <v>148</v>
      </c>
      <c r="E151" s="17"/>
      <c r="F151" s="142" t="s">
        <v>1101</v>
      </c>
      <c r="G151" s="17"/>
      <c r="H151" s="17"/>
      <c r="I151" s="17"/>
      <c r="J151" s="17"/>
      <c r="K151" s="143"/>
      <c r="L151" s="17"/>
      <c r="M151" s="15"/>
      <c r="N151" s="16"/>
      <c r="O151" s="17"/>
      <c r="P151" s="17"/>
      <c r="Q151" s="17"/>
      <c r="R151" s="17"/>
      <c r="S151" s="17"/>
      <c r="T151" s="18"/>
      <c r="U151" s="105"/>
      <c r="V151" s="105"/>
      <c r="W151" s="105"/>
      <c r="X151" s="105"/>
      <c r="Y151" s="105"/>
      <c r="Z151" s="105"/>
      <c r="AA151" s="105"/>
      <c r="AB151" s="105"/>
      <c r="AC151" s="105"/>
      <c r="AD151" s="105"/>
      <c r="AE151" s="105"/>
      <c r="AT151" s="13" t="s">
        <v>148</v>
      </c>
      <c r="AU151" s="13" t="s">
        <v>74</v>
      </c>
    </row>
    <row r="152" spans="1:65" s="5" customFormat="1" ht="16.5" customHeight="1" x14ac:dyDescent="0.2">
      <c r="A152" s="105"/>
      <c r="B152" s="140"/>
      <c r="C152" s="33" t="s">
        <v>83</v>
      </c>
      <c r="D152" s="33" t="s">
        <v>131</v>
      </c>
      <c r="E152" s="34" t="s">
        <v>1104</v>
      </c>
      <c r="F152" s="7" t="s">
        <v>1105</v>
      </c>
      <c r="G152" s="35" t="s">
        <v>333</v>
      </c>
      <c r="H152" s="36">
        <v>27.51</v>
      </c>
      <c r="I152" s="1"/>
      <c r="J152" s="6">
        <f>ROUND(I152*H152,2)</f>
        <v>0</v>
      </c>
      <c r="K152" s="151" t="s">
        <v>1</v>
      </c>
      <c r="L152" s="17"/>
      <c r="M152" s="8" t="s">
        <v>1</v>
      </c>
      <c r="N152" s="9" t="s">
        <v>33</v>
      </c>
      <c r="O152" s="10">
        <v>0</v>
      </c>
      <c r="P152" s="10">
        <f>O152*H152</f>
        <v>0</v>
      </c>
      <c r="Q152" s="10">
        <v>0</v>
      </c>
      <c r="R152" s="10">
        <f>Q152*H152</f>
        <v>0</v>
      </c>
      <c r="S152" s="10">
        <v>0</v>
      </c>
      <c r="T152" s="11">
        <f>S152*H152</f>
        <v>0</v>
      </c>
      <c r="U152" s="105"/>
      <c r="V152" s="105"/>
      <c r="W152" s="105"/>
      <c r="X152" s="105"/>
      <c r="Y152" s="105"/>
      <c r="Z152" s="105"/>
      <c r="AA152" s="105"/>
      <c r="AB152" s="105"/>
      <c r="AC152" s="105"/>
      <c r="AD152" s="105"/>
      <c r="AE152" s="105"/>
      <c r="AR152" s="12" t="s">
        <v>135</v>
      </c>
      <c r="AT152" s="12" t="s">
        <v>131</v>
      </c>
      <c r="AU152" s="12" t="s">
        <v>74</v>
      </c>
      <c r="AY152" s="13" t="s">
        <v>130</v>
      </c>
      <c r="BE152" s="14">
        <f>IF(N152="základní",J152,0)</f>
        <v>0</v>
      </c>
      <c r="BF152" s="14">
        <f>IF(N152="snížená",J152,0)</f>
        <v>0</v>
      </c>
      <c r="BG152" s="14">
        <f>IF(N152="zákl. přenesená",J152,0)</f>
        <v>0</v>
      </c>
      <c r="BH152" s="14">
        <f>IF(N152="sníž. přenesená",J152,0)</f>
        <v>0</v>
      </c>
      <c r="BI152" s="14">
        <f>IF(N152="nulová",J152,0)</f>
        <v>0</v>
      </c>
      <c r="BJ152" s="13" t="s">
        <v>74</v>
      </c>
      <c r="BK152" s="14">
        <f>ROUND(I152*H152,2)</f>
        <v>0</v>
      </c>
      <c r="BL152" s="13" t="s">
        <v>135</v>
      </c>
      <c r="BM152" s="12" t="s">
        <v>183</v>
      </c>
    </row>
    <row r="153" spans="1:65" s="152" customFormat="1" x14ac:dyDescent="0.2">
      <c r="B153" s="153"/>
      <c r="C153" s="154"/>
      <c r="D153" s="141" t="s">
        <v>340</v>
      </c>
      <c r="E153" s="155" t="s">
        <v>1</v>
      </c>
      <c r="F153" s="156" t="s">
        <v>1124</v>
      </c>
      <c r="G153" s="154"/>
      <c r="H153" s="157"/>
      <c r="I153" s="154"/>
      <c r="J153" s="154"/>
      <c r="K153" s="158"/>
      <c r="L153" s="154"/>
      <c r="M153" s="159"/>
      <c r="N153" s="154"/>
      <c r="O153" s="154"/>
      <c r="P153" s="154"/>
      <c r="Q153" s="154"/>
      <c r="R153" s="154"/>
      <c r="S153" s="154"/>
      <c r="T153" s="160"/>
      <c r="AT153" s="161" t="s">
        <v>340</v>
      </c>
      <c r="AU153" s="161" t="s">
        <v>74</v>
      </c>
      <c r="AV153" s="152" t="s">
        <v>76</v>
      </c>
      <c r="AW153" s="152" t="s">
        <v>25</v>
      </c>
      <c r="AX153" s="152" t="s">
        <v>68</v>
      </c>
      <c r="AY153" s="161" t="s">
        <v>130</v>
      </c>
    </row>
    <row r="154" spans="1:65" s="162" customFormat="1" x14ac:dyDescent="0.2">
      <c r="B154" s="163"/>
      <c r="C154" s="164"/>
      <c r="D154" s="141" t="s">
        <v>340</v>
      </c>
      <c r="E154" s="165" t="s">
        <v>1</v>
      </c>
      <c r="F154" s="166" t="s">
        <v>342</v>
      </c>
      <c r="G154" s="164"/>
      <c r="H154" s="167">
        <v>27.51</v>
      </c>
      <c r="I154" s="164"/>
      <c r="J154" s="164"/>
      <c r="K154" s="168"/>
      <c r="L154" s="164"/>
      <c r="M154" s="169"/>
      <c r="N154" s="164"/>
      <c r="O154" s="164"/>
      <c r="P154" s="164"/>
      <c r="Q154" s="164"/>
      <c r="R154" s="164"/>
      <c r="S154" s="164"/>
      <c r="T154" s="170"/>
      <c r="AT154" s="171" t="s">
        <v>340</v>
      </c>
      <c r="AU154" s="171" t="s">
        <v>74</v>
      </c>
      <c r="AV154" s="162" t="s">
        <v>135</v>
      </c>
      <c r="AW154" s="162" t="s">
        <v>25</v>
      </c>
      <c r="AX154" s="162" t="s">
        <v>74</v>
      </c>
      <c r="AY154" s="171" t="s">
        <v>130</v>
      </c>
    </row>
    <row r="155" spans="1:65" s="5" customFormat="1" ht="16.5" customHeight="1" x14ac:dyDescent="0.2">
      <c r="A155" s="105"/>
      <c r="B155" s="140"/>
      <c r="C155" s="33" t="s">
        <v>8</v>
      </c>
      <c r="D155" s="33" t="s">
        <v>131</v>
      </c>
      <c r="E155" s="34" t="s">
        <v>1107</v>
      </c>
      <c r="F155" s="7" t="s">
        <v>1108</v>
      </c>
      <c r="G155" s="35" t="s">
        <v>134</v>
      </c>
      <c r="H155" s="36">
        <v>35.552999999999997</v>
      </c>
      <c r="I155" s="1"/>
      <c r="J155" s="6">
        <f>ROUND(I155*H155,2)</f>
        <v>0</v>
      </c>
      <c r="K155" s="151" t="s">
        <v>1</v>
      </c>
      <c r="L155" s="17"/>
      <c r="M155" s="8" t="s">
        <v>1</v>
      </c>
      <c r="N155" s="9" t="s">
        <v>33</v>
      </c>
      <c r="O155" s="10">
        <v>0</v>
      </c>
      <c r="P155" s="10">
        <f>O155*H155</f>
        <v>0</v>
      </c>
      <c r="Q155" s="10">
        <v>0</v>
      </c>
      <c r="R155" s="10">
        <f>Q155*H155</f>
        <v>0</v>
      </c>
      <c r="S155" s="10">
        <v>0</v>
      </c>
      <c r="T155" s="11">
        <f>S155*H155</f>
        <v>0</v>
      </c>
      <c r="U155" s="105"/>
      <c r="V155" s="105"/>
      <c r="W155" s="105"/>
      <c r="X155" s="105"/>
      <c r="Y155" s="105"/>
      <c r="Z155" s="105"/>
      <c r="AA155" s="105"/>
      <c r="AB155" s="105"/>
      <c r="AC155" s="105"/>
      <c r="AD155" s="105"/>
      <c r="AE155" s="105"/>
      <c r="AR155" s="12" t="s">
        <v>135</v>
      </c>
      <c r="AT155" s="12" t="s">
        <v>131</v>
      </c>
      <c r="AU155" s="12" t="s">
        <v>74</v>
      </c>
      <c r="AY155" s="13" t="s">
        <v>130</v>
      </c>
      <c r="BE155" s="14">
        <f>IF(N155="základní",J155,0)</f>
        <v>0</v>
      </c>
      <c r="BF155" s="14">
        <f>IF(N155="snížená",J155,0)</f>
        <v>0</v>
      </c>
      <c r="BG155" s="14">
        <f>IF(N155="zákl. přenesená",J155,0)</f>
        <v>0</v>
      </c>
      <c r="BH155" s="14">
        <f>IF(N155="sníž. přenesená",J155,0)</f>
        <v>0</v>
      </c>
      <c r="BI155" s="14">
        <f>IF(N155="nulová",J155,0)</f>
        <v>0</v>
      </c>
      <c r="BJ155" s="13" t="s">
        <v>74</v>
      </c>
      <c r="BK155" s="14">
        <f>ROUND(I155*H155,2)</f>
        <v>0</v>
      </c>
      <c r="BL155" s="13" t="s">
        <v>135</v>
      </c>
      <c r="BM155" s="12" t="s">
        <v>186</v>
      </c>
    </row>
    <row r="156" spans="1:65" s="5" customFormat="1" ht="19.5" x14ac:dyDescent="0.2">
      <c r="A156" s="105"/>
      <c r="B156" s="140"/>
      <c r="C156" s="17"/>
      <c r="D156" s="141" t="s">
        <v>148</v>
      </c>
      <c r="E156" s="17"/>
      <c r="F156" s="142" t="s">
        <v>1109</v>
      </c>
      <c r="G156" s="17"/>
      <c r="H156" s="17"/>
      <c r="I156" s="17"/>
      <c r="J156" s="17"/>
      <c r="K156" s="143"/>
      <c r="L156" s="17"/>
      <c r="M156" s="15"/>
      <c r="N156" s="16"/>
      <c r="O156" s="17"/>
      <c r="P156" s="17"/>
      <c r="Q156" s="17"/>
      <c r="R156" s="17"/>
      <c r="S156" s="17"/>
      <c r="T156" s="18"/>
      <c r="U156" s="105"/>
      <c r="V156" s="105"/>
      <c r="W156" s="105"/>
      <c r="X156" s="105"/>
      <c r="Y156" s="105"/>
      <c r="Z156" s="105"/>
      <c r="AA156" s="105"/>
      <c r="AB156" s="105"/>
      <c r="AC156" s="105"/>
      <c r="AD156" s="105"/>
      <c r="AE156" s="105"/>
      <c r="AT156" s="13" t="s">
        <v>148</v>
      </c>
      <c r="AU156" s="13" t="s">
        <v>74</v>
      </c>
    </row>
    <row r="157" spans="1:65" s="5" customFormat="1" ht="16.5" customHeight="1" x14ac:dyDescent="0.2">
      <c r="A157" s="105"/>
      <c r="B157" s="140"/>
      <c r="C157" s="33" t="s">
        <v>163</v>
      </c>
      <c r="D157" s="33" t="s">
        <v>131</v>
      </c>
      <c r="E157" s="34" t="s">
        <v>1110</v>
      </c>
      <c r="F157" s="7" t="s">
        <v>1111</v>
      </c>
      <c r="G157" s="35" t="s">
        <v>134</v>
      </c>
      <c r="H157" s="36">
        <v>59.255000000000003</v>
      </c>
      <c r="I157" s="1"/>
      <c r="J157" s="6">
        <f>ROUND(I157*H157,2)</f>
        <v>0</v>
      </c>
      <c r="K157" s="151" t="s">
        <v>1</v>
      </c>
      <c r="L157" s="17"/>
      <c r="M157" s="8" t="s">
        <v>1</v>
      </c>
      <c r="N157" s="9" t="s">
        <v>33</v>
      </c>
      <c r="O157" s="10">
        <v>0</v>
      </c>
      <c r="P157" s="10">
        <f>O157*H157</f>
        <v>0</v>
      </c>
      <c r="Q157" s="10">
        <v>0</v>
      </c>
      <c r="R157" s="10">
        <f>Q157*H157</f>
        <v>0</v>
      </c>
      <c r="S157" s="10">
        <v>0</v>
      </c>
      <c r="T157" s="11">
        <f>S157*H157</f>
        <v>0</v>
      </c>
      <c r="U157" s="105"/>
      <c r="V157" s="105"/>
      <c r="W157" s="105"/>
      <c r="X157" s="105"/>
      <c r="Y157" s="105"/>
      <c r="Z157" s="105"/>
      <c r="AA157" s="105"/>
      <c r="AB157" s="105"/>
      <c r="AC157" s="105"/>
      <c r="AD157" s="105"/>
      <c r="AE157" s="105"/>
      <c r="AR157" s="12" t="s">
        <v>135</v>
      </c>
      <c r="AT157" s="12" t="s">
        <v>131</v>
      </c>
      <c r="AU157" s="12" t="s">
        <v>74</v>
      </c>
      <c r="AY157" s="13" t="s">
        <v>130</v>
      </c>
      <c r="BE157" s="14">
        <f>IF(N157="základní",J157,0)</f>
        <v>0</v>
      </c>
      <c r="BF157" s="14">
        <f>IF(N157="snížená",J157,0)</f>
        <v>0</v>
      </c>
      <c r="BG157" s="14">
        <f>IF(N157="zákl. přenesená",J157,0)</f>
        <v>0</v>
      </c>
      <c r="BH157" s="14">
        <f>IF(N157="sníž. přenesená",J157,0)</f>
        <v>0</v>
      </c>
      <c r="BI157" s="14">
        <f>IF(N157="nulová",J157,0)</f>
        <v>0</v>
      </c>
      <c r="BJ157" s="13" t="s">
        <v>74</v>
      </c>
      <c r="BK157" s="14">
        <f>ROUND(I157*H157,2)</f>
        <v>0</v>
      </c>
      <c r="BL157" s="13" t="s">
        <v>135</v>
      </c>
      <c r="BM157" s="12" t="s">
        <v>189</v>
      </c>
    </row>
    <row r="158" spans="1:65" s="5" customFormat="1" ht="19.5" x14ac:dyDescent="0.2">
      <c r="A158" s="105"/>
      <c r="B158" s="140"/>
      <c r="C158" s="17"/>
      <c r="D158" s="141" t="s">
        <v>148</v>
      </c>
      <c r="E158" s="17"/>
      <c r="F158" s="142" t="s">
        <v>1101</v>
      </c>
      <c r="G158" s="17"/>
      <c r="H158" s="17"/>
      <c r="I158" s="17"/>
      <c r="J158" s="17"/>
      <c r="K158" s="143"/>
      <c r="L158" s="17"/>
      <c r="M158" s="15"/>
      <c r="N158" s="16"/>
      <c r="O158" s="17"/>
      <c r="P158" s="17"/>
      <c r="Q158" s="17"/>
      <c r="R158" s="17"/>
      <c r="S158" s="17"/>
      <c r="T158" s="18"/>
      <c r="U158" s="105"/>
      <c r="V158" s="105"/>
      <c r="W158" s="105"/>
      <c r="X158" s="105"/>
      <c r="Y158" s="105"/>
      <c r="Z158" s="105"/>
      <c r="AA158" s="105"/>
      <c r="AB158" s="105"/>
      <c r="AC158" s="105"/>
      <c r="AD158" s="105"/>
      <c r="AE158" s="105"/>
      <c r="AT158" s="13" t="s">
        <v>148</v>
      </c>
      <c r="AU158" s="13" t="s">
        <v>74</v>
      </c>
    </row>
    <row r="159" spans="1:65" s="5" customFormat="1" ht="16.5" customHeight="1" x14ac:dyDescent="0.2">
      <c r="A159" s="105"/>
      <c r="B159" s="140"/>
      <c r="C159" s="33" t="s">
        <v>193</v>
      </c>
      <c r="D159" s="33" t="s">
        <v>131</v>
      </c>
      <c r="E159" s="34" t="s">
        <v>1112</v>
      </c>
      <c r="F159" s="7" t="s">
        <v>1113</v>
      </c>
      <c r="G159" s="35" t="s">
        <v>134</v>
      </c>
      <c r="H159" s="36">
        <v>35.552999999999997</v>
      </c>
      <c r="I159" s="1"/>
      <c r="J159" s="6">
        <f>ROUND(I159*H159,2)</f>
        <v>0</v>
      </c>
      <c r="K159" s="151" t="s">
        <v>1</v>
      </c>
      <c r="L159" s="17"/>
      <c r="M159" s="8" t="s">
        <v>1</v>
      </c>
      <c r="N159" s="9" t="s">
        <v>33</v>
      </c>
      <c r="O159" s="10">
        <v>0</v>
      </c>
      <c r="P159" s="10">
        <f>O159*H159</f>
        <v>0</v>
      </c>
      <c r="Q159" s="10">
        <v>0</v>
      </c>
      <c r="R159" s="10">
        <f>Q159*H159</f>
        <v>0</v>
      </c>
      <c r="S159" s="10">
        <v>0</v>
      </c>
      <c r="T159" s="11">
        <f>S159*H159</f>
        <v>0</v>
      </c>
      <c r="U159" s="105"/>
      <c r="V159" s="105"/>
      <c r="W159" s="105"/>
      <c r="X159" s="105"/>
      <c r="Y159" s="105"/>
      <c r="Z159" s="105"/>
      <c r="AA159" s="105"/>
      <c r="AB159" s="105"/>
      <c r="AC159" s="105"/>
      <c r="AD159" s="105"/>
      <c r="AE159" s="105"/>
      <c r="AR159" s="12" t="s">
        <v>135</v>
      </c>
      <c r="AT159" s="12" t="s">
        <v>131</v>
      </c>
      <c r="AU159" s="12" t="s">
        <v>74</v>
      </c>
      <c r="AY159" s="13" t="s">
        <v>130</v>
      </c>
      <c r="BE159" s="14">
        <f>IF(N159="základní",J159,0)</f>
        <v>0</v>
      </c>
      <c r="BF159" s="14">
        <f>IF(N159="snížená",J159,0)</f>
        <v>0</v>
      </c>
      <c r="BG159" s="14">
        <f>IF(N159="zákl. přenesená",J159,0)</f>
        <v>0</v>
      </c>
      <c r="BH159" s="14">
        <f>IF(N159="sníž. přenesená",J159,0)</f>
        <v>0</v>
      </c>
      <c r="BI159" s="14">
        <f>IF(N159="nulová",J159,0)</f>
        <v>0</v>
      </c>
      <c r="BJ159" s="13" t="s">
        <v>74</v>
      </c>
      <c r="BK159" s="14">
        <f>ROUND(I159*H159,2)</f>
        <v>0</v>
      </c>
      <c r="BL159" s="13" t="s">
        <v>135</v>
      </c>
      <c r="BM159" s="12" t="s">
        <v>196</v>
      </c>
    </row>
    <row r="160" spans="1:65" s="5" customFormat="1" ht="19.5" x14ac:dyDescent="0.2">
      <c r="A160" s="105"/>
      <c r="B160" s="140"/>
      <c r="C160" s="17"/>
      <c r="D160" s="141" t="s">
        <v>148</v>
      </c>
      <c r="E160" s="17"/>
      <c r="F160" s="142" t="s">
        <v>1125</v>
      </c>
      <c r="G160" s="17"/>
      <c r="H160" s="17"/>
      <c r="I160" s="17"/>
      <c r="J160" s="17"/>
      <c r="K160" s="143"/>
      <c r="L160" s="17"/>
      <c r="M160" s="15"/>
      <c r="N160" s="16"/>
      <c r="O160" s="17"/>
      <c r="P160" s="17"/>
      <c r="Q160" s="17"/>
      <c r="R160" s="17"/>
      <c r="S160" s="17"/>
      <c r="T160" s="18"/>
      <c r="U160" s="105"/>
      <c r="V160" s="105"/>
      <c r="W160" s="105"/>
      <c r="X160" s="105"/>
      <c r="Y160" s="105"/>
      <c r="Z160" s="105"/>
      <c r="AA160" s="105"/>
      <c r="AB160" s="105"/>
      <c r="AC160" s="105"/>
      <c r="AD160" s="105"/>
      <c r="AE160" s="105"/>
      <c r="AT160" s="13" t="s">
        <v>148</v>
      </c>
      <c r="AU160" s="13" t="s">
        <v>74</v>
      </c>
    </row>
    <row r="161" spans="1:65" s="5" customFormat="1" ht="16.5" customHeight="1" x14ac:dyDescent="0.2">
      <c r="A161" s="105"/>
      <c r="B161" s="140"/>
      <c r="C161" s="33" t="s">
        <v>165</v>
      </c>
      <c r="D161" s="33" t="s">
        <v>131</v>
      </c>
      <c r="E161" s="34" t="s">
        <v>1114</v>
      </c>
      <c r="F161" s="7" t="s">
        <v>1115</v>
      </c>
      <c r="G161" s="35" t="s">
        <v>134</v>
      </c>
      <c r="H161" s="36">
        <v>118.509</v>
      </c>
      <c r="I161" s="1"/>
      <c r="J161" s="6">
        <f>ROUND(I161*H161,2)</f>
        <v>0</v>
      </c>
      <c r="K161" s="151" t="s">
        <v>1</v>
      </c>
      <c r="L161" s="17"/>
      <c r="M161" s="8" t="s">
        <v>1</v>
      </c>
      <c r="N161" s="9" t="s">
        <v>33</v>
      </c>
      <c r="O161" s="10">
        <v>0</v>
      </c>
      <c r="P161" s="10">
        <f>O161*H161</f>
        <v>0</v>
      </c>
      <c r="Q161" s="10">
        <v>0</v>
      </c>
      <c r="R161" s="10">
        <f>Q161*H161</f>
        <v>0</v>
      </c>
      <c r="S161" s="10">
        <v>0</v>
      </c>
      <c r="T161" s="11">
        <f>S161*H161</f>
        <v>0</v>
      </c>
      <c r="U161" s="105"/>
      <c r="V161" s="105"/>
      <c r="W161" s="105"/>
      <c r="X161" s="105"/>
      <c r="Y161" s="105"/>
      <c r="Z161" s="105"/>
      <c r="AA161" s="105"/>
      <c r="AB161" s="105"/>
      <c r="AC161" s="105"/>
      <c r="AD161" s="105"/>
      <c r="AE161" s="105"/>
      <c r="AR161" s="12" t="s">
        <v>135</v>
      </c>
      <c r="AT161" s="12" t="s">
        <v>131</v>
      </c>
      <c r="AU161" s="12" t="s">
        <v>74</v>
      </c>
      <c r="AY161" s="13" t="s">
        <v>130</v>
      </c>
      <c r="BE161" s="14">
        <f>IF(N161="základní",J161,0)</f>
        <v>0</v>
      </c>
      <c r="BF161" s="14">
        <f>IF(N161="snížená",J161,0)</f>
        <v>0</v>
      </c>
      <c r="BG161" s="14">
        <f>IF(N161="zákl. přenesená",J161,0)</f>
        <v>0</v>
      </c>
      <c r="BH161" s="14">
        <f>IF(N161="sníž. přenesená",J161,0)</f>
        <v>0</v>
      </c>
      <c r="BI161" s="14">
        <f>IF(N161="nulová",J161,0)</f>
        <v>0</v>
      </c>
      <c r="BJ161" s="13" t="s">
        <v>74</v>
      </c>
      <c r="BK161" s="14">
        <f>ROUND(I161*H161,2)</f>
        <v>0</v>
      </c>
      <c r="BL161" s="13" t="s">
        <v>135</v>
      </c>
      <c r="BM161" s="12" t="s">
        <v>199</v>
      </c>
    </row>
    <row r="162" spans="1:65" s="5" customFormat="1" ht="19.5" x14ac:dyDescent="0.2">
      <c r="A162" s="105"/>
      <c r="B162" s="140"/>
      <c r="C162" s="17"/>
      <c r="D162" s="141" t="s">
        <v>148</v>
      </c>
      <c r="E162" s="17"/>
      <c r="F162" s="142" t="s">
        <v>1116</v>
      </c>
      <c r="G162" s="17"/>
      <c r="H162" s="17"/>
      <c r="I162" s="17"/>
      <c r="J162" s="17"/>
      <c r="K162" s="143"/>
      <c r="L162" s="17"/>
      <c r="M162" s="15"/>
      <c r="N162" s="16"/>
      <c r="O162" s="17"/>
      <c r="P162" s="17"/>
      <c r="Q162" s="17"/>
      <c r="R162" s="17"/>
      <c r="S162" s="17"/>
      <c r="T162" s="18"/>
      <c r="U162" s="105"/>
      <c r="V162" s="105"/>
      <c r="W162" s="105"/>
      <c r="X162" s="105"/>
      <c r="Y162" s="105"/>
      <c r="Z162" s="105"/>
      <c r="AA162" s="105"/>
      <c r="AB162" s="105"/>
      <c r="AC162" s="105"/>
      <c r="AD162" s="105"/>
      <c r="AE162" s="105"/>
      <c r="AT162" s="13" t="s">
        <v>148</v>
      </c>
      <c r="AU162" s="13" t="s">
        <v>74</v>
      </c>
    </row>
    <row r="163" spans="1:65" s="5" customFormat="1" ht="24" x14ac:dyDescent="0.2">
      <c r="A163" s="105"/>
      <c r="B163" s="140"/>
      <c r="C163" s="33" t="s">
        <v>200</v>
      </c>
      <c r="D163" s="33" t="s">
        <v>131</v>
      </c>
      <c r="E163" s="34" t="s">
        <v>1117</v>
      </c>
      <c r="F163" s="7" t="s">
        <v>1118</v>
      </c>
      <c r="G163" s="35" t="s">
        <v>134</v>
      </c>
      <c r="H163" s="36">
        <v>47.404000000000003</v>
      </c>
      <c r="I163" s="1"/>
      <c r="J163" s="6">
        <f>ROUND(I163*H163,2)</f>
        <v>0</v>
      </c>
      <c r="K163" s="151" t="s">
        <v>1</v>
      </c>
      <c r="L163" s="17"/>
      <c r="M163" s="8" t="s">
        <v>1</v>
      </c>
      <c r="N163" s="9" t="s">
        <v>33</v>
      </c>
      <c r="O163" s="10">
        <v>0</v>
      </c>
      <c r="P163" s="10">
        <f>O163*H163</f>
        <v>0</v>
      </c>
      <c r="Q163" s="10">
        <v>0</v>
      </c>
      <c r="R163" s="10">
        <f>Q163*H163</f>
        <v>0</v>
      </c>
      <c r="S163" s="10">
        <v>0</v>
      </c>
      <c r="T163" s="11">
        <f>S163*H163</f>
        <v>0</v>
      </c>
      <c r="U163" s="105"/>
      <c r="V163" s="105"/>
      <c r="W163" s="105"/>
      <c r="X163" s="105"/>
      <c r="Y163" s="105"/>
      <c r="Z163" s="105"/>
      <c r="AA163" s="105"/>
      <c r="AB163" s="105"/>
      <c r="AC163" s="105"/>
      <c r="AD163" s="105"/>
      <c r="AE163" s="105"/>
      <c r="AR163" s="12" t="s">
        <v>135</v>
      </c>
      <c r="AT163" s="12" t="s">
        <v>131</v>
      </c>
      <c r="AU163" s="12" t="s">
        <v>74</v>
      </c>
      <c r="AY163" s="13" t="s">
        <v>130</v>
      </c>
      <c r="BE163" s="14">
        <f>IF(N163="základní",J163,0)</f>
        <v>0</v>
      </c>
      <c r="BF163" s="14">
        <f>IF(N163="snížená",J163,0)</f>
        <v>0</v>
      </c>
      <c r="BG163" s="14">
        <f>IF(N163="zákl. přenesená",J163,0)</f>
        <v>0</v>
      </c>
      <c r="BH163" s="14">
        <f>IF(N163="sníž. přenesená",J163,0)</f>
        <v>0</v>
      </c>
      <c r="BI163" s="14">
        <f>IF(N163="nulová",J163,0)</f>
        <v>0</v>
      </c>
      <c r="BJ163" s="13" t="s">
        <v>74</v>
      </c>
      <c r="BK163" s="14">
        <f>ROUND(I163*H163,2)</f>
        <v>0</v>
      </c>
      <c r="BL163" s="13" t="s">
        <v>135</v>
      </c>
      <c r="BM163" s="12" t="s">
        <v>201</v>
      </c>
    </row>
    <row r="164" spans="1:65" s="5" customFormat="1" ht="19.5" x14ac:dyDescent="0.2">
      <c r="A164" s="105"/>
      <c r="B164" s="140"/>
      <c r="C164" s="17"/>
      <c r="D164" s="141" t="s">
        <v>148</v>
      </c>
      <c r="E164" s="17"/>
      <c r="F164" s="142" t="s">
        <v>1119</v>
      </c>
      <c r="G164" s="17"/>
      <c r="H164" s="17"/>
      <c r="I164" s="17"/>
      <c r="J164" s="17"/>
      <c r="K164" s="143"/>
      <c r="L164" s="17"/>
      <c r="M164" s="15"/>
      <c r="N164" s="16"/>
      <c r="O164" s="17"/>
      <c r="P164" s="17"/>
      <c r="Q164" s="17"/>
      <c r="R164" s="17"/>
      <c r="S164" s="17"/>
      <c r="T164" s="18"/>
      <c r="U164" s="105"/>
      <c r="V164" s="105"/>
      <c r="W164" s="105"/>
      <c r="X164" s="105"/>
      <c r="Y164" s="105"/>
      <c r="Z164" s="105"/>
      <c r="AA164" s="105"/>
      <c r="AB164" s="105"/>
      <c r="AC164" s="105"/>
      <c r="AD164" s="105"/>
      <c r="AE164" s="105"/>
      <c r="AT164" s="13" t="s">
        <v>148</v>
      </c>
      <c r="AU164" s="13" t="s">
        <v>74</v>
      </c>
    </row>
    <row r="165" spans="1:65" s="5" customFormat="1" ht="16.5" customHeight="1" x14ac:dyDescent="0.2">
      <c r="A165" s="105"/>
      <c r="B165" s="140"/>
      <c r="C165" s="33" t="s">
        <v>171</v>
      </c>
      <c r="D165" s="33" t="s">
        <v>131</v>
      </c>
      <c r="E165" s="34" t="s">
        <v>1126</v>
      </c>
      <c r="F165" s="7" t="s">
        <v>1127</v>
      </c>
      <c r="G165" s="35" t="s">
        <v>134</v>
      </c>
      <c r="H165" s="36">
        <v>2.08</v>
      </c>
      <c r="I165" s="1"/>
      <c r="J165" s="6">
        <f>ROUND(I165*H165,2)</f>
        <v>0</v>
      </c>
      <c r="K165" s="151" t="s">
        <v>1</v>
      </c>
      <c r="L165" s="17"/>
      <c r="M165" s="8" t="s">
        <v>1</v>
      </c>
      <c r="N165" s="9" t="s">
        <v>33</v>
      </c>
      <c r="O165" s="10">
        <v>0</v>
      </c>
      <c r="P165" s="10">
        <f>O165*H165</f>
        <v>0</v>
      </c>
      <c r="Q165" s="10">
        <v>0</v>
      </c>
      <c r="R165" s="10">
        <f>Q165*H165</f>
        <v>0</v>
      </c>
      <c r="S165" s="10">
        <v>0</v>
      </c>
      <c r="T165" s="11">
        <f>S165*H165</f>
        <v>0</v>
      </c>
      <c r="U165" s="105"/>
      <c r="V165" s="105"/>
      <c r="W165" s="105"/>
      <c r="X165" s="105"/>
      <c r="Y165" s="105"/>
      <c r="Z165" s="105"/>
      <c r="AA165" s="105"/>
      <c r="AB165" s="105"/>
      <c r="AC165" s="105"/>
      <c r="AD165" s="105"/>
      <c r="AE165" s="105"/>
      <c r="AR165" s="12" t="s">
        <v>135</v>
      </c>
      <c r="AT165" s="12" t="s">
        <v>131</v>
      </c>
      <c r="AU165" s="12" t="s">
        <v>74</v>
      </c>
      <c r="AY165" s="13" t="s">
        <v>130</v>
      </c>
      <c r="BE165" s="14">
        <f>IF(N165="základní",J165,0)</f>
        <v>0</v>
      </c>
      <c r="BF165" s="14">
        <f>IF(N165="snížená",J165,0)</f>
        <v>0</v>
      </c>
      <c r="BG165" s="14">
        <f>IF(N165="zákl. přenesená",J165,0)</f>
        <v>0</v>
      </c>
      <c r="BH165" s="14">
        <f>IF(N165="sníž. přenesená",J165,0)</f>
        <v>0</v>
      </c>
      <c r="BI165" s="14">
        <f>IF(N165="nulová",J165,0)</f>
        <v>0</v>
      </c>
      <c r="BJ165" s="13" t="s">
        <v>74</v>
      </c>
      <c r="BK165" s="14">
        <f>ROUND(I165*H165,2)</f>
        <v>0</v>
      </c>
      <c r="BL165" s="13" t="s">
        <v>135</v>
      </c>
      <c r="BM165" s="12" t="s">
        <v>202</v>
      </c>
    </row>
    <row r="166" spans="1:65" s="152" customFormat="1" x14ac:dyDescent="0.2">
      <c r="B166" s="153"/>
      <c r="C166" s="154"/>
      <c r="D166" s="141" t="s">
        <v>340</v>
      </c>
      <c r="E166" s="155" t="s">
        <v>1</v>
      </c>
      <c r="F166" s="156" t="s">
        <v>1128</v>
      </c>
      <c r="G166" s="154"/>
      <c r="H166" s="157"/>
      <c r="I166" s="154"/>
      <c r="J166" s="154"/>
      <c r="K166" s="158"/>
      <c r="L166" s="154"/>
      <c r="M166" s="159"/>
      <c r="N166" s="154"/>
      <c r="O166" s="154"/>
      <c r="P166" s="154"/>
      <c r="Q166" s="154"/>
      <c r="R166" s="154"/>
      <c r="S166" s="154"/>
      <c r="T166" s="160"/>
      <c r="AT166" s="161" t="s">
        <v>340</v>
      </c>
      <c r="AU166" s="161" t="s">
        <v>74</v>
      </c>
      <c r="AV166" s="152" t="s">
        <v>76</v>
      </c>
      <c r="AW166" s="152" t="s">
        <v>25</v>
      </c>
      <c r="AX166" s="152" t="s">
        <v>68</v>
      </c>
      <c r="AY166" s="161" t="s">
        <v>130</v>
      </c>
    </row>
    <row r="167" spans="1:65" s="162" customFormat="1" x14ac:dyDescent="0.2">
      <c r="B167" s="163"/>
      <c r="C167" s="164"/>
      <c r="D167" s="141" t="s">
        <v>340</v>
      </c>
      <c r="E167" s="165" t="s">
        <v>1</v>
      </c>
      <c r="F167" s="166" t="s">
        <v>342</v>
      </c>
      <c r="G167" s="164"/>
      <c r="H167" s="167">
        <v>2.08</v>
      </c>
      <c r="I167" s="164"/>
      <c r="J167" s="164"/>
      <c r="K167" s="168"/>
      <c r="L167" s="164"/>
      <c r="M167" s="169"/>
      <c r="N167" s="164"/>
      <c r="O167" s="164"/>
      <c r="P167" s="164"/>
      <c r="Q167" s="164"/>
      <c r="R167" s="164"/>
      <c r="S167" s="164"/>
      <c r="T167" s="170"/>
      <c r="AT167" s="171" t="s">
        <v>340</v>
      </c>
      <c r="AU167" s="171" t="s">
        <v>74</v>
      </c>
      <c r="AV167" s="162" t="s">
        <v>135</v>
      </c>
      <c r="AW167" s="162" t="s">
        <v>25</v>
      </c>
      <c r="AX167" s="162" t="s">
        <v>74</v>
      </c>
      <c r="AY167" s="171" t="s">
        <v>130</v>
      </c>
    </row>
    <row r="168" spans="1:65" s="20" customFormat="1" ht="25.9" customHeight="1" x14ac:dyDescent="0.2">
      <c r="B168" s="172"/>
      <c r="C168" s="23"/>
      <c r="D168" s="173" t="s">
        <v>67</v>
      </c>
      <c r="E168" s="174" t="s">
        <v>153</v>
      </c>
      <c r="F168" s="174" t="s">
        <v>1129</v>
      </c>
      <c r="G168" s="23"/>
      <c r="H168" s="23"/>
      <c r="I168" s="23"/>
      <c r="J168" s="175">
        <f>BK168</f>
        <v>0</v>
      </c>
      <c r="K168" s="176"/>
      <c r="L168" s="23"/>
      <c r="M168" s="22"/>
      <c r="N168" s="23"/>
      <c r="O168" s="23"/>
      <c r="P168" s="24">
        <f>SUM(P171:P186)</f>
        <v>0</v>
      </c>
      <c r="Q168" s="23"/>
      <c r="R168" s="24">
        <f>SUM(R171:R186)</f>
        <v>0</v>
      </c>
      <c r="S168" s="23"/>
      <c r="T168" s="25">
        <f>SUM(T171:T186)</f>
        <v>0</v>
      </c>
      <c r="AR168" s="26" t="s">
        <v>74</v>
      </c>
      <c r="AT168" s="27" t="s">
        <v>67</v>
      </c>
      <c r="AU168" s="27" t="s">
        <v>68</v>
      </c>
      <c r="AY168" s="26" t="s">
        <v>130</v>
      </c>
      <c r="BK168" s="28">
        <f>SUM(BK171:BK186)</f>
        <v>0</v>
      </c>
    </row>
    <row r="169" spans="1:65" s="5" customFormat="1" ht="10.15" customHeight="1" x14ac:dyDescent="0.2">
      <c r="B169" s="177"/>
      <c r="C169" s="16"/>
      <c r="D169" s="178" t="s">
        <v>340</v>
      </c>
      <c r="E169" s="16"/>
      <c r="F169" s="179" t="s">
        <v>1210</v>
      </c>
      <c r="G169" s="16"/>
      <c r="H169" s="180">
        <f>(26.1*14.04)+(7.43*1.31)+((1.31+7.43+1.31)*0.2)-(18*1.1*2.2)-(9*1.1*2.1)+(18*(1.1+2.2)*2*0.17)+(9*1.1*2.1+2*0.17)</f>
        <v>355.16329999999999</v>
      </c>
      <c r="I169" s="16"/>
      <c r="J169" s="16"/>
      <c r="K169" s="181"/>
      <c r="R169" s="129"/>
      <c r="AQ169" s="126" t="s">
        <v>148</v>
      </c>
      <c r="AR169" s="126" t="s">
        <v>74</v>
      </c>
    </row>
    <row r="170" spans="1:65" s="5" customFormat="1" ht="10.15" customHeight="1" x14ac:dyDescent="0.2">
      <c r="B170" s="177"/>
      <c r="C170" s="16"/>
      <c r="D170" s="178" t="s">
        <v>340</v>
      </c>
      <c r="E170" s="16"/>
      <c r="F170" s="179" t="s">
        <v>1211</v>
      </c>
      <c r="G170" s="180"/>
      <c r="H170" s="16"/>
      <c r="I170" s="16"/>
      <c r="J170" s="16"/>
      <c r="K170" s="181"/>
      <c r="R170" s="129"/>
      <c r="AQ170" s="126" t="s">
        <v>148</v>
      </c>
      <c r="AR170" s="126" t="s">
        <v>74</v>
      </c>
    </row>
    <row r="171" spans="1:65" s="5" customFormat="1" ht="16.5" customHeight="1" x14ac:dyDescent="0.2">
      <c r="A171" s="105"/>
      <c r="B171" s="140"/>
      <c r="C171" s="33" t="s">
        <v>7</v>
      </c>
      <c r="D171" s="33" t="s">
        <v>131</v>
      </c>
      <c r="E171" s="34" t="s">
        <v>1097</v>
      </c>
      <c r="F171" s="7" t="s">
        <v>1098</v>
      </c>
      <c r="G171" s="35" t="s">
        <v>134</v>
      </c>
      <c r="H171" s="36">
        <v>355.16300000000001</v>
      </c>
      <c r="I171" s="1"/>
      <c r="J171" s="6">
        <f>ROUND(I171*H171,2)</f>
        <v>0</v>
      </c>
      <c r="K171" s="151" t="s">
        <v>1</v>
      </c>
      <c r="L171" s="17"/>
      <c r="M171" s="8" t="s">
        <v>1</v>
      </c>
      <c r="N171" s="9" t="s">
        <v>33</v>
      </c>
      <c r="O171" s="10">
        <v>0</v>
      </c>
      <c r="P171" s="10">
        <f>O171*H171</f>
        <v>0</v>
      </c>
      <c r="Q171" s="10">
        <v>0</v>
      </c>
      <c r="R171" s="10">
        <f>Q171*H171</f>
        <v>0</v>
      </c>
      <c r="S171" s="10">
        <v>0</v>
      </c>
      <c r="T171" s="11">
        <f>S171*H171</f>
        <v>0</v>
      </c>
      <c r="U171" s="105"/>
      <c r="V171" s="105"/>
      <c r="W171" s="105"/>
      <c r="X171" s="105"/>
      <c r="Y171" s="105"/>
      <c r="Z171" s="105"/>
      <c r="AA171" s="105"/>
      <c r="AB171" s="105"/>
      <c r="AC171" s="105"/>
      <c r="AD171" s="105"/>
      <c r="AE171" s="105"/>
      <c r="AR171" s="12" t="s">
        <v>135</v>
      </c>
      <c r="AT171" s="12" t="s">
        <v>131</v>
      </c>
      <c r="AU171" s="12" t="s">
        <v>74</v>
      </c>
      <c r="AY171" s="13" t="s">
        <v>130</v>
      </c>
      <c r="BE171" s="14">
        <f>IF(N171="základní",J171,0)</f>
        <v>0</v>
      </c>
      <c r="BF171" s="14">
        <f>IF(N171="snížená",J171,0)</f>
        <v>0</v>
      </c>
      <c r="BG171" s="14">
        <f>IF(N171="zákl. přenesená",J171,0)</f>
        <v>0</v>
      </c>
      <c r="BH171" s="14">
        <f>IF(N171="sníž. přenesená",J171,0)</f>
        <v>0</v>
      </c>
      <c r="BI171" s="14">
        <f>IF(N171="nulová",J171,0)</f>
        <v>0</v>
      </c>
      <c r="BJ171" s="13" t="s">
        <v>74</v>
      </c>
      <c r="BK171" s="14">
        <f>ROUND(I171*H171,2)</f>
        <v>0</v>
      </c>
      <c r="BL171" s="13" t="s">
        <v>135</v>
      </c>
      <c r="BM171" s="12" t="s">
        <v>205</v>
      </c>
    </row>
    <row r="172" spans="1:65" s="5" customFormat="1" ht="16.5" customHeight="1" x14ac:dyDescent="0.2">
      <c r="A172" s="105"/>
      <c r="B172" s="140"/>
      <c r="C172" s="33" t="s">
        <v>174</v>
      </c>
      <c r="D172" s="33" t="s">
        <v>131</v>
      </c>
      <c r="E172" s="34" t="s">
        <v>1099</v>
      </c>
      <c r="F172" s="7" t="s">
        <v>1100</v>
      </c>
      <c r="G172" s="35" t="s">
        <v>134</v>
      </c>
      <c r="H172" s="36">
        <v>177.58199999999999</v>
      </c>
      <c r="I172" s="1"/>
      <c r="J172" s="6">
        <f>ROUND(I172*H172,2)</f>
        <v>0</v>
      </c>
      <c r="K172" s="151" t="s">
        <v>1</v>
      </c>
      <c r="L172" s="17"/>
      <c r="M172" s="8" t="s">
        <v>1</v>
      </c>
      <c r="N172" s="9" t="s">
        <v>33</v>
      </c>
      <c r="O172" s="10">
        <v>0</v>
      </c>
      <c r="P172" s="10">
        <f>O172*H172</f>
        <v>0</v>
      </c>
      <c r="Q172" s="10">
        <v>0</v>
      </c>
      <c r="R172" s="10">
        <f>Q172*H172</f>
        <v>0</v>
      </c>
      <c r="S172" s="10">
        <v>0</v>
      </c>
      <c r="T172" s="11">
        <f>S172*H172</f>
        <v>0</v>
      </c>
      <c r="U172" s="105"/>
      <c r="V172" s="105"/>
      <c r="W172" s="105"/>
      <c r="X172" s="105"/>
      <c r="Y172" s="105"/>
      <c r="Z172" s="105"/>
      <c r="AA172" s="105"/>
      <c r="AB172" s="105"/>
      <c r="AC172" s="105"/>
      <c r="AD172" s="105"/>
      <c r="AE172" s="105"/>
      <c r="AR172" s="12" t="s">
        <v>135</v>
      </c>
      <c r="AT172" s="12" t="s">
        <v>131</v>
      </c>
      <c r="AU172" s="12" t="s">
        <v>74</v>
      </c>
      <c r="AY172" s="13" t="s">
        <v>130</v>
      </c>
      <c r="BE172" s="14">
        <f>IF(N172="základní",J172,0)</f>
        <v>0</v>
      </c>
      <c r="BF172" s="14">
        <f>IF(N172="snížená",J172,0)</f>
        <v>0</v>
      </c>
      <c r="BG172" s="14">
        <f>IF(N172="zákl. přenesená",J172,0)</f>
        <v>0</v>
      </c>
      <c r="BH172" s="14">
        <f>IF(N172="sníž. přenesená",J172,0)</f>
        <v>0</v>
      </c>
      <c r="BI172" s="14">
        <f>IF(N172="nulová",J172,0)</f>
        <v>0</v>
      </c>
      <c r="BJ172" s="13" t="s">
        <v>74</v>
      </c>
      <c r="BK172" s="14">
        <f>ROUND(I172*H172,2)</f>
        <v>0</v>
      </c>
      <c r="BL172" s="13" t="s">
        <v>135</v>
      </c>
      <c r="BM172" s="12" t="s">
        <v>206</v>
      </c>
    </row>
    <row r="173" spans="1:65" s="5" customFormat="1" ht="19.5" x14ac:dyDescent="0.2">
      <c r="A173" s="105"/>
      <c r="B173" s="140"/>
      <c r="C173" s="17"/>
      <c r="D173" s="141" t="s">
        <v>148</v>
      </c>
      <c r="E173" s="17"/>
      <c r="F173" s="142" t="s">
        <v>1101</v>
      </c>
      <c r="G173" s="17"/>
      <c r="H173" s="17"/>
      <c r="I173" s="17"/>
      <c r="J173" s="17"/>
      <c r="K173" s="143"/>
      <c r="L173" s="17"/>
      <c r="M173" s="15"/>
      <c r="N173" s="16"/>
      <c r="O173" s="17"/>
      <c r="P173" s="17"/>
      <c r="Q173" s="17"/>
      <c r="R173" s="17"/>
      <c r="S173" s="17"/>
      <c r="T173" s="18"/>
      <c r="U173" s="105"/>
      <c r="V173" s="105"/>
      <c r="W173" s="105"/>
      <c r="X173" s="105"/>
      <c r="Y173" s="105"/>
      <c r="Z173" s="105"/>
      <c r="AA173" s="105"/>
      <c r="AB173" s="105"/>
      <c r="AC173" s="105"/>
      <c r="AD173" s="105"/>
      <c r="AE173" s="105"/>
      <c r="AT173" s="13" t="s">
        <v>148</v>
      </c>
      <c r="AU173" s="13" t="s">
        <v>74</v>
      </c>
    </row>
    <row r="174" spans="1:65" s="5" customFormat="1" ht="16.5" customHeight="1" x14ac:dyDescent="0.2">
      <c r="A174" s="105"/>
      <c r="B174" s="140"/>
      <c r="C174" s="33" t="s">
        <v>209</v>
      </c>
      <c r="D174" s="33" t="s">
        <v>131</v>
      </c>
      <c r="E174" s="34" t="s">
        <v>1102</v>
      </c>
      <c r="F174" s="7" t="s">
        <v>1103</v>
      </c>
      <c r="G174" s="35" t="s">
        <v>134</v>
      </c>
      <c r="H174" s="36">
        <v>177.58199999999999</v>
      </c>
      <c r="I174" s="1"/>
      <c r="J174" s="6">
        <f>ROUND(I174*H174,2)</f>
        <v>0</v>
      </c>
      <c r="K174" s="151" t="s">
        <v>1</v>
      </c>
      <c r="L174" s="17"/>
      <c r="M174" s="8" t="s">
        <v>1</v>
      </c>
      <c r="N174" s="9" t="s">
        <v>33</v>
      </c>
      <c r="O174" s="10">
        <v>0</v>
      </c>
      <c r="P174" s="10">
        <f>O174*H174</f>
        <v>0</v>
      </c>
      <c r="Q174" s="10">
        <v>0</v>
      </c>
      <c r="R174" s="10">
        <f>Q174*H174</f>
        <v>0</v>
      </c>
      <c r="S174" s="10">
        <v>0</v>
      </c>
      <c r="T174" s="11">
        <f>S174*H174</f>
        <v>0</v>
      </c>
      <c r="U174" s="105"/>
      <c r="V174" s="105"/>
      <c r="W174" s="105"/>
      <c r="X174" s="105"/>
      <c r="Y174" s="105"/>
      <c r="Z174" s="105"/>
      <c r="AA174" s="105"/>
      <c r="AB174" s="105"/>
      <c r="AC174" s="105"/>
      <c r="AD174" s="105"/>
      <c r="AE174" s="105"/>
      <c r="AR174" s="12" t="s">
        <v>135</v>
      </c>
      <c r="AT174" s="12" t="s">
        <v>131</v>
      </c>
      <c r="AU174" s="12" t="s">
        <v>74</v>
      </c>
      <c r="AY174" s="13" t="s">
        <v>130</v>
      </c>
      <c r="BE174" s="14">
        <f>IF(N174="základní",J174,0)</f>
        <v>0</v>
      </c>
      <c r="BF174" s="14">
        <f>IF(N174="snížená",J174,0)</f>
        <v>0</v>
      </c>
      <c r="BG174" s="14">
        <f>IF(N174="zákl. přenesená",J174,0)</f>
        <v>0</v>
      </c>
      <c r="BH174" s="14">
        <f>IF(N174="sníž. přenesená",J174,0)</f>
        <v>0</v>
      </c>
      <c r="BI174" s="14">
        <f>IF(N174="nulová",J174,0)</f>
        <v>0</v>
      </c>
      <c r="BJ174" s="13" t="s">
        <v>74</v>
      </c>
      <c r="BK174" s="14">
        <f>ROUND(I174*H174,2)</f>
        <v>0</v>
      </c>
      <c r="BL174" s="13" t="s">
        <v>135</v>
      </c>
      <c r="BM174" s="12" t="s">
        <v>210</v>
      </c>
    </row>
    <row r="175" spans="1:65" s="5" customFormat="1" ht="19.5" x14ac:dyDescent="0.2">
      <c r="A175" s="105"/>
      <c r="B175" s="140"/>
      <c r="C175" s="17"/>
      <c r="D175" s="141" t="s">
        <v>148</v>
      </c>
      <c r="E175" s="17"/>
      <c r="F175" s="142" t="s">
        <v>1101</v>
      </c>
      <c r="G175" s="17"/>
      <c r="H175" s="17"/>
      <c r="I175" s="17"/>
      <c r="J175" s="17"/>
      <c r="K175" s="143"/>
      <c r="L175" s="17"/>
      <c r="M175" s="15"/>
      <c r="N175" s="16"/>
      <c r="O175" s="17"/>
      <c r="P175" s="17"/>
      <c r="Q175" s="17"/>
      <c r="R175" s="17"/>
      <c r="S175" s="17"/>
      <c r="T175" s="18"/>
      <c r="U175" s="105"/>
      <c r="V175" s="105"/>
      <c r="W175" s="105"/>
      <c r="X175" s="105"/>
      <c r="Y175" s="105"/>
      <c r="Z175" s="105"/>
      <c r="AA175" s="105"/>
      <c r="AB175" s="105"/>
      <c r="AC175" s="105"/>
      <c r="AD175" s="105"/>
      <c r="AE175" s="105"/>
      <c r="AT175" s="13" t="s">
        <v>148</v>
      </c>
      <c r="AU175" s="13" t="s">
        <v>74</v>
      </c>
    </row>
    <row r="176" spans="1:65" s="5" customFormat="1" ht="16.5" customHeight="1" x14ac:dyDescent="0.2">
      <c r="A176" s="105"/>
      <c r="B176" s="140"/>
      <c r="C176" s="33" t="s">
        <v>177</v>
      </c>
      <c r="D176" s="33" t="s">
        <v>131</v>
      </c>
      <c r="E176" s="34" t="s">
        <v>1104</v>
      </c>
      <c r="F176" s="7" t="s">
        <v>1105</v>
      </c>
      <c r="G176" s="35" t="s">
        <v>333</v>
      </c>
      <c r="H176" s="36">
        <v>131.88</v>
      </c>
      <c r="I176" s="1"/>
      <c r="J176" s="6">
        <f>ROUND(I176*H176,2)</f>
        <v>0</v>
      </c>
      <c r="K176" s="151" t="s">
        <v>1</v>
      </c>
      <c r="L176" s="17"/>
      <c r="M176" s="8" t="s">
        <v>1</v>
      </c>
      <c r="N176" s="9" t="s">
        <v>33</v>
      </c>
      <c r="O176" s="10">
        <v>0</v>
      </c>
      <c r="P176" s="10">
        <f>O176*H176</f>
        <v>0</v>
      </c>
      <c r="Q176" s="10">
        <v>0</v>
      </c>
      <c r="R176" s="10">
        <f>Q176*H176</f>
        <v>0</v>
      </c>
      <c r="S176" s="10">
        <v>0</v>
      </c>
      <c r="T176" s="11">
        <f>S176*H176</f>
        <v>0</v>
      </c>
      <c r="U176" s="105"/>
      <c r="V176" s="105"/>
      <c r="W176" s="105"/>
      <c r="X176" s="105"/>
      <c r="Y176" s="105"/>
      <c r="Z176" s="105"/>
      <c r="AA176" s="105"/>
      <c r="AB176" s="105"/>
      <c r="AC176" s="105"/>
      <c r="AD176" s="105"/>
      <c r="AE176" s="105"/>
      <c r="AR176" s="12" t="s">
        <v>135</v>
      </c>
      <c r="AT176" s="12" t="s">
        <v>131</v>
      </c>
      <c r="AU176" s="12" t="s">
        <v>74</v>
      </c>
      <c r="AY176" s="13" t="s">
        <v>130</v>
      </c>
      <c r="BE176" s="14">
        <f>IF(N176="základní",J176,0)</f>
        <v>0</v>
      </c>
      <c r="BF176" s="14">
        <f>IF(N176="snížená",J176,0)</f>
        <v>0</v>
      </c>
      <c r="BG176" s="14">
        <f>IF(N176="zákl. přenesená",J176,0)</f>
        <v>0</v>
      </c>
      <c r="BH176" s="14">
        <f>IF(N176="sníž. přenesená",J176,0)</f>
        <v>0</v>
      </c>
      <c r="BI176" s="14">
        <f>IF(N176="nulová",J176,0)</f>
        <v>0</v>
      </c>
      <c r="BJ176" s="13" t="s">
        <v>74</v>
      </c>
      <c r="BK176" s="14">
        <f>ROUND(I176*H176,2)</f>
        <v>0</v>
      </c>
      <c r="BL176" s="13" t="s">
        <v>135</v>
      </c>
      <c r="BM176" s="12" t="s">
        <v>211</v>
      </c>
    </row>
    <row r="177" spans="1:65" s="152" customFormat="1" x14ac:dyDescent="0.2">
      <c r="B177" s="153"/>
      <c r="C177" s="154"/>
      <c r="D177" s="141" t="s">
        <v>340</v>
      </c>
      <c r="E177" s="155" t="s">
        <v>1</v>
      </c>
      <c r="F177" s="156" t="s">
        <v>1130</v>
      </c>
      <c r="G177" s="154"/>
      <c r="H177" s="157"/>
      <c r="I177" s="154"/>
      <c r="J177" s="154"/>
      <c r="K177" s="158"/>
      <c r="L177" s="154"/>
      <c r="M177" s="159"/>
      <c r="N177" s="154"/>
      <c r="O177" s="154"/>
      <c r="P177" s="154"/>
      <c r="Q177" s="154"/>
      <c r="R177" s="154"/>
      <c r="S177" s="154"/>
      <c r="T177" s="160"/>
      <c r="AT177" s="161" t="s">
        <v>340</v>
      </c>
      <c r="AU177" s="161" t="s">
        <v>74</v>
      </c>
      <c r="AV177" s="152" t="s">
        <v>76</v>
      </c>
      <c r="AW177" s="152" t="s">
        <v>25</v>
      </c>
      <c r="AX177" s="152" t="s">
        <v>68</v>
      </c>
      <c r="AY177" s="161" t="s">
        <v>130</v>
      </c>
    </row>
    <row r="178" spans="1:65" s="162" customFormat="1" x14ac:dyDescent="0.2">
      <c r="B178" s="163"/>
      <c r="C178" s="164"/>
      <c r="D178" s="141" t="s">
        <v>340</v>
      </c>
      <c r="E178" s="165" t="s">
        <v>1</v>
      </c>
      <c r="F178" s="166" t="s">
        <v>342</v>
      </c>
      <c r="G178" s="164"/>
      <c r="H178" s="167">
        <v>131.88</v>
      </c>
      <c r="I178" s="164"/>
      <c r="J178" s="164"/>
      <c r="K178" s="168"/>
      <c r="L178" s="164"/>
      <c r="M178" s="169"/>
      <c r="N178" s="164"/>
      <c r="O178" s="164"/>
      <c r="P178" s="164"/>
      <c r="Q178" s="164"/>
      <c r="R178" s="164"/>
      <c r="S178" s="164"/>
      <c r="T178" s="170"/>
      <c r="AT178" s="171" t="s">
        <v>340</v>
      </c>
      <c r="AU178" s="171" t="s">
        <v>74</v>
      </c>
      <c r="AV178" s="162" t="s">
        <v>135</v>
      </c>
      <c r="AW178" s="162" t="s">
        <v>25</v>
      </c>
      <c r="AX178" s="162" t="s">
        <v>74</v>
      </c>
      <c r="AY178" s="171" t="s">
        <v>130</v>
      </c>
    </row>
    <row r="179" spans="1:65" s="5" customFormat="1" ht="16.5" customHeight="1" x14ac:dyDescent="0.2">
      <c r="A179" s="105"/>
      <c r="B179" s="140"/>
      <c r="C179" s="33" t="s">
        <v>214</v>
      </c>
      <c r="D179" s="33" t="s">
        <v>131</v>
      </c>
      <c r="E179" s="34" t="s">
        <v>1107</v>
      </c>
      <c r="F179" s="7" t="s">
        <v>1108</v>
      </c>
      <c r="G179" s="35" t="s">
        <v>134</v>
      </c>
      <c r="H179" s="36">
        <v>106.54900000000001</v>
      </c>
      <c r="I179" s="1"/>
      <c r="J179" s="6">
        <f>ROUND(I179*H179,2)</f>
        <v>0</v>
      </c>
      <c r="K179" s="151" t="s">
        <v>1</v>
      </c>
      <c r="L179" s="17"/>
      <c r="M179" s="8" t="s">
        <v>1</v>
      </c>
      <c r="N179" s="9" t="s">
        <v>33</v>
      </c>
      <c r="O179" s="10">
        <v>0</v>
      </c>
      <c r="P179" s="10">
        <f>O179*H179</f>
        <v>0</v>
      </c>
      <c r="Q179" s="10">
        <v>0</v>
      </c>
      <c r="R179" s="10">
        <f>Q179*H179</f>
        <v>0</v>
      </c>
      <c r="S179" s="10">
        <v>0</v>
      </c>
      <c r="T179" s="11">
        <f>S179*H179</f>
        <v>0</v>
      </c>
      <c r="U179" s="105"/>
      <c r="V179" s="105"/>
      <c r="W179" s="105"/>
      <c r="X179" s="105"/>
      <c r="Y179" s="105"/>
      <c r="Z179" s="105"/>
      <c r="AA179" s="105"/>
      <c r="AB179" s="105"/>
      <c r="AC179" s="105"/>
      <c r="AD179" s="105"/>
      <c r="AE179" s="105"/>
      <c r="AR179" s="12" t="s">
        <v>135</v>
      </c>
      <c r="AT179" s="12" t="s">
        <v>131</v>
      </c>
      <c r="AU179" s="12" t="s">
        <v>74</v>
      </c>
      <c r="AY179" s="13" t="s">
        <v>130</v>
      </c>
      <c r="BE179" s="14">
        <f>IF(N179="základní",J179,0)</f>
        <v>0</v>
      </c>
      <c r="BF179" s="14">
        <f>IF(N179="snížená",J179,0)</f>
        <v>0</v>
      </c>
      <c r="BG179" s="14">
        <f>IF(N179="zákl. přenesená",J179,0)</f>
        <v>0</v>
      </c>
      <c r="BH179" s="14">
        <f>IF(N179="sníž. přenesená",J179,0)</f>
        <v>0</v>
      </c>
      <c r="BI179" s="14">
        <f>IF(N179="nulová",J179,0)</f>
        <v>0</v>
      </c>
      <c r="BJ179" s="13" t="s">
        <v>74</v>
      </c>
      <c r="BK179" s="14">
        <f>ROUND(I179*H179,2)</f>
        <v>0</v>
      </c>
      <c r="BL179" s="13" t="s">
        <v>135</v>
      </c>
      <c r="BM179" s="12" t="s">
        <v>215</v>
      </c>
    </row>
    <row r="180" spans="1:65" s="5" customFormat="1" ht="19.5" x14ac:dyDescent="0.2">
      <c r="A180" s="105"/>
      <c r="B180" s="140"/>
      <c r="C180" s="17"/>
      <c r="D180" s="141" t="s">
        <v>148</v>
      </c>
      <c r="E180" s="17"/>
      <c r="F180" s="142" t="s">
        <v>1109</v>
      </c>
      <c r="G180" s="17"/>
      <c r="H180" s="17"/>
      <c r="I180" s="17"/>
      <c r="J180" s="17"/>
      <c r="K180" s="143"/>
      <c r="L180" s="17"/>
      <c r="M180" s="15"/>
      <c r="N180" s="16"/>
      <c r="O180" s="17"/>
      <c r="P180" s="17"/>
      <c r="Q180" s="17"/>
      <c r="R180" s="17"/>
      <c r="S180" s="17"/>
      <c r="T180" s="18"/>
      <c r="U180" s="105"/>
      <c r="V180" s="105"/>
      <c r="W180" s="105"/>
      <c r="X180" s="105"/>
      <c r="Y180" s="105"/>
      <c r="Z180" s="105"/>
      <c r="AA180" s="105"/>
      <c r="AB180" s="105"/>
      <c r="AC180" s="105"/>
      <c r="AD180" s="105"/>
      <c r="AE180" s="105"/>
      <c r="AT180" s="13" t="s">
        <v>148</v>
      </c>
      <c r="AU180" s="13" t="s">
        <v>74</v>
      </c>
    </row>
    <row r="181" spans="1:65" s="5" customFormat="1" ht="16.5" customHeight="1" x14ac:dyDescent="0.2">
      <c r="A181" s="105"/>
      <c r="B181" s="140"/>
      <c r="C181" s="33" t="s">
        <v>180</v>
      </c>
      <c r="D181" s="33" t="s">
        <v>131</v>
      </c>
      <c r="E181" s="34" t="s">
        <v>1110</v>
      </c>
      <c r="F181" s="7" t="s">
        <v>1111</v>
      </c>
      <c r="G181" s="35" t="s">
        <v>134</v>
      </c>
      <c r="H181" s="36">
        <v>177.58199999999999</v>
      </c>
      <c r="I181" s="1"/>
      <c r="J181" s="6">
        <f>ROUND(I181*H181,2)</f>
        <v>0</v>
      </c>
      <c r="K181" s="151" t="s">
        <v>1</v>
      </c>
      <c r="L181" s="17"/>
      <c r="M181" s="8" t="s">
        <v>1</v>
      </c>
      <c r="N181" s="9" t="s">
        <v>33</v>
      </c>
      <c r="O181" s="10">
        <v>0</v>
      </c>
      <c r="P181" s="10">
        <f>O181*H181</f>
        <v>0</v>
      </c>
      <c r="Q181" s="10">
        <v>0</v>
      </c>
      <c r="R181" s="10">
        <f>Q181*H181</f>
        <v>0</v>
      </c>
      <c r="S181" s="10">
        <v>0</v>
      </c>
      <c r="T181" s="11">
        <f>S181*H181</f>
        <v>0</v>
      </c>
      <c r="U181" s="105"/>
      <c r="V181" s="105"/>
      <c r="W181" s="105"/>
      <c r="X181" s="105"/>
      <c r="Y181" s="105"/>
      <c r="Z181" s="105"/>
      <c r="AA181" s="105"/>
      <c r="AB181" s="105"/>
      <c r="AC181" s="105"/>
      <c r="AD181" s="105"/>
      <c r="AE181" s="105"/>
      <c r="AR181" s="12" t="s">
        <v>135</v>
      </c>
      <c r="AT181" s="12" t="s">
        <v>131</v>
      </c>
      <c r="AU181" s="12" t="s">
        <v>74</v>
      </c>
      <c r="AY181" s="13" t="s">
        <v>130</v>
      </c>
      <c r="BE181" s="14">
        <f>IF(N181="základní",J181,0)</f>
        <v>0</v>
      </c>
      <c r="BF181" s="14">
        <f>IF(N181="snížená",J181,0)</f>
        <v>0</v>
      </c>
      <c r="BG181" s="14">
        <f>IF(N181="zákl. přenesená",J181,0)</f>
        <v>0</v>
      </c>
      <c r="BH181" s="14">
        <f>IF(N181="sníž. přenesená",J181,0)</f>
        <v>0</v>
      </c>
      <c r="BI181" s="14">
        <f>IF(N181="nulová",J181,0)</f>
        <v>0</v>
      </c>
      <c r="BJ181" s="13" t="s">
        <v>74</v>
      </c>
      <c r="BK181" s="14">
        <f>ROUND(I181*H181,2)</f>
        <v>0</v>
      </c>
      <c r="BL181" s="13" t="s">
        <v>135</v>
      </c>
      <c r="BM181" s="12" t="s">
        <v>216</v>
      </c>
    </row>
    <row r="182" spans="1:65" s="5" customFormat="1" ht="19.5" x14ac:dyDescent="0.2">
      <c r="A182" s="105"/>
      <c r="B182" s="140"/>
      <c r="C182" s="17"/>
      <c r="D182" s="141" t="s">
        <v>148</v>
      </c>
      <c r="E182" s="17"/>
      <c r="F182" s="142" t="s">
        <v>1101</v>
      </c>
      <c r="G182" s="17"/>
      <c r="H182" s="17"/>
      <c r="I182" s="17"/>
      <c r="J182" s="17"/>
      <c r="K182" s="143"/>
      <c r="L182" s="17"/>
      <c r="M182" s="15"/>
      <c r="N182" s="16"/>
      <c r="O182" s="17"/>
      <c r="P182" s="17"/>
      <c r="Q182" s="17"/>
      <c r="R182" s="17"/>
      <c r="S182" s="17"/>
      <c r="T182" s="18"/>
      <c r="U182" s="105"/>
      <c r="V182" s="105"/>
      <c r="W182" s="105"/>
      <c r="X182" s="105"/>
      <c r="Y182" s="105"/>
      <c r="Z182" s="105"/>
      <c r="AA182" s="105"/>
      <c r="AB182" s="105"/>
      <c r="AC182" s="105"/>
      <c r="AD182" s="105"/>
      <c r="AE182" s="105"/>
      <c r="AT182" s="13" t="s">
        <v>148</v>
      </c>
      <c r="AU182" s="13" t="s">
        <v>74</v>
      </c>
    </row>
    <row r="183" spans="1:65" s="5" customFormat="1" ht="16.5" customHeight="1" x14ac:dyDescent="0.2">
      <c r="A183" s="105"/>
      <c r="B183" s="140"/>
      <c r="C183" s="33" t="s">
        <v>217</v>
      </c>
      <c r="D183" s="33" t="s">
        <v>131</v>
      </c>
      <c r="E183" s="34" t="s">
        <v>1112</v>
      </c>
      <c r="F183" s="7" t="s">
        <v>1113</v>
      </c>
      <c r="G183" s="35" t="s">
        <v>134</v>
      </c>
      <c r="H183" s="36">
        <v>106.54900000000001</v>
      </c>
      <c r="I183" s="1"/>
      <c r="J183" s="6">
        <f>ROUND(I183*H183,2)</f>
        <v>0</v>
      </c>
      <c r="K183" s="151" t="s">
        <v>1</v>
      </c>
      <c r="L183" s="17"/>
      <c r="M183" s="8" t="s">
        <v>1</v>
      </c>
      <c r="N183" s="9" t="s">
        <v>33</v>
      </c>
      <c r="O183" s="10">
        <v>0</v>
      </c>
      <c r="P183" s="10">
        <f>O183*H183</f>
        <v>0</v>
      </c>
      <c r="Q183" s="10">
        <v>0</v>
      </c>
      <c r="R183" s="10">
        <f>Q183*H183</f>
        <v>0</v>
      </c>
      <c r="S183" s="10">
        <v>0</v>
      </c>
      <c r="T183" s="11">
        <f>S183*H183</f>
        <v>0</v>
      </c>
      <c r="U183" s="105"/>
      <c r="V183" s="105"/>
      <c r="W183" s="105"/>
      <c r="X183" s="105"/>
      <c r="Y183" s="105"/>
      <c r="Z183" s="105"/>
      <c r="AA183" s="105"/>
      <c r="AB183" s="105"/>
      <c r="AC183" s="105"/>
      <c r="AD183" s="105"/>
      <c r="AE183" s="105"/>
      <c r="AR183" s="12" t="s">
        <v>135</v>
      </c>
      <c r="AT183" s="12" t="s">
        <v>131</v>
      </c>
      <c r="AU183" s="12" t="s">
        <v>74</v>
      </c>
      <c r="AY183" s="13" t="s">
        <v>130</v>
      </c>
      <c r="BE183" s="14">
        <f>IF(N183="základní",J183,0)</f>
        <v>0</v>
      </c>
      <c r="BF183" s="14">
        <f>IF(N183="snížená",J183,0)</f>
        <v>0</v>
      </c>
      <c r="BG183" s="14">
        <f>IF(N183="zákl. přenesená",J183,0)</f>
        <v>0</v>
      </c>
      <c r="BH183" s="14">
        <f>IF(N183="sníž. přenesená",J183,0)</f>
        <v>0</v>
      </c>
      <c r="BI183" s="14">
        <f>IF(N183="nulová",J183,0)</f>
        <v>0</v>
      </c>
      <c r="BJ183" s="13" t="s">
        <v>74</v>
      </c>
      <c r="BK183" s="14">
        <f>ROUND(I183*H183,2)</f>
        <v>0</v>
      </c>
      <c r="BL183" s="13" t="s">
        <v>135</v>
      </c>
      <c r="BM183" s="12" t="s">
        <v>219</v>
      </c>
    </row>
    <row r="184" spans="1:65" s="5" customFormat="1" ht="19.5" x14ac:dyDescent="0.2">
      <c r="A184" s="105"/>
      <c r="B184" s="140"/>
      <c r="C184" s="17"/>
      <c r="D184" s="141" t="s">
        <v>148</v>
      </c>
      <c r="E184" s="17"/>
      <c r="F184" s="142" t="s">
        <v>1109</v>
      </c>
      <c r="G184" s="17"/>
      <c r="H184" s="17"/>
      <c r="I184" s="17"/>
      <c r="J184" s="17"/>
      <c r="K184" s="143"/>
      <c r="L184" s="17"/>
      <c r="M184" s="15"/>
      <c r="N184" s="16"/>
      <c r="O184" s="17"/>
      <c r="P184" s="17"/>
      <c r="Q184" s="17"/>
      <c r="R184" s="17"/>
      <c r="S184" s="17"/>
      <c r="T184" s="18"/>
      <c r="U184" s="105"/>
      <c r="V184" s="105"/>
      <c r="W184" s="105"/>
      <c r="X184" s="105"/>
      <c r="Y184" s="105"/>
      <c r="Z184" s="105"/>
      <c r="AA184" s="105"/>
      <c r="AB184" s="105"/>
      <c r="AC184" s="105"/>
      <c r="AD184" s="105"/>
      <c r="AE184" s="105"/>
      <c r="AT184" s="13" t="s">
        <v>148</v>
      </c>
      <c r="AU184" s="13" t="s">
        <v>74</v>
      </c>
    </row>
    <row r="185" spans="1:65" s="5" customFormat="1" ht="16.5" customHeight="1" x14ac:dyDescent="0.2">
      <c r="A185" s="105"/>
      <c r="B185" s="140"/>
      <c r="C185" s="33" t="s">
        <v>183</v>
      </c>
      <c r="D185" s="33" t="s">
        <v>131</v>
      </c>
      <c r="E185" s="34" t="s">
        <v>1114</v>
      </c>
      <c r="F185" s="7" t="s">
        <v>1115</v>
      </c>
      <c r="G185" s="35" t="s">
        <v>134</v>
      </c>
      <c r="H185" s="36">
        <v>355.16300000000001</v>
      </c>
      <c r="I185" s="1"/>
      <c r="J185" s="6">
        <f>ROUND(I185*H185,2)</f>
        <v>0</v>
      </c>
      <c r="K185" s="151" t="s">
        <v>1</v>
      </c>
      <c r="L185" s="17"/>
      <c r="M185" s="8" t="s">
        <v>1</v>
      </c>
      <c r="N185" s="9" t="s">
        <v>33</v>
      </c>
      <c r="O185" s="10">
        <v>0</v>
      </c>
      <c r="P185" s="10">
        <f>O185*H185</f>
        <v>0</v>
      </c>
      <c r="Q185" s="10">
        <v>0</v>
      </c>
      <c r="R185" s="10">
        <f>Q185*H185</f>
        <v>0</v>
      </c>
      <c r="S185" s="10">
        <v>0</v>
      </c>
      <c r="T185" s="11">
        <f>S185*H185</f>
        <v>0</v>
      </c>
      <c r="U185" s="105"/>
      <c r="V185" s="105"/>
      <c r="W185" s="105"/>
      <c r="X185" s="105"/>
      <c r="Y185" s="105"/>
      <c r="Z185" s="105"/>
      <c r="AA185" s="105"/>
      <c r="AB185" s="105"/>
      <c r="AC185" s="105"/>
      <c r="AD185" s="105"/>
      <c r="AE185" s="105"/>
      <c r="AR185" s="12" t="s">
        <v>135</v>
      </c>
      <c r="AT185" s="12" t="s">
        <v>131</v>
      </c>
      <c r="AU185" s="12" t="s">
        <v>74</v>
      </c>
      <c r="AY185" s="13" t="s">
        <v>130</v>
      </c>
      <c r="BE185" s="14">
        <f>IF(N185="základní",J185,0)</f>
        <v>0</v>
      </c>
      <c r="BF185" s="14">
        <f>IF(N185="snížená",J185,0)</f>
        <v>0</v>
      </c>
      <c r="BG185" s="14">
        <f>IF(N185="zákl. přenesená",J185,0)</f>
        <v>0</v>
      </c>
      <c r="BH185" s="14">
        <f>IF(N185="sníž. přenesená",J185,0)</f>
        <v>0</v>
      </c>
      <c r="BI185" s="14">
        <f>IF(N185="nulová",J185,0)</f>
        <v>0</v>
      </c>
      <c r="BJ185" s="13" t="s">
        <v>74</v>
      </c>
      <c r="BK185" s="14">
        <f>ROUND(I185*H185,2)</f>
        <v>0</v>
      </c>
      <c r="BL185" s="13" t="s">
        <v>135</v>
      </c>
      <c r="BM185" s="12" t="s">
        <v>222</v>
      </c>
    </row>
    <row r="186" spans="1:65" s="5" customFormat="1" ht="19.5" x14ac:dyDescent="0.2">
      <c r="A186" s="105"/>
      <c r="B186" s="140"/>
      <c r="C186" s="17"/>
      <c r="D186" s="141" t="s">
        <v>148</v>
      </c>
      <c r="E186" s="17"/>
      <c r="F186" s="142" t="s">
        <v>1116</v>
      </c>
      <c r="G186" s="17"/>
      <c r="H186" s="17"/>
      <c r="I186" s="17"/>
      <c r="J186" s="17"/>
      <c r="K186" s="143"/>
      <c r="L186" s="17"/>
      <c r="M186" s="15"/>
      <c r="N186" s="16"/>
      <c r="O186" s="17"/>
      <c r="P186" s="17"/>
      <c r="Q186" s="17"/>
      <c r="R186" s="17"/>
      <c r="S186" s="17"/>
      <c r="T186" s="18"/>
      <c r="U186" s="105"/>
      <c r="V186" s="105"/>
      <c r="W186" s="105"/>
      <c r="X186" s="105"/>
      <c r="Y186" s="105"/>
      <c r="Z186" s="105"/>
      <c r="AA186" s="105"/>
      <c r="AB186" s="105"/>
      <c r="AC186" s="105"/>
      <c r="AD186" s="105"/>
      <c r="AE186" s="105"/>
      <c r="AT186" s="13" t="s">
        <v>148</v>
      </c>
      <c r="AU186" s="13" t="s">
        <v>74</v>
      </c>
    </row>
    <row r="187" spans="1:65" s="20" customFormat="1" ht="25.9" customHeight="1" x14ac:dyDescent="0.2">
      <c r="B187" s="172"/>
      <c r="C187" s="23"/>
      <c r="D187" s="173" t="s">
        <v>67</v>
      </c>
      <c r="E187" s="174" t="s">
        <v>161</v>
      </c>
      <c r="F187" s="174" t="s">
        <v>1131</v>
      </c>
      <c r="G187" s="23"/>
      <c r="H187" s="23"/>
      <c r="I187" s="23"/>
      <c r="J187" s="175">
        <f>BK187</f>
        <v>0</v>
      </c>
      <c r="K187" s="176"/>
      <c r="L187" s="23"/>
      <c r="M187" s="22"/>
      <c r="N187" s="23"/>
      <c r="O187" s="23"/>
      <c r="P187" s="24">
        <f>SUM(P189:P204)</f>
        <v>0</v>
      </c>
      <c r="Q187" s="23"/>
      <c r="R187" s="24">
        <f>SUM(R189:R204)</f>
        <v>0</v>
      </c>
      <c r="S187" s="23"/>
      <c r="T187" s="25">
        <f>SUM(T189:T204)</f>
        <v>0</v>
      </c>
      <c r="AR187" s="26" t="s">
        <v>74</v>
      </c>
      <c r="AT187" s="27" t="s">
        <v>67</v>
      </c>
      <c r="AU187" s="27" t="s">
        <v>68</v>
      </c>
      <c r="AY187" s="26" t="s">
        <v>130</v>
      </c>
      <c r="BK187" s="28">
        <f>SUM(BK189:BK204)</f>
        <v>0</v>
      </c>
    </row>
    <row r="188" spans="1:65" s="5" customFormat="1" ht="10.15" customHeight="1" x14ac:dyDescent="0.2">
      <c r="B188" s="177"/>
      <c r="C188" s="16"/>
      <c r="D188" s="178" t="s">
        <v>340</v>
      </c>
      <c r="E188" s="16"/>
      <c r="F188" s="179" t="s">
        <v>1212</v>
      </c>
      <c r="G188" s="16"/>
      <c r="H188" s="180">
        <f>(30.68*9.63)-(12*1.1*2.1)-(12*1.1*1.92)+(12*(1.1+2.1)*2*0.17)+(12*(1.1+1.92)*2*0.15)</f>
        <v>266.31240000000003</v>
      </c>
      <c r="I188" s="16"/>
      <c r="J188" s="16"/>
      <c r="K188" s="181"/>
      <c r="R188" s="129"/>
      <c r="AQ188" s="126" t="s">
        <v>148</v>
      </c>
      <c r="AR188" s="126" t="s">
        <v>74</v>
      </c>
    </row>
    <row r="189" spans="1:65" s="5" customFormat="1" ht="16.5" customHeight="1" x14ac:dyDescent="0.2">
      <c r="A189" s="105"/>
      <c r="B189" s="140"/>
      <c r="C189" s="33" t="s">
        <v>223</v>
      </c>
      <c r="D189" s="33" t="s">
        <v>131</v>
      </c>
      <c r="E189" s="34" t="s">
        <v>1097</v>
      </c>
      <c r="F189" s="7" t="s">
        <v>1098</v>
      </c>
      <c r="G189" s="35" t="s">
        <v>134</v>
      </c>
      <c r="H189" s="36">
        <v>266.31200000000001</v>
      </c>
      <c r="I189" s="1"/>
      <c r="J189" s="6">
        <f>ROUND(I189*H189,2)</f>
        <v>0</v>
      </c>
      <c r="K189" s="151" t="s">
        <v>1</v>
      </c>
      <c r="L189" s="17"/>
      <c r="M189" s="8" t="s">
        <v>1</v>
      </c>
      <c r="N189" s="9" t="s">
        <v>33</v>
      </c>
      <c r="O189" s="10">
        <v>0</v>
      </c>
      <c r="P189" s="10">
        <f>O189*H189</f>
        <v>0</v>
      </c>
      <c r="Q189" s="10">
        <v>0</v>
      </c>
      <c r="R189" s="10">
        <f>Q189*H189</f>
        <v>0</v>
      </c>
      <c r="S189" s="10">
        <v>0</v>
      </c>
      <c r="T189" s="11">
        <f>S189*H189</f>
        <v>0</v>
      </c>
      <c r="U189" s="105"/>
      <c r="V189" s="105"/>
      <c r="W189" s="105"/>
      <c r="X189" s="105"/>
      <c r="Y189" s="105"/>
      <c r="Z189" s="105"/>
      <c r="AA189" s="105"/>
      <c r="AB189" s="105"/>
      <c r="AC189" s="105"/>
      <c r="AD189" s="105"/>
      <c r="AE189" s="105"/>
      <c r="AR189" s="12" t="s">
        <v>135</v>
      </c>
      <c r="AT189" s="12" t="s">
        <v>131</v>
      </c>
      <c r="AU189" s="12" t="s">
        <v>74</v>
      </c>
      <c r="AY189" s="13" t="s">
        <v>130</v>
      </c>
      <c r="BE189" s="14">
        <f>IF(N189="základní",J189,0)</f>
        <v>0</v>
      </c>
      <c r="BF189" s="14">
        <f>IF(N189="snížená",J189,0)</f>
        <v>0</v>
      </c>
      <c r="BG189" s="14">
        <f>IF(N189="zákl. přenesená",J189,0)</f>
        <v>0</v>
      </c>
      <c r="BH189" s="14">
        <f>IF(N189="sníž. přenesená",J189,0)</f>
        <v>0</v>
      </c>
      <c r="BI189" s="14">
        <f>IF(N189="nulová",J189,0)</f>
        <v>0</v>
      </c>
      <c r="BJ189" s="13" t="s">
        <v>74</v>
      </c>
      <c r="BK189" s="14">
        <f>ROUND(I189*H189,2)</f>
        <v>0</v>
      </c>
      <c r="BL189" s="13" t="s">
        <v>135</v>
      </c>
      <c r="BM189" s="12" t="s">
        <v>224</v>
      </c>
    </row>
    <row r="190" spans="1:65" s="5" customFormat="1" ht="16.5" customHeight="1" x14ac:dyDescent="0.2">
      <c r="A190" s="105"/>
      <c r="B190" s="140"/>
      <c r="C190" s="33" t="s">
        <v>186</v>
      </c>
      <c r="D190" s="33" t="s">
        <v>131</v>
      </c>
      <c r="E190" s="34" t="s">
        <v>1099</v>
      </c>
      <c r="F190" s="7" t="s">
        <v>1100</v>
      </c>
      <c r="G190" s="35" t="s">
        <v>134</v>
      </c>
      <c r="H190" s="36">
        <v>133.15600000000001</v>
      </c>
      <c r="I190" s="1"/>
      <c r="J190" s="6">
        <f>ROUND(I190*H190,2)</f>
        <v>0</v>
      </c>
      <c r="K190" s="151" t="s">
        <v>1</v>
      </c>
      <c r="L190" s="17"/>
      <c r="M190" s="8" t="s">
        <v>1</v>
      </c>
      <c r="N190" s="9" t="s">
        <v>33</v>
      </c>
      <c r="O190" s="10">
        <v>0</v>
      </c>
      <c r="P190" s="10">
        <f>O190*H190</f>
        <v>0</v>
      </c>
      <c r="Q190" s="10">
        <v>0</v>
      </c>
      <c r="R190" s="10">
        <f>Q190*H190</f>
        <v>0</v>
      </c>
      <c r="S190" s="10">
        <v>0</v>
      </c>
      <c r="T190" s="11">
        <f>S190*H190</f>
        <v>0</v>
      </c>
      <c r="U190" s="105"/>
      <c r="V190" s="105"/>
      <c r="W190" s="105"/>
      <c r="X190" s="105"/>
      <c r="Y190" s="105"/>
      <c r="Z190" s="105"/>
      <c r="AA190" s="105"/>
      <c r="AB190" s="105"/>
      <c r="AC190" s="105"/>
      <c r="AD190" s="105"/>
      <c r="AE190" s="105"/>
      <c r="AR190" s="12" t="s">
        <v>135</v>
      </c>
      <c r="AT190" s="12" t="s">
        <v>131</v>
      </c>
      <c r="AU190" s="12" t="s">
        <v>74</v>
      </c>
      <c r="AY190" s="13" t="s">
        <v>130</v>
      </c>
      <c r="BE190" s="14">
        <f>IF(N190="základní",J190,0)</f>
        <v>0</v>
      </c>
      <c r="BF190" s="14">
        <f>IF(N190="snížená",J190,0)</f>
        <v>0</v>
      </c>
      <c r="BG190" s="14">
        <f>IF(N190="zákl. přenesená",J190,0)</f>
        <v>0</v>
      </c>
      <c r="BH190" s="14">
        <f>IF(N190="sníž. přenesená",J190,0)</f>
        <v>0</v>
      </c>
      <c r="BI190" s="14">
        <f>IF(N190="nulová",J190,0)</f>
        <v>0</v>
      </c>
      <c r="BJ190" s="13" t="s">
        <v>74</v>
      </c>
      <c r="BK190" s="14">
        <f>ROUND(I190*H190,2)</f>
        <v>0</v>
      </c>
      <c r="BL190" s="13" t="s">
        <v>135</v>
      </c>
      <c r="BM190" s="12" t="s">
        <v>225</v>
      </c>
    </row>
    <row r="191" spans="1:65" s="5" customFormat="1" ht="19.5" x14ac:dyDescent="0.2">
      <c r="A191" s="105"/>
      <c r="B191" s="140"/>
      <c r="C191" s="17"/>
      <c r="D191" s="141" t="s">
        <v>148</v>
      </c>
      <c r="E191" s="17"/>
      <c r="F191" s="142" t="s">
        <v>1101</v>
      </c>
      <c r="G191" s="17"/>
      <c r="H191" s="17"/>
      <c r="I191" s="17"/>
      <c r="J191" s="17"/>
      <c r="K191" s="143"/>
      <c r="L191" s="17"/>
      <c r="M191" s="15"/>
      <c r="N191" s="16"/>
      <c r="O191" s="17"/>
      <c r="P191" s="17"/>
      <c r="Q191" s="17"/>
      <c r="R191" s="17"/>
      <c r="S191" s="17"/>
      <c r="T191" s="18"/>
      <c r="U191" s="105"/>
      <c r="V191" s="105"/>
      <c r="W191" s="105"/>
      <c r="X191" s="105"/>
      <c r="Y191" s="105"/>
      <c r="Z191" s="105"/>
      <c r="AA191" s="105"/>
      <c r="AB191" s="105"/>
      <c r="AC191" s="105"/>
      <c r="AD191" s="105"/>
      <c r="AE191" s="105"/>
      <c r="AT191" s="13" t="s">
        <v>148</v>
      </c>
      <c r="AU191" s="13" t="s">
        <v>74</v>
      </c>
    </row>
    <row r="192" spans="1:65" s="5" customFormat="1" ht="16.5" customHeight="1" x14ac:dyDescent="0.2">
      <c r="A192" s="105"/>
      <c r="B192" s="140"/>
      <c r="C192" s="33" t="s">
        <v>228</v>
      </c>
      <c r="D192" s="33" t="s">
        <v>131</v>
      </c>
      <c r="E192" s="34" t="s">
        <v>1102</v>
      </c>
      <c r="F192" s="7" t="s">
        <v>1103</v>
      </c>
      <c r="G192" s="35" t="s">
        <v>134</v>
      </c>
      <c r="H192" s="36">
        <v>133.15600000000001</v>
      </c>
      <c r="I192" s="1"/>
      <c r="J192" s="6">
        <f>ROUND(I192*H192,2)</f>
        <v>0</v>
      </c>
      <c r="K192" s="151" t="s">
        <v>1</v>
      </c>
      <c r="L192" s="17"/>
      <c r="M192" s="8" t="s">
        <v>1</v>
      </c>
      <c r="N192" s="9" t="s">
        <v>33</v>
      </c>
      <c r="O192" s="10">
        <v>0</v>
      </c>
      <c r="P192" s="10">
        <f>O192*H192</f>
        <v>0</v>
      </c>
      <c r="Q192" s="10">
        <v>0</v>
      </c>
      <c r="R192" s="10">
        <f>Q192*H192</f>
        <v>0</v>
      </c>
      <c r="S192" s="10">
        <v>0</v>
      </c>
      <c r="T192" s="11">
        <f>S192*H192</f>
        <v>0</v>
      </c>
      <c r="U192" s="105"/>
      <c r="V192" s="105"/>
      <c r="W192" s="105"/>
      <c r="X192" s="105"/>
      <c r="Y192" s="105"/>
      <c r="Z192" s="105"/>
      <c r="AA192" s="105"/>
      <c r="AB192" s="105"/>
      <c r="AC192" s="105"/>
      <c r="AD192" s="105"/>
      <c r="AE192" s="105"/>
      <c r="AR192" s="12" t="s">
        <v>135</v>
      </c>
      <c r="AT192" s="12" t="s">
        <v>131</v>
      </c>
      <c r="AU192" s="12" t="s">
        <v>74</v>
      </c>
      <c r="AY192" s="13" t="s">
        <v>130</v>
      </c>
      <c r="BE192" s="14">
        <f>IF(N192="základní",J192,0)</f>
        <v>0</v>
      </c>
      <c r="BF192" s="14">
        <f>IF(N192="snížená",J192,0)</f>
        <v>0</v>
      </c>
      <c r="BG192" s="14">
        <f>IF(N192="zákl. přenesená",J192,0)</f>
        <v>0</v>
      </c>
      <c r="BH192" s="14">
        <f>IF(N192="sníž. přenesená",J192,0)</f>
        <v>0</v>
      </c>
      <c r="BI192" s="14">
        <f>IF(N192="nulová",J192,0)</f>
        <v>0</v>
      </c>
      <c r="BJ192" s="13" t="s">
        <v>74</v>
      </c>
      <c r="BK192" s="14">
        <f>ROUND(I192*H192,2)</f>
        <v>0</v>
      </c>
      <c r="BL192" s="13" t="s">
        <v>135</v>
      </c>
      <c r="BM192" s="12" t="s">
        <v>231</v>
      </c>
    </row>
    <row r="193" spans="1:65" s="5" customFormat="1" ht="19.5" x14ac:dyDescent="0.2">
      <c r="A193" s="105"/>
      <c r="B193" s="140"/>
      <c r="C193" s="17"/>
      <c r="D193" s="141" t="s">
        <v>148</v>
      </c>
      <c r="E193" s="17"/>
      <c r="F193" s="142" t="s">
        <v>1101</v>
      </c>
      <c r="G193" s="17"/>
      <c r="H193" s="17"/>
      <c r="I193" s="17"/>
      <c r="J193" s="17"/>
      <c r="K193" s="143"/>
      <c r="L193" s="17"/>
      <c r="M193" s="15"/>
      <c r="N193" s="16"/>
      <c r="O193" s="17"/>
      <c r="P193" s="17"/>
      <c r="Q193" s="17"/>
      <c r="R193" s="17"/>
      <c r="S193" s="17"/>
      <c r="T193" s="18"/>
      <c r="U193" s="105"/>
      <c r="V193" s="105"/>
      <c r="W193" s="105"/>
      <c r="X193" s="105"/>
      <c r="Y193" s="105"/>
      <c r="Z193" s="105"/>
      <c r="AA193" s="105"/>
      <c r="AB193" s="105"/>
      <c r="AC193" s="105"/>
      <c r="AD193" s="105"/>
      <c r="AE193" s="105"/>
      <c r="AT193" s="13" t="s">
        <v>148</v>
      </c>
      <c r="AU193" s="13" t="s">
        <v>74</v>
      </c>
    </row>
    <row r="194" spans="1:65" s="5" customFormat="1" ht="16.5" customHeight="1" x14ac:dyDescent="0.2">
      <c r="A194" s="105"/>
      <c r="B194" s="140"/>
      <c r="C194" s="33" t="s">
        <v>189</v>
      </c>
      <c r="D194" s="33" t="s">
        <v>131</v>
      </c>
      <c r="E194" s="34" t="s">
        <v>1104</v>
      </c>
      <c r="F194" s="7" t="s">
        <v>1105</v>
      </c>
      <c r="G194" s="35" t="s">
        <v>333</v>
      </c>
      <c r="H194" s="36">
        <v>141.12</v>
      </c>
      <c r="I194" s="1"/>
      <c r="J194" s="6">
        <f>ROUND(I194*H194,2)</f>
        <v>0</v>
      </c>
      <c r="K194" s="151" t="s">
        <v>1</v>
      </c>
      <c r="L194" s="17"/>
      <c r="M194" s="8" t="s">
        <v>1</v>
      </c>
      <c r="N194" s="9" t="s">
        <v>33</v>
      </c>
      <c r="O194" s="10">
        <v>0</v>
      </c>
      <c r="P194" s="10">
        <f>O194*H194</f>
        <v>0</v>
      </c>
      <c r="Q194" s="10">
        <v>0</v>
      </c>
      <c r="R194" s="10">
        <f>Q194*H194</f>
        <v>0</v>
      </c>
      <c r="S194" s="10">
        <v>0</v>
      </c>
      <c r="T194" s="11">
        <f>S194*H194</f>
        <v>0</v>
      </c>
      <c r="U194" s="105"/>
      <c r="V194" s="105"/>
      <c r="W194" s="105"/>
      <c r="X194" s="105"/>
      <c r="Y194" s="105"/>
      <c r="Z194" s="105"/>
      <c r="AA194" s="105"/>
      <c r="AB194" s="105"/>
      <c r="AC194" s="105"/>
      <c r="AD194" s="105"/>
      <c r="AE194" s="105"/>
      <c r="AR194" s="12" t="s">
        <v>135</v>
      </c>
      <c r="AT194" s="12" t="s">
        <v>131</v>
      </c>
      <c r="AU194" s="12" t="s">
        <v>74</v>
      </c>
      <c r="AY194" s="13" t="s">
        <v>130</v>
      </c>
      <c r="BE194" s="14">
        <f>IF(N194="základní",J194,0)</f>
        <v>0</v>
      </c>
      <c r="BF194" s="14">
        <f>IF(N194="snížená",J194,0)</f>
        <v>0</v>
      </c>
      <c r="BG194" s="14">
        <f>IF(N194="zákl. přenesená",J194,0)</f>
        <v>0</v>
      </c>
      <c r="BH194" s="14">
        <f>IF(N194="sníž. přenesená",J194,0)</f>
        <v>0</v>
      </c>
      <c r="BI194" s="14">
        <f>IF(N194="nulová",J194,0)</f>
        <v>0</v>
      </c>
      <c r="BJ194" s="13" t="s">
        <v>74</v>
      </c>
      <c r="BK194" s="14">
        <f>ROUND(I194*H194,2)</f>
        <v>0</v>
      </c>
      <c r="BL194" s="13" t="s">
        <v>135</v>
      </c>
      <c r="BM194" s="12" t="s">
        <v>234</v>
      </c>
    </row>
    <row r="195" spans="1:65" s="152" customFormat="1" x14ac:dyDescent="0.2">
      <c r="B195" s="153"/>
      <c r="C195" s="154"/>
      <c r="D195" s="141" t="s">
        <v>340</v>
      </c>
      <c r="E195" s="155" t="s">
        <v>1</v>
      </c>
      <c r="F195" s="156" t="s">
        <v>1132</v>
      </c>
      <c r="G195" s="154"/>
      <c r="H195" s="157"/>
      <c r="I195" s="154"/>
      <c r="J195" s="154"/>
      <c r="K195" s="158"/>
      <c r="L195" s="154"/>
      <c r="M195" s="159"/>
      <c r="N195" s="154"/>
      <c r="O195" s="154"/>
      <c r="P195" s="154"/>
      <c r="Q195" s="154"/>
      <c r="R195" s="154"/>
      <c r="S195" s="154"/>
      <c r="T195" s="160"/>
      <c r="AT195" s="161" t="s">
        <v>340</v>
      </c>
      <c r="AU195" s="161" t="s">
        <v>74</v>
      </c>
      <c r="AV195" s="152" t="s">
        <v>76</v>
      </c>
      <c r="AW195" s="152" t="s">
        <v>25</v>
      </c>
      <c r="AX195" s="152" t="s">
        <v>68</v>
      </c>
      <c r="AY195" s="161" t="s">
        <v>130</v>
      </c>
    </row>
    <row r="196" spans="1:65" s="162" customFormat="1" x14ac:dyDescent="0.2">
      <c r="B196" s="163"/>
      <c r="C196" s="164"/>
      <c r="D196" s="141" t="s">
        <v>340</v>
      </c>
      <c r="E196" s="165" t="s">
        <v>1</v>
      </c>
      <c r="F196" s="166" t="s">
        <v>342</v>
      </c>
      <c r="G196" s="164"/>
      <c r="H196" s="167">
        <v>141.12</v>
      </c>
      <c r="I196" s="164"/>
      <c r="J196" s="164"/>
      <c r="K196" s="168"/>
      <c r="L196" s="164"/>
      <c r="M196" s="169"/>
      <c r="N196" s="164"/>
      <c r="O196" s="164"/>
      <c r="P196" s="164"/>
      <c r="Q196" s="164"/>
      <c r="R196" s="164"/>
      <c r="S196" s="164"/>
      <c r="T196" s="170"/>
      <c r="AT196" s="171" t="s">
        <v>340</v>
      </c>
      <c r="AU196" s="171" t="s">
        <v>74</v>
      </c>
      <c r="AV196" s="162" t="s">
        <v>135</v>
      </c>
      <c r="AW196" s="162" t="s">
        <v>25</v>
      </c>
      <c r="AX196" s="162" t="s">
        <v>74</v>
      </c>
      <c r="AY196" s="171" t="s">
        <v>130</v>
      </c>
    </row>
    <row r="197" spans="1:65" s="5" customFormat="1" ht="16.5" customHeight="1" x14ac:dyDescent="0.2">
      <c r="A197" s="105"/>
      <c r="B197" s="140"/>
      <c r="C197" s="33" t="s">
        <v>238</v>
      </c>
      <c r="D197" s="33" t="s">
        <v>131</v>
      </c>
      <c r="E197" s="34" t="s">
        <v>1107</v>
      </c>
      <c r="F197" s="7" t="s">
        <v>1108</v>
      </c>
      <c r="G197" s="35" t="s">
        <v>134</v>
      </c>
      <c r="H197" s="36">
        <v>79.894000000000005</v>
      </c>
      <c r="I197" s="1"/>
      <c r="J197" s="6">
        <f>ROUND(I197*H197,2)</f>
        <v>0</v>
      </c>
      <c r="K197" s="151" t="s">
        <v>1</v>
      </c>
      <c r="L197" s="17"/>
      <c r="M197" s="8" t="s">
        <v>1</v>
      </c>
      <c r="N197" s="9" t="s">
        <v>33</v>
      </c>
      <c r="O197" s="10">
        <v>0</v>
      </c>
      <c r="P197" s="10">
        <f>O197*H197</f>
        <v>0</v>
      </c>
      <c r="Q197" s="10">
        <v>0</v>
      </c>
      <c r="R197" s="10">
        <f>Q197*H197</f>
        <v>0</v>
      </c>
      <c r="S197" s="10">
        <v>0</v>
      </c>
      <c r="T197" s="11">
        <f>S197*H197</f>
        <v>0</v>
      </c>
      <c r="U197" s="105"/>
      <c r="V197" s="105"/>
      <c r="W197" s="105"/>
      <c r="X197" s="105"/>
      <c r="Y197" s="105"/>
      <c r="Z197" s="105"/>
      <c r="AA197" s="105"/>
      <c r="AB197" s="105"/>
      <c r="AC197" s="105"/>
      <c r="AD197" s="105"/>
      <c r="AE197" s="105"/>
      <c r="AR197" s="12" t="s">
        <v>135</v>
      </c>
      <c r="AT197" s="12" t="s">
        <v>131</v>
      </c>
      <c r="AU197" s="12" t="s">
        <v>74</v>
      </c>
      <c r="AY197" s="13" t="s">
        <v>130</v>
      </c>
      <c r="BE197" s="14">
        <f>IF(N197="základní",J197,0)</f>
        <v>0</v>
      </c>
      <c r="BF197" s="14">
        <f>IF(N197="snížená",J197,0)</f>
        <v>0</v>
      </c>
      <c r="BG197" s="14">
        <f>IF(N197="zákl. přenesená",J197,0)</f>
        <v>0</v>
      </c>
      <c r="BH197" s="14">
        <f>IF(N197="sníž. přenesená",J197,0)</f>
        <v>0</v>
      </c>
      <c r="BI197" s="14">
        <f>IF(N197="nulová",J197,0)</f>
        <v>0</v>
      </c>
      <c r="BJ197" s="13" t="s">
        <v>74</v>
      </c>
      <c r="BK197" s="14">
        <f>ROUND(I197*H197,2)</f>
        <v>0</v>
      </c>
      <c r="BL197" s="13" t="s">
        <v>135</v>
      </c>
      <c r="BM197" s="12" t="s">
        <v>239</v>
      </c>
    </row>
    <row r="198" spans="1:65" s="5" customFormat="1" ht="19.5" x14ac:dyDescent="0.2">
      <c r="A198" s="105"/>
      <c r="B198" s="140"/>
      <c r="C198" s="17"/>
      <c r="D198" s="141" t="s">
        <v>148</v>
      </c>
      <c r="E198" s="17"/>
      <c r="F198" s="142" t="s">
        <v>1109</v>
      </c>
      <c r="G198" s="17"/>
      <c r="H198" s="17"/>
      <c r="I198" s="17"/>
      <c r="J198" s="17"/>
      <c r="K198" s="143"/>
      <c r="L198" s="17"/>
      <c r="M198" s="15"/>
      <c r="N198" s="16"/>
      <c r="O198" s="17"/>
      <c r="P198" s="17"/>
      <c r="Q198" s="17"/>
      <c r="R198" s="17"/>
      <c r="S198" s="17"/>
      <c r="T198" s="18"/>
      <c r="U198" s="105"/>
      <c r="V198" s="105"/>
      <c r="W198" s="105"/>
      <c r="X198" s="105"/>
      <c r="Y198" s="105"/>
      <c r="Z198" s="105"/>
      <c r="AA198" s="105"/>
      <c r="AB198" s="105"/>
      <c r="AC198" s="105"/>
      <c r="AD198" s="105"/>
      <c r="AE198" s="105"/>
      <c r="AT198" s="13" t="s">
        <v>148</v>
      </c>
      <c r="AU198" s="13" t="s">
        <v>74</v>
      </c>
    </row>
    <row r="199" spans="1:65" s="5" customFormat="1" ht="16.5" customHeight="1" x14ac:dyDescent="0.2">
      <c r="A199" s="105"/>
      <c r="B199" s="140"/>
      <c r="C199" s="33" t="s">
        <v>196</v>
      </c>
      <c r="D199" s="33" t="s">
        <v>131</v>
      </c>
      <c r="E199" s="34" t="s">
        <v>1110</v>
      </c>
      <c r="F199" s="7" t="s">
        <v>1111</v>
      </c>
      <c r="G199" s="35" t="s">
        <v>134</v>
      </c>
      <c r="H199" s="36">
        <v>133.15600000000001</v>
      </c>
      <c r="I199" s="1"/>
      <c r="J199" s="6">
        <f>ROUND(I199*H199,2)</f>
        <v>0</v>
      </c>
      <c r="K199" s="151" t="s">
        <v>1</v>
      </c>
      <c r="L199" s="17"/>
      <c r="M199" s="8" t="s">
        <v>1</v>
      </c>
      <c r="N199" s="9" t="s">
        <v>33</v>
      </c>
      <c r="O199" s="10">
        <v>0</v>
      </c>
      <c r="P199" s="10">
        <f>O199*H199</f>
        <v>0</v>
      </c>
      <c r="Q199" s="10">
        <v>0</v>
      </c>
      <c r="R199" s="10">
        <f>Q199*H199</f>
        <v>0</v>
      </c>
      <c r="S199" s="10">
        <v>0</v>
      </c>
      <c r="T199" s="11">
        <f>S199*H199</f>
        <v>0</v>
      </c>
      <c r="U199" s="105"/>
      <c r="V199" s="105"/>
      <c r="W199" s="105"/>
      <c r="X199" s="105"/>
      <c r="Y199" s="105"/>
      <c r="Z199" s="105"/>
      <c r="AA199" s="105"/>
      <c r="AB199" s="105"/>
      <c r="AC199" s="105"/>
      <c r="AD199" s="105"/>
      <c r="AE199" s="105"/>
      <c r="AR199" s="12" t="s">
        <v>135</v>
      </c>
      <c r="AT199" s="12" t="s">
        <v>131</v>
      </c>
      <c r="AU199" s="12" t="s">
        <v>74</v>
      </c>
      <c r="AY199" s="13" t="s">
        <v>130</v>
      </c>
      <c r="BE199" s="14">
        <f>IF(N199="základní",J199,0)</f>
        <v>0</v>
      </c>
      <c r="BF199" s="14">
        <f>IF(N199="snížená",J199,0)</f>
        <v>0</v>
      </c>
      <c r="BG199" s="14">
        <f>IF(N199="zákl. přenesená",J199,0)</f>
        <v>0</v>
      </c>
      <c r="BH199" s="14">
        <f>IF(N199="sníž. přenesená",J199,0)</f>
        <v>0</v>
      </c>
      <c r="BI199" s="14">
        <f>IF(N199="nulová",J199,0)</f>
        <v>0</v>
      </c>
      <c r="BJ199" s="13" t="s">
        <v>74</v>
      </c>
      <c r="BK199" s="14">
        <f>ROUND(I199*H199,2)</f>
        <v>0</v>
      </c>
      <c r="BL199" s="13" t="s">
        <v>135</v>
      </c>
      <c r="BM199" s="12" t="s">
        <v>242</v>
      </c>
    </row>
    <row r="200" spans="1:65" s="5" customFormat="1" ht="19.5" x14ac:dyDescent="0.2">
      <c r="A200" s="105"/>
      <c r="B200" s="140"/>
      <c r="C200" s="17"/>
      <c r="D200" s="141" t="s">
        <v>148</v>
      </c>
      <c r="E200" s="17"/>
      <c r="F200" s="142" t="s">
        <v>1101</v>
      </c>
      <c r="G200" s="17"/>
      <c r="H200" s="17"/>
      <c r="I200" s="17"/>
      <c r="J200" s="17"/>
      <c r="K200" s="143"/>
      <c r="L200" s="17"/>
      <c r="M200" s="15"/>
      <c r="N200" s="16"/>
      <c r="O200" s="17"/>
      <c r="P200" s="17"/>
      <c r="Q200" s="17"/>
      <c r="R200" s="17"/>
      <c r="S200" s="17"/>
      <c r="T200" s="18"/>
      <c r="U200" s="105"/>
      <c r="V200" s="105"/>
      <c r="W200" s="105"/>
      <c r="X200" s="105"/>
      <c r="Y200" s="105"/>
      <c r="Z200" s="105"/>
      <c r="AA200" s="105"/>
      <c r="AB200" s="105"/>
      <c r="AC200" s="105"/>
      <c r="AD200" s="105"/>
      <c r="AE200" s="105"/>
      <c r="AT200" s="13" t="s">
        <v>148</v>
      </c>
      <c r="AU200" s="13" t="s">
        <v>74</v>
      </c>
    </row>
    <row r="201" spans="1:65" s="5" customFormat="1" ht="16.5" customHeight="1" x14ac:dyDescent="0.2">
      <c r="A201" s="105"/>
      <c r="B201" s="140"/>
      <c r="C201" s="33" t="s">
        <v>245</v>
      </c>
      <c r="D201" s="33" t="s">
        <v>131</v>
      </c>
      <c r="E201" s="34" t="s">
        <v>1112</v>
      </c>
      <c r="F201" s="7" t="s">
        <v>1113</v>
      </c>
      <c r="G201" s="35" t="s">
        <v>134</v>
      </c>
      <c r="H201" s="36">
        <v>79.894000000000005</v>
      </c>
      <c r="I201" s="1"/>
      <c r="J201" s="6">
        <f>ROUND(I201*H201,2)</f>
        <v>0</v>
      </c>
      <c r="K201" s="151" t="s">
        <v>1</v>
      </c>
      <c r="L201" s="17"/>
      <c r="M201" s="8" t="s">
        <v>1</v>
      </c>
      <c r="N201" s="9" t="s">
        <v>33</v>
      </c>
      <c r="O201" s="10">
        <v>0</v>
      </c>
      <c r="P201" s="10">
        <f>O201*H201</f>
        <v>0</v>
      </c>
      <c r="Q201" s="10">
        <v>0</v>
      </c>
      <c r="R201" s="10">
        <f>Q201*H201</f>
        <v>0</v>
      </c>
      <c r="S201" s="10">
        <v>0</v>
      </c>
      <c r="T201" s="11">
        <f>S201*H201</f>
        <v>0</v>
      </c>
      <c r="U201" s="105"/>
      <c r="V201" s="105"/>
      <c r="W201" s="105"/>
      <c r="X201" s="105"/>
      <c r="Y201" s="105"/>
      <c r="Z201" s="105"/>
      <c r="AA201" s="105"/>
      <c r="AB201" s="105"/>
      <c r="AC201" s="105"/>
      <c r="AD201" s="105"/>
      <c r="AE201" s="105"/>
      <c r="AR201" s="12" t="s">
        <v>135</v>
      </c>
      <c r="AT201" s="12" t="s">
        <v>131</v>
      </c>
      <c r="AU201" s="12" t="s">
        <v>74</v>
      </c>
      <c r="AY201" s="13" t="s">
        <v>130</v>
      </c>
      <c r="BE201" s="14">
        <f>IF(N201="základní",J201,0)</f>
        <v>0</v>
      </c>
      <c r="BF201" s="14">
        <f>IF(N201="snížená",J201,0)</f>
        <v>0</v>
      </c>
      <c r="BG201" s="14">
        <f>IF(N201="zákl. přenesená",J201,0)</f>
        <v>0</v>
      </c>
      <c r="BH201" s="14">
        <f>IF(N201="sníž. přenesená",J201,0)</f>
        <v>0</v>
      </c>
      <c r="BI201" s="14">
        <f>IF(N201="nulová",J201,0)</f>
        <v>0</v>
      </c>
      <c r="BJ201" s="13" t="s">
        <v>74</v>
      </c>
      <c r="BK201" s="14">
        <f>ROUND(I201*H201,2)</f>
        <v>0</v>
      </c>
      <c r="BL201" s="13" t="s">
        <v>135</v>
      </c>
      <c r="BM201" s="12" t="s">
        <v>248</v>
      </c>
    </row>
    <row r="202" spans="1:65" s="5" customFormat="1" ht="19.5" x14ac:dyDescent="0.2">
      <c r="A202" s="105"/>
      <c r="B202" s="140"/>
      <c r="C202" s="17"/>
      <c r="D202" s="141" t="s">
        <v>148</v>
      </c>
      <c r="E202" s="17"/>
      <c r="F202" s="142" t="s">
        <v>1109</v>
      </c>
      <c r="G202" s="17"/>
      <c r="H202" s="17"/>
      <c r="I202" s="17"/>
      <c r="J202" s="17"/>
      <c r="K202" s="143"/>
      <c r="L202" s="17"/>
      <c r="M202" s="15"/>
      <c r="N202" s="16"/>
      <c r="O202" s="17"/>
      <c r="P202" s="17"/>
      <c r="Q202" s="17"/>
      <c r="R202" s="17"/>
      <c r="S202" s="17"/>
      <c r="T202" s="18"/>
      <c r="U202" s="105"/>
      <c r="V202" s="105"/>
      <c r="W202" s="105"/>
      <c r="X202" s="105"/>
      <c r="Y202" s="105"/>
      <c r="Z202" s="105"/>
      <c r="AA202" s="105"/>
      <c r="AB202" s="105"/>
      <c r="AC202" s="105"/>
      <c r="AD202" s="105"/>
      <c r="AE202" s="105"/>
      <c r="AT202" s="13" t="s">
        <v>148</v>
      </c>
      <c r="AU202" s="13" t="s">
        <v>74</v>
      </c>
    </row>
    <row r="203" spans="1:65" s="5" customFormat="1" ht="16.5" customHeight="1" x14ac:dyDescent="0.2">
      <c r="A203" s="105"/>
      <c r="B203" s="140"/>
      <c r="C203" s="33" t="s">
        <v>199</v>
      </c>
      <c r="D203" s="33" t="s">
        <v>131</v>
      </c>
      <c r="E203" s="34" t="s">
        <v>1114</v>
      </c>
      <c r="F203" s="7" t="s">
        <v>1115</v>
      </c>
      <c r="G203" s="35" t="s">
        <v>134</v>
      </c>
      <c r="H203" s="36">
        <v>266.31200000000001</v>
      </c>
      <c r="I203" s="1"/>
      <c r="J203" s="6">
        <f>ROUND(I203*H203,2)</f>
        <v>0</v>
      </c>
      <c r="K203" s="151" t="s">
        <v>1</v>
      </c>
      <c r="L203" s="17"/>
      <c r="M203" s="8" t="s">
        <v>1</v>
      </c>
      <c r="N203" s="9" t="s">
        <v>33</v>
      </c>
      <c r="O203" s="10">
        <v>0</v>
      </c>
      <c r="P203" s="10">
        <f>O203*H203</f>
        <v>0</v>
      </c>
      <c r="Q203" s="10">
        <v>0</v>
      </c>
      <c r="R203" s="10">
        <f>Q203*H203</f>
        <v>0</v>
      </c>
      <c r="S203" s="10">
        <v>0</v>
      </c>
      <c r="T203" s="11">
        <f>S203*H203</f>
        <v>0</v>
      </c>
      <c r="U203" s="105"/>
      <c r="V203" s="105"/>
      <c r="W203" s="105"/>
      <c r="X203" s="105"/>
      <c r="Y203" s="105"/>
      <c r="Z203" s="105"/>
      <c r="AA203" s="105"/>
      <c r="AB203" s="105"/>
      <c r="AC203" s="105"/>
      <c r="AD203" s="105"/>
      <c r="AE203" s="105"/>
      <c r="AR203" s="12" t="s">
        <v>135</v>
      </c>
      <c r="AT203" s="12" t="s">
        <v>131</v>
      </c>
      <c r="AU203" s="12" t="s">
        <v>74</v>
      </c>
      <c r="AY203" s="13" t="s">
        <v>130</v>
      </c>
      <c r="BE203" s="14">
        <f>IF(N203="základní",J203,0)</f>
        <v>0</v>
      </c>
      <c r="BF203" s="14">
        <f>IF(N203="snížená",J203,0)</f>
        <v>0</v>
      </c>
      <c r="BG203" s="14">
        <f>IF(N203="zákl. přenesená",J203,0)</f>
        <v>0</v>
      </c>
      <c r="BH203" s="14">
        <f>IF(N203="sníž. přenesená",J203,0)</f>
        <v>0</v>
      </c>
      <c r="BI203" s="14">
        <f>IF(N203="nulová",J203,0)</f>
        <v>0</v>
      </c>
      <c r="BJ203" s="13" t="s">
        <v>74</v>
      </c>
      <c r="BK203" s="14">
        <f>ROUND(I203*H203,2)</f>
        <v>0</v>
      </c>
      <c r="BL203" s="13" t="s">
        <v>135</v>
      </c>
      <c r="BM203" s="12" t="s">
        <v>254</v>
      </c>
    </row>
    <row r="204" spans="1:65" s="5" customFormat="1" ht="19.5" x14ac:dyDescent="0.2">
      <c r="A204" s="105"/>
      <c r="B204" s="140"/>
      <c r="C204" s="17"/>
      <c r="D204" s="141" t="s">
        <v>148</v>
      </c>
      <c r="E204" s="17"/>
      <c r="F204" s="142" t="s">
        <v>1116</v>
      </c>
      <c r="G204" s="17"/>
      <c r="H204" s="17"/>
      <c r="I204" s="17"/>
      <c r="J204" s="17"/>
      <c r="K204" s="143"/>
      <c r="L204" s="17"/>
      <c r="M204" s="144"/>
      <c r="N204" s="145"/>
      <c r="O204" s="146"/>
      <c r="P204" s="146"/>
      <c r="Q204" s="146"/>
      <c r="R204" s="146"/>
      <c r="S204" s="146"/>
      <c r="T204" s="147"/>
      <c r="U204" s="105"/>
      <c r="V204" s="105"/>
      <c r="W204" s="105"/>
      <c r="X204" s="105"/>
      <c r="Y204" s="105"/>
      <c r="Z204" s="105"/>
      <c r="AA204" s="105"/>
      <c r="AB204" s="105"/>
      <c r="AC204" s="105"/>
      <c r="AD204" s="105"/>
      <c r="AE204" s="105"/>
      <c r="AT204" s="13" t="s">
        <v>148</v>
      </c>
      <c r="AU204" s="13" t="s">
        <v>74</v>
      </c>
    </row>
    <row r="205" spans="1:65" s="5" customFormat="1" ht="6.95" customHeight="1" x14ac:dyDescent="0.2">
      <c r="A205" s="105"/>
      <c r="B205" s="148"/>
      <c r="C205" s="149"/>
      <c r="D205" s="149"/>
      <c r="E205" s="149"/>
      <c r="F205" s="149"/>
      <c r="G205" s="149"/>
      <c r="H205" s="149"/>
      <c r="I205" s="149"/>
      <c r="J205" s="149"/>
      <c r="K205" s="150"/>
      <c r="L205" s="17"/>
      <c r="M205" s="105"/>
      <c r="O205" s="105"/>
      <c r="P205" s="105"/>
      <c r="Q205" s="105"/>
      <c r="R205" s="105"/>
      <c r="S205" s="105"/>
      <c r="T205" s="105"/>
      <c r="U205" s="105"/>
      <c r="V205" s="105"/>
      <c r="W205" s="105"/>
      <c r="X205" s="105"/>
      <c r="Y205" s="105"/>
      <c r="Z205" s="105"/>
      <c r="AA205" s="105"/>
      <c r="AB205" s="105"/>
      <c r="AC205" s="105"/>
      <c r="AD205" s="105"/>
      <c r="AE205" s="105"/>
    </row>
  </sheetData>
  <sheetProtection algorithmName="SHA-512" hashValue="prtTYO9XjQeFXXdp4kUw4B3zVB/Cbi8ntUGRhsMCy48AJlSFssPdpQg2Q1KsgJauEU0FKQ6/W3+n+ADAlGHYZg==" saltValue="wJ/2F1v9c8B0g7ImZt/FgA==" spinCount="100000" sheet="1" objects="1" scenarios="1"/>
  <autoFilter ref="C119:K204"/>
  <mergeCells count="10">
    <mergeCell ref="E87:H87"/>
    <mergeCell ref="E110:H110"/>
    <mergeCell ref="E112:H112"/>
    <mergeCell ref="L2:V2"/>
    <mergeCell ref="C120:K12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topLeftCell="A101" zoomScale="90" zoomScaleNormal="90" workbookViewId="0">
      <selection activeCell="W123" sqref="W123"/>
    </sheetView>
  </sheetViews>
  <sheetFormatPr defaultColWidth="9.1640625" defaultRowHeight="11.25" x14ac:dyDescent="0.2"/>
  <cols>
    <col min="1" max="1" width="8.33203125" style="107" customWidth="1"/>
    <col min="2" max="2" width="1.1640625" style="107" customWidth="1"/>
    <col min="3" max="3" width="4.1640625" style="107" customWidth="1"/>
    <col min="4" max="4" width="4.33203125" style="107" customWidth="1"/>
    <col min="5" max="5" width="17.1640625" style="107" customWidth="1"/>
    <col min="6" max="6" width="100.83203125" style="107" customWidth="1"/>
    <col min="7" max="7" width="8.5" style="107" customWidth="1"/>
    <col min="8" max="8" width="14" style="107" customWidth="1"/>
    <col min="9" max="9" width="15.83203125" style="107" customWidth="1"/>
    <col min="10" max="11" width="22.33203125" style="107" customWidth="1"/>
    <col min="12" max="12" width="9.33203125" style="107" customWidth="1"/>
    <col min="13" max="13" width="10.83203125" style="107" hidden="1" customWidth="1"/>
    <col min="14" max="14" width="9.33203125" style="107" hidden="1"/>
    <col min="15" max="19" width="14.1640625" style="107" hidden="1" customWidth="1"/>
    <col min="20" max="20" width="11" style="107" hidden="1" customWidth="1"/>
    <col min="21" max="21" width="12.5" style="107" hidden="1" customWidth="1"/>
    <col min="22" max="22" width="12.33203125" style="107" customWidth="1"/>
    <col min="23" max="23" width="16.33203125" style="107" customWidth="1"/>
    <col min="24" max="24" width="12.33203125" style="107" customWidth="1"/>
    <col min="25" max="25" width="15" style="107" customWidth="1"/>
    <col min="26" max="26" width="11" style="107" customWidth="1"/>
    <col min="27" max="27" width="15" style="107" customWidth="1"/>
    <col min="28" max="28" width="16.33203125" style="107" customWidth="1"/>
    <col min="29" max="29" width="11" style="107" customWidth="1"/>
    <col min="30" max="30" width="15" style="107" customWidth="1"/>
    <col min="31" max="31" width="16.33203125" style="107" customWidth="1"/>
    <col min="32" max="43" width="9.1640625" style="107"/>
    <col min="44" max="65" width="9.33203125" style="107" hidden="1"/>
    <col min="66" max="16384" width="9.1640625" style="107"/>
  </cols>
  <sheetData>
    <row r="2" spans="1:46" ht="36.950000000000003" customHeight="1" x14ac:dyDescent="0.2">
      <c r="L2" s="306" t="s">
        <v>5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3" t="s">
        <v>85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106" t="s">
        <v>14</v>
      </c>
      <c r="L6" s="42"/>
    </row>
    <row r="7" spans="1:46" ht="16.5" customHeight="1" x14ac:dyDescent="0.2">
      <c r="B7" s="42"/>
      <c r="E7" s="312" t="str">
        <f>'Rekapitulace stavby'!K6</f>
        <v>REKONSTRUKCE A DOSTAVBA BUDOV FF UK - DVD</v>
      </c>
      <c r="F7" s="313"/>
      <c r="G7" s="313"/>
      <c r="H7" s="313"/>
      <c r="L7" s="42"/>
    </row>
    <row r="8" spans="1:46" s="5" customFormat="1" ht="12" customHeight="1" x14ac:dyDescent="0.2">
      <c r="A8" s="105"/>
      <c r="B8" s="4"/>
      <c r="C8" s="105"/>
      <c r="D8" s="106" t="s">
        <v>87</v>
      </c>
      <c r="E8" s="105"/>
      <c r="F8" s="105"/>
      <c r="G8" s="105"/>
      <c r="H8" s="105"/>
      <c r="I8" s="105"/>
      <c r="J8" s="105"/>
      <c r="K8" s="105"/>
      <c r="L8" s="4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46" s="5" customFormat="1" ht="16.5" customHeight="1" x14ac:dyDescent="0.2">
      <c r="A9" s="105"/>
      <c r="B9" s="4"/>
      <c r="C9" s="105"/>
      <c r="D9" s="105"/>
      <c r="E9" s="277" t="s">
        <v>1198</v>
      </c>
      <c r="F9" s="311"/>
      <c r="G9" s="311"/>
      <c r="H9" s="311"/>
      <c r="I9" s="105"/>
      <c r="J9" s="105"/>
      <c r="K9" s="105"/>
      <c r="L9" s="4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46" s="5" customFormat="1" x14ac:dyDescent="0.2">
      <c r="A10" s="105"/>
      <c r="B10" s="4"/>
      <c r="C10" s="105"/>
      <c r="D10" s="105"/>
      <c r="E10" s="105"/>
      <c r="F10" s="105"/>
      <c r="G10" s="105"/>
      <c r="H10" s="105"/>
      <c r="I10" s="105"/>
      <c r="J10" s="105"/>
      <c r="K10" s="105"/>
      <c r="L10" s="4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46" s="5" customFormat="1" ht="12" customHeight="1" x14ac:dyDescent="0.2">
      <c r="A11" s="105"/>
      <c r="B11" s="4"/>
      <c r="C11" s="105"/>
      <c r="D11" s="106" t="s">
        <v>15</v>
      </c>
      <c r="E11" s="105"/>
      <c r="F11" s="46" t="s">
        <v>1291</v>
      </c>
      <c r="G11" s="105"/>
      <c r="H11" s="105"/>
      <c r="I11" s="106" t="s">
        <v>16</v>
      </c>
      <c r="J11" s="108" t="s">
        <v>1</v>
      </c>
      <c r="K11" s="105"/>
      <c r="L11" s="4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46" s="5" customFormat="1" ht="12" customHeight="1" x14ac:dyDescent="0.2">
      <c r="A12" s="105"/>
      <c r="B12" s="4"/>
      <c r="C12" s="105"/>
      <c r="D12" s="106" t="s">
        <v>17</v>
      </c>
      <c r="E12" s="105"/>
      <c r="F12" s="46" t="s">
        <v>1292</v>
      </c>
      <c r="G12" s="105"/>
      <c r="H12" s="105"/>
      <c r="I12" s="106" t="s">
        <v>19</v>
      </c>
      <c r="J12" s="47">
        <f>'Rekapitulace stavby'!AN8</f>
        <v>44310</v>
      </c>
      <c r="K12" s="105"/>
      <c r="L12" s="4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46" s="5" customFormat="1" ht="10.9" customHeight="1" x14ac:dyDescent="0.2">
      <c r="A13" s="105"/>
      <c r="B13" s="4"/>
      <c r="C13" s="105"/>
      <c r="D13" s="105"/>
      <c r="E13" s="105"/>
      <c r="F13" s="105"/>
      <c r="G13" s="105"/>
      <c r="H13" s="105"/>
      <c r="I13" s="105"/>
      <c r="J13" s="105"/>
      <c r="K13" s="105"/>
      <c r="L13" s="4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46" s="5" customFormat="1" ht="12" customHeight="1" x14ac:dyDescent="0.2">
      <c r="A14" s="105"/>
      <c r="B14" s="4"/>
      <c r="C14" s="105"/>
      <c r="D14" s="106" t="s">
        <v>20</v>
      </c>
      <c r="E14" s="105"/>
      <c r="F14" s="105"/>
      <c r="G14" s="105"/>
      <c r="H14" s="105"/>
      <c r="I14" s="106" t="s">
        <v>21</v>
      </c>
      <c r="J14" s="108" t="str">
        <f>IF('Rekapitulace stavby'!AN10="","",'Rekapitulace stavby'!AN10)</f>
        <v/>
      </c>
      <c r="K14" s="105"/>
      <c r="L14" s="4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46" s="5" customFormat="1" ht="18" customHeight="1" x14ac:dyDescent="0.2">
      <c r="A15" s="105"/>
      <c r="B15" s="4"/>
      <c r="C15" s="105"/>
      <c r="D15" s="105"/>
      <c r="E15" s="48" t="s">
        <v>1293</v>
      </c>
      <c r="F15" s="105"/>
      <c r="G15" s="105"/>
      <c r="H15" s="105"/>
      <c r="I15" s="106" t="s">
        <v>22</v>
      </c>
      <c r="J15" s="108" t="str">
        <f>IF('Rekapitulace stavby'!AN11="","",'Rekapitulace stavby'!AN11)</f>
        <v/>
      </c>
      <c r="K15" s="105"/>
      <c r="L15" s="4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46" s="5" customFormat="1" ht="6.95" customHeight="1" x14ac:dyDescent="0.2">
      <c r="A16" s="105"/>
      <c r="B16" s="4"/>
      <c r="C16" s="105"/>
      <c r="D16" s="105"/>
      <c r="E16" s="105"/>
      <c r="F16" s="105"/>
      <c r="G16" s="105"/>
      <c r="H16" s="105"/>
      <c r="I16" s="105"/>
      <c r="J16" s="105"/>
      <c r="K16" s="105"/>
      <c r="L16" s="4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31" s="5" customFormat="1" ht="12" customHeight="1" x14ac:dyDescent="0.2">
      <c r="A17" s="105"/>
      <c r="B17" s="4"/>
      <c r="C17" s="105"/>
      <c r="D17" s="106" t="s">
        <v>23</v>
      </c>
      <c r="E17" s="105"/>
      <c r="F17" s="105"/>
      <c r="G17" s="105"/>
      <c r="H17" s="105"/>
      <c r="I17" s="106" t="s">
        <v>21</v>
      </c>
      <c r="J17" s="108" t="str">
        <f>'Rekapitulace stavby'!AN13</f>
        <v/>
      </c>
      <c r="K17" s="105"/>
      <c r="L17" s="4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</row>
    <row r="18" spans="1:31" s="5" customFormat="1" ht="18" customHeight="1" x14ac:dyDescent="0.2">
      <c r="A18" s="105"/>
      <c r="B18" s="4"/>
      <c r="C18" s="105"/>
      <c r="D18" s="105"/>
      <c r="E18" s="299" t="str">
        <f>'Rekapitulace stavby'!E14</f>
        <v xml:space="preserve"> </v>
      </c>
      <c r="F18" s="299"/>
      <c r="G18" s="299"/>
      <c r="H18" s="299"/>
      <c r="I18" s="106" t="s">
        <v>22</v>
      </c>
      <c r="J18" s="108" t="str">
        <f>'Rekapitulace stavby'!AN14</f>
        <v/>
      </c>
      <c r="K18" s="105"/>
      <c r="L18" s="4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5" customFormat="1" ht="6.95" customHeight="1" x14ac:dyDescent="0.2">
      <c r="A19" s="105"/>
      <c r="B19" s="4"/>
      <c r="C19" s="105"/>
      <c r="D19" s="105"/>
      <c r="E19" s="105"/>
      <c r="F19" s="105"/>
      <c r="G19" s="105"/>
      <c r="H19" s="105"/>
      <c r="I19" s="105"/>
      <c r="J19" s="105"/>
      <c r="K19" s="105"/>
      <c r="L19" s="4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</row>
    <row r="20" spans="1:31" s="5" customFormat="1" ht="12" customHeight="1" x14ac:dyDescent="0.2">
      <c r="A20" s="105"/>
      <c r="B20" s="4"/>
      <c r="C20" s="105"/>
      <c r="D20" s="106" t="s">
        <v>24</v>
      </c>
      <c r="E20" s="105"/>
      <c r="F20" s="105"/>
      <c r="G20" s="105"/>
      <c r="H20" s="105"/>
      <c r="I20" s="106" t="s">
        <v>21</v>
      </c>
      <c r="J20" s="108" t="str">
        <f>IF('Rekapitulace stavby'!AN16="","",'Rekapitulace stavby'!AN16)</f>
        <v/>
      </c>
      <c r="K20" s="105"/>
      <c r="L20" s="4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</row>
    <row r="21" spans="1:31" s="5" customFormat="1" ht="18" customHeight="1" x14ac:dyDescent="0.2">
      <c r="A21" s="105"/>
      <c r="B21" s="4"/>
      <c r="C21" s="105"/>
      <c r="D21" s="105"/>
      <c r="E21" s="48" t="s">
        <v>1294</v>
      </c>
      <c r="F21" s="105"/>
      <c r="G21" s="105"/>
      <c r="H21" s="105"/>
      <c r="I21" s="106" t="s">
        <v>22</v>
      </c>
      <c r="J21" s="108" t="str">
        <f>IF('Rekapitulace stavby'!AN17="","",'Rekapitulace stavby'!AN17)</f>
        <v/>
      </c>
      <c r="K21" s="105"/>
      <c r="L21" s="4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</row>
    <row r="22" spans="1:31" s="5" customFormat="1" ht="6.95" customHeight="1" x14ac:dyDescent="0.2">
      <c r="A22" s="105"/>
      <c r="B22" s="4"/>
      <c r="C22" s="105"/>
      <c r="D22" s="105"/>
      <c r="E22" s="105"/>
      <c r="F22" s="105"/>
      <c r="G22" s="105"/>
      <c r="H22" s="105"/>
      <c r="I22" s="105"/>
      <c r="J22" s="105"/>
      <c r="K22" s="105"/>
      <c r="L22" s="4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</row>
    <row r="23" spans="1:31" s="5" customFormat="1" ht="12" customHeight="1" x14ac:dyDescent="0.2">
      <c r="A23" s="105"/>
      <c r="B23" s="4"/>
      <c r="C23" s="105"/>
      <c r="D23" s="106" t="s">
        <v>26</v>
      </c>
      <c r="E23" s="105"/>
      <c r="F23" s="105"/>
      <c r="G23" s="105"/>
      <c r="H23" s="105"/>
      <c r="I23" s="106" t="s">
        <v>21</v>
      </c>
      <c r="J23" s="108" t="str">
        <f>IF('Rekapitulace stavby'!AN19="","",'Rekapitulace stavby'!AN19)</f>
        <v/>
      </c>
      <c r="K23" s="105"/>
      <c r="L23" s="4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</row>
    <row r="24" spans="1:31" s="5" customFormat="1" ht="18" customHeight="1" x14ac:dyDescent="0.2">
      <c r="A24" s="105"/>
      <c r="B24" s="4"/>
      <c r="C24" s="105"/>
      <c r="D24" s="105"/>
      <c r="E24" s="48" t="s">
        <v>1295</v>
      </c>
      <c r="F24" s="105"/>
      <c r="G24" s="105"/>
      <c r="H24" s="105"/>
      <c r="I24" s="106" t="s">
        <v>22</v>
      </c>
      <c r="J24" s="108" t="str">
        <f>IF('Rekapitulace stavby'!AN20="","",'Rekapitulace stavby'!AN20)</f>
        <v/>
      </c>
      <c r="K24" s="105"/>
      <c r="L24" s="4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</row>
    <row r="25" spans="1:31" s="5" customFormat="1" ht="6.95" customHeight="1" x14ac:dyDescent="0.2">
      <c r="A25" s="105"/>
      <c r="B25" s="4"/>
      <c r="C25" s="105"/>
      <c r="D25" s="105"/>
      <c r="E25" s="105"/>
      <c r="F25" s="105"/>
      <c r="G25" s="105"/>
      <c r="H25" s="105"/>
      <c r="I25" s="105"/>
      <c r="J25" s="105"/>
      <c r="K25" s="105"/>
      <c r="L25" s="4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5" customFormat="1" ht="12" customHeight="1" x14ac:dyDescent="0.2">
      <c r="A26" s="105"/>
      <c r="B26" s="4"/>
      <c r="C26" s="105"/>
      <c r="D26" s="106" t="s">
        <v>27</v>
      </c>
      <c r="E26" s="105"/>
      <c r="F26" s="105"/>
      <c r="G26" s="105"/>
      <c r="H26" s="105"/>
      <c r="I26" s="105"/>
      <c r="J26" s="105"/>
      <c r="K26" s="105"/>
      <c r="L26" s="4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</row>
    <row r="27" spans="1:31" s="52" customFormat="1" ht="16.5" customHeight="1" x14ac:dyDescent="0.2">
      <c r="A27" s="49"/>
      <c r="B27" s="50"/>
      <c r="C27" s="49"/>
      <c r="D27" s="49"/>
      <c r="E27" s="302" t="s">
        <v>1</v>
      </c>
      <c r="F27" s="302"/>
      <c r="G27" s="302"/>
      <c r="H27" s="302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105"/>
      <c r="B28" s="4"/>
      <c r="C28" s="105"/>
      <c r="D28" s="105"/>
      <c r="E28" s="105"/>
      <c r="F28" s="105"/>
      <c r="G28" s="105"/>
      <c r="H28" s="105"/>
      <c r="I28" s="105"/>
      <c r="J28" s="105"/>
      <c r="K28" s="105"/>
      <c r="L28" s="4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s="5" customFormat="1" ht="6.95" customHeight="1" x14ac:dyDescent="0.2">
      <c r="A29" s="105"/>
      <c r="B29" s="4"/>
      <c r="C29" s="105"/>
      <c r="D29" s="53"/>
      <c r="E29" s="53"/>
      <c r="F29" s="53"/>
      <c r="G29" s="53"/>
      <c r="H29" s="53"/>
      <c r="I29" s="53"/>
      <c r="J29" s="53"/>
      <c r="K29" s="53"/>
      <c r="L29" s="4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5" customFormat="1" ht="25.35" customHeight="1" x14ac:dyDescent="0.2">
      <c r="A30" s="105"/>
      <c r="B30" s="4"/>
      <c r="C30" s="105"/>
      <c r="D30" s="54" t="s">
        <v>28</v>
      </c>
      <c r="E30" s="105"/>
      <c r="F30" s="105"/>
      <c r="G30" s="105"/>
      <c r="H30" s="105"/>
      <c r="I30" s="105"/>
      <c r="J30" s="55">
        <f>ROUND(J119, 2)</f>
        <v>0</v>
      </c>
      <c r="K30" s="105"/>
      <c r="L30" s="4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</row>
    <row r="31" spans="1:31" s="5" customFormat="1" ht="6.95" customHeight="1" x14ac:dyDescent="0.2">
      <c r="A31" s="105"/>
      <c r="B31" s="4"/>
      <c r="C31" s="105"/>
      <c r="D31" s="53"/>
      <c r="E31" s="53"/>
      <c r="F31" s="53"/>
      <c r="G31" s="53"/>
      <c r="H31" s="53"/>
      <c r="I31" s="53"/>
      <c r="J31" s="53"/>
      <c r="K31" s="53"/>
      <c r="L31" s="4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5" customFormat="1" ht="14.45" customHeight="1" x14ac:dyDescent="0.2">
      <c r="A32" s="105"/>
      <c r="B32" s="4"/>
      <c r="C32" s="105"/>
      <c r="D32" s="105"/>
      <c r="E32" s="105"/>
      <c r="F32" s="56" t="s">
        <v>30</v>
      </c>
      <c r="G32" s="105"/>
      <c r="H32" s="105"/>
      <c r="I32" s="56" t="s">
        <v>29</v>
      </c>
      <c r="J32" s="56" t="s">
        <v>31</v>
      </c>
      <c r="K32" s="105"/>
      <c r="L32" s="4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</row>
    <row r="33" spans="1:31" s="5" customFormat="1" ht="14.45" customHeight="1" x14ac:dyDescent="0.2">
      <c r="A33" s="105"/>
      <c r="B33" s="4"/>
      <c r="C33" s="105"/>
      <c r="D33" s="57" t="s">
        <v>32</v>
      </c>
      <c r="E33" s="106" t="s">
        <v>33</v>
      </c>
      <c r="F33" s="58">
        <f>ROUND((SUM(BE119:BE134)),  2)</f>
        <v>0</v>
      </c>
      <c r="G33" s="105"/>
      <c r="H33" s="105"/>
      <c r="I33" s="59">
        <v>0.21</v>
      </c>
      <c r="J33" s="58">
        <f>ROUND(((SUM(BE119:BE134))*I33),  2)</f>
        <v>0</v>
      </c>
      <c r="K33" s="105"/>
      <c r="L33" s="4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</row>
    <row r="34" spans="1:31" s="5" customFormat="1" ht="14.45" customHeight="1" x14ac:dyDescent="0.2">
      <c r="A34" s="105"/>
      <c r="B34" s="4"/>
      <c r="C34" s="105"/>
      <c r="D34" s="105"/>
      <c r="E34" s="106" t="s">
        <v>34</v>
      </c>
      <c r="F34" s="58">
        <f>ROUND((SUM(BF119:BF134)),  2)</f>
        <v>0</v>
      </c>
      <c r="G34" s="105"/>
      <c r="H34" s="105"/>
      <c r="I34" s="59">
        <v>0.15</v>
      </c>
      <c r="J34" s="58">
        <f>ROUND(((SUM(BF119:BF134))*I34),  2)</f>
        <v>0</v>
      </c>
      <c r="K34" s="105"/>
      <c r="L34" s="4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</row>
    <row r="35" spans="1:31" s="5" customFormat="1" ht="14.45" hidden="1" customHeight="1" x14ac:dyDescent="0.2">
      <c r="A35" s="105"/>
      <c r="B35" s="4"/>
      <c r="C35" s="105"/>
      <c r="D35" s="105"/>
      <c r="E35" s="106" t="s">
        <v>35</v>
      </c>
      <c r="F35" s="58">
        <f>ROUND((SUM(BG119:BG134)),  2)</f>
        <v>0</v>
      </c>
      <c r="G35" s="105"/>
      <c r="H35" s="105"/>
      <c r="I35" s="59">
        <v>0.21</v>
      </c>
      <c r="J35" s="58">
        <f>0</f>
        <v>0</v>
      </c>
      <c r="K35" s="105"/>
      <c r="L35" s="4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</row>
    <row r="36" spans="1:31" s="5" customFormat="1" ht="14.45" hidden="1" customHeight="1" x14ac:dyDescent="0.2">
      <c r="A36" s="105"/>
      <c r="B36" s="4"/>
      <c r="C36" s="105"/>
      <c r="D36" s="105"/>
      <c r="E36" s="106" t="s">
        <v>36</v>
      </c>
      <c r="F36" s="58">
        <f>ROUND((SUM(BH119:BH134)),  2)</f>
        <v>0</v>
      </c>
      <c r="G36" s="105"/>
      <c r="H36" s="105"/>
      <c r="I36" s="59">
        <v>0.15</v>
      </c>
      <c r="J36" s="58">
        <f>0</f>
        <v>0</v>
      </c>
      <c r="K36" s="105"/>
      <c r="L36" s="4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</row>
    <row r="37" spans="1:31" s="5" customFormat="1" ht="14.45" hidden="1" customHeight="1" x14ac:dyDescent="0.2">
      <c r="A37" s="105"/>
      <c r="B37" s="4"/>
      <c r="C37" s="105"/>
      <c r="D37" s="105"/>
      <c r="E37" s="106" t="s">
        <v>37</v>
      </c>
      <c r="F37" s="58">
        <f>ROUND((SUM(BI119:BI134)),  2)</f>
        <v>0</v>
      </c>
      <c r="G37" s="105"/>
      <c r="H37" s="105"/>
      <c r="I37" s="59">
        <v>0</v>
      </c>
      <c r="J37" s="58">
        <f>0</f>
        <v>0</v>
      </c>
      <c r="K37" s="105"/>
      <c r="L37" s="4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</row>
    <row r="38" spans="1:31" s="5" customFormat="1" ht="6.95" customHeight="1" x14ac:dyDescent="0.2">
      <c r="A38" s="105"/>
      <c r="B38" s="4"/>
      <c r="C38" s="105"/>
      <c r="D38" s="105"/>
      <c r="E38" s="105"/>
      <c r="F38" s="105"/>
      <c r="G38" s="105"/>
      <c r="H38" s="105"/>
      <c r="I38" s="105"/>
      <c r="J38" s="105"/>
      <c r="K38" s="105"/>
      <c r="L38" s="4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</row>
    <row r="39" spans="1:31" s="5" customFormat="1" ht="25.35" customHeight="1" x14ac:dyDescent="0.2">
      <c r="A39" s="105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</row>
    <row r="40" spans="1:31" s="5" customFormat="1" ht="14.45" customHeight="1" x14ac:dyDescent="0.2">
      <c r="A40" s="105"/>
      <c r="B40" s="4"/>
      <c r="C40" s="105"/>
      <c r="D40" s="105"/>
      <c r="E40" s="105"/>
      <c r="F40" s="105"/>
      <c r="G40" s="105"/>
      <c r="H40" s="105"/>
      <c r="I40" s="105"/>
      <c r="J40" s="105"/>
      <c r="K40" s="105"/>
      <c r="L40" s="4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105"/>
      <c r="B61" s="4"/>
      <c r="C61" s="105"/>
      <c r="D61" s="69" t="s">
        <v>43</v>
      </c>
      <c r="E61" s="70"/>
      <c r="F61" s="71" t="s">
        <v>44</v>
      </c>
      <c r="G61" s="69" t="s">
        <v>43</v>
      </c>
      <c r="H61" s="70"/>
      <c r="I61" s="70"/>
      <c r="J61" s="72" t="s">
        <v>44</v>
      </c>
      <c r="K61" s="70"/>
      <c r="L61" s="4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105"/>
      <c r="B65" s="4"/>
      <c r="C65" s="105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105"/>
      <c r="B76" s="4"/>
      <c r="C76" s="105"/>
      <c r="D76" s="69" t="s">
        <v>43</v>
      </c>
      <c r="E76" s="70"/>
      <c r="F76" s="71" t="s">
        <v>44</v>
      </c>
      <c r="G76" s="69" t="s">
        <v>43</v>
      </c>
      <c r="H76" s="70"/>
      <c r="I76" s="70"/>
      <c r="J76" s="72" t="s">
        <v>44</v>
      </c>
      <c r="K76" s="70"/>
      <c r="L76" s="4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</row>
    <row r="77" spans="1:31" s="5" customFormat="1" ht="14.45" customHeight="1" x14ac:dyDescent="0.2">
      <c r="A77" s="105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</row>
    <row r="81" spans="1:47" s="5" customFormat="1" ht="6.95" customHeight="1" x14ac:dyDescent="0.2">
      <c r="A81" s="105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</row>
    <row r="82" spans="1:47" s="5" customFormat="1" ht="24.95" customHeight="1" x14ac:dyDescent="0.2">
      <c r="A82" s="105"/>
      <c r="B82" s="4"/>
      <c r="C82" s="43" t="s">
        <v>88</v>
      </c>
      <c r="D82" s="105"/>
      <c r="E82" s="105"/>
      <c r="F82" s="105"/>
      <c r="G82" s="105"/>
      <c r="H82" s="105"/>
      <c r="I82" s="105"/>
      <c r="J82" s="105"/>
      <c r="K82" s="105"/>
      <c r="L82" s="4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</row>
    <row r="83" spans="1:47" s="5" customFormat="1" ht="6.95" customHeight="1" x14ac:dyDescent="0.2">
      <c r="A83" s="105"/>
      <c r="B83" s="4"/>
      <c r="C83" s="105"/>
      <c r="D83" s="105"/>
      <c r="E83" s="105"/>
      <c r="F83" s="105"/>
      <c r="G83" s="105"/>
      <c r="H83" s="105"/>
      <c r="I83" s="105"/>
      <c r="J83" s="105"/>
      <c r="K83" s="105"/>
      <c r="L83" s="4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</row>
    <row r="84" spans="1:47" s="5" customFormat="1" ht="12" customHeight="1" x14ac:dyDescent="0.2">
      <c r="A84" s="105"/>
      <c r="B84" s="4"/>
      <c r="C84" s="106" t="s">
        <v>14</v>
      </c>
      <c r="D84" s="105"/>
      <c r="E84" s="105"/>
      <c r="F84" s="105"/>
      <c r="G84" s="105"/>
      <c r="H84" s="105"/>
      <c r="I84" s="105"/>
      <c r="J84" s="105"/>
      <c r="K84" s="105"/>
      <c r="L84" s="4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</row>
    <row r="85" spans="1:47" s="5" customFormat="1" ht="16.5" customHeight="1" x14ac:dyDescent="0.2">
      <c r="A85" s="105"/>
      <c r="B85" s="4"/>
      <c r="C85" s="105"/>
      <c r="D85" s="105"/>
      <c r="E85" s="312" t="str">
        <f>E7</f>
        <v>REKONSTRUKCE A DOSTAVBA BUDOV FF UK - DVD</v>
      </c>
      <c r="F85" s="313"/>
      <c r="G85" s="313"/>
      <c r="H85" s="313"/>
      <c r="I85" s="105"/>
      <c r="J85" s="105"/>
      <c r="K85" s="105"/>
      <c r="L85" s="4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47" s="5" customFormat="1" ht="12" customHeight="1" x14ac:dyDescent="0.2">
      <c r="A86" s="105"/>
      <c r="B86" s="4"/>
      <c r="C86" s="106" t="s">
        <v>87</v>
      </c>
      <c r="D86" s="105"/>
      <c r="E86" s="105"/>
      <c r="F86" s="105"/>
      <c r="G86" s="105"/>
      <c r="H86" s="105"/>
      <c r="I86" s="105"/>
      <c r="J86" s="105"/>
      <c r="K86" s="105"/>
      <c r="L86" s="4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47" s="5" customFormat="1" ht="16.5" customHeight="1" x14ac:dyDescent="0.2">
      <c r="A87" s="105"/>
      <c r="B87" s="4"/>
      <c r="C87" s="105"/>
      <c r="D87" s="105"/>
      <c r="E87" s="277" t="str">
        <f>E9</f>
        <v>15 - RESTAURÁTORSKÝ ZÁMĚR - Štukový portál</v>
      </c>
      <c r="F87" s="311"/>
      <c r="G87" s="311"/>
      <c r="H87" s="311"/>
      <c r="I87" s="105"/>
      <c r="J87" s="105"/>
      <c r="K87" s="105"/>
      <c r="L87" s="4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</row>
    <row r="88" spans="1:47" s="5" customFormat="1" ht="6.95" customHeight="1" x14ac:dyDescent="0.2">
      <c r="A88" s="105"/>
      <c r="B88" s="4"/>
      <c r="C88" s="105"/>
      <c r="D88" s="105"/>
      <c r="E88" s="105"/>
      <c r="F88" s="105"/>
      <c r="G88" s="105"/>
      <c r="H88" s="105"/>
      <c r="I88" s="105"/>
      <c r="J88" s="105"/>
      <c r="K88" s="105"/>
      <c r="L88" s="4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</row>
    <row r="89" spans="1:47" s="5" customFormat="1" ht="12" customHeight="1" x14ac:dyDescent="0.2">
      <c r="A89" s="105"/>
      <c r="B89" s="4"/>
      <c r="C89" s="106" t="s">
        <v>17</v>
      </c>
      <c r="D89" s="105"/>
      <c r="E89" s="105"/>
      <c r="F89" s="108" t="str">
        <f>F12</f>
        <v>OPLETALOVA 47,49 - PRAHA 1</v>
      </c>
      <c r="G89" s="105"/>
      <c r="H89" s="105"/>
      <c r="I89" s="106" t="s">
        <v>19</v>
      </c>
      <c r="J89" s="47">
        <f>IF(J12="","",J12)</f>
        <v>44310</v>
      </c>
      <c r="K89" s="105"/>
      <c r="L89" s="4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</row>
    <row r="90" spans="1:47" s="5" customFormat="1" ht="6.95" customHeight="1" x14ac:dyDescent="0.2">
      <c r="A90" s="105"/>
      <c r="B90" s="4"/>
      <c r="C90" s="105"/>
      <c r="D90" s="105"/>
      <c r="E90" s="105"/>
      <c r="F90" s="105"/>
      <c r="G90" s="105"/>
      <c r="H90" s="105"/>
      <c r="I90" s="105"/>
      <c r="J90" s="105"/>
      <c r="K90" s="105"/>
      <c r="L90" s="4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</row>
    <row r="91" spans="1:47" s="5" customFormat="1" ht="38.25" x14ac:dyDescent="0.2">
      <c r="A91" s="105"/>
      <c r="B91" s="4"/>
      <c r="C91" s="106" t="s">
        <v>20</v>
      </c>
      <c r="D91" s="105"/>
      <c r="E91" s="105"/>
      <c r="F91" s="108" t="str">
        <f>E15</f>
        <v>Filozofická fakulta, UK</v>
      </c>
      <c r="G91" s="105"/>
      <c r="H91" s="105"/>
      <c r="I91" s="106" t="s">
        <v>24</v>
      </c>
      <c r="J91" s="109" t="str">
        <f>E21</f>
        <v>Škarda architekti - ing.arch. Václav Škarda</v>
      </c>
      <c r="K91" s="105"/>
      <c r="L91" s="4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</row>
    <row r="92" spans="1:47" s="5" customFormat="1" ht="15.2" customHeight="1" x14ac:dyDescent="0.2">
      <c r="A92" s="105"/>
      <c r="B92" s="4"/>
      <c r="C92" s="106" t="s">
        <v>23</v>
      </c>
      <c r="D92" s="105"/>
      <c r="E92" s="105"/>
      <c r="F92" s="108" t="str">
        <f>IF(E18="","",E18)</f>
        <v xml:space="preserve"> </v>
      </c>
      <c r="G92" s="105"/>
      <c r="H92" s="105"/>
      <c r="I92" s="106" t="s">
        <v>26</v>
      </c>
      <c r="J92" s="109" t="str">
        <f>E24</f>
        <v>Vladimír Mrázek</v>
      </c>
      <c r="K92" s="105"/>
      <c r="L92" s="4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</row>
    <row r="93" spans="1:47" s="5" customFormat="1" ht="10.35" customHeight="1" x14ac:dyDescent="0.2">
      <c r="A93" s="105"/>
      <c r="B93" s="4"/>
      <c r="C93" s="105"/>
      <c r="D93" s="105"/>
      <c r="E93" s="105"/>
      <c r="F93" s="105"/>
      <c r="G93" s="105"/>
      <c r="H93" s="105"/>
      <c r="I93" s="105"/>
      <c r="J93" s="105"/>
      <c r="K93" s="105"/>
      <c r="L93" s="4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</row>
    <row r="94" spans="1:47" s="5" customFormat="1" ht="29.25" customHeight="1" x14ac:dyDescent="0.2">
      <c r="A94" s="105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</row>
    <row r="95" spans="1:47" s="5" customFormat="1" ht="10.35" customHeight="1" x14ac:dyDescent="0.2">
      <c r="A95" s="105"/>
      <c r="B95" s="4"/>
      <c r="C95" s="105"/>
      <c r="D95" s="105"/>
      <c r="E95" s="105"/>
      <c r="F95" s="105"/>
      <c r="G95" s="105"/>
      <c r="H95" s="105"/>
      <c r="I95" s="105"/>
      <c r="J95" s="105"/>
      <c r="K95" s="105"/>
      <c r="L95" s="4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</row>
    <row r="96" spans="1:47" s="5" customFormat="1" ht="22.9" customHeight="1" x14ac:dyDescent="0.2">
      <c r="A96" s="105"/>
      <c r="B96" s="4"/>
      <c r="C96" s="78" t="s">
        <v>91</v>
      </c>
      <c r="D96" s="105"/>
      <c r="E96" s="105"/>
      <c r="F96" s="105"/>
      <c r="G96" s="105"/>
      <c r="H96" s="105"/>
      <c r="I96" s="105"/>
      <c r="J96" s="55">
        <f>J119</f>
        <v>0</v>
      </c>
      <c r="K96" s="105"/>
      <c r="L96" s="4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U96" s="13" t="s">
        <v>92</v>
      </c>
    </row>
    <row r="97" spans="1:31" s="80" customFormat="1" ht="24.95" customHeight="1" x14ac:dyDescent="0.2">
      <c r="B97" s="79"/>
      <c r="D97" s="81" t="s">
        <v>1133</v>
      </c>
      <c r="E97" s="82"/>
      <c r="F97" s="82"/>
      <c r="G97" s="82"/>
      <c r="H97" s="82"/>
      <c r="I97" s="82"/>
      <c r="J97" s="83">
        <f>J120</f>
        <v>0</v>
      </c>
      <c r="L97" s="79"/>
    </row>
    <row r="98" spans="1:31" s="133" customFormat="1" ht="19.899999999999999" customHeight="1" x14ac:dyDescent="0.2">
      <c r="B98" s="134"/>
      <c r="D98" s="135" t="s">
        <v>1134</v>
      </c>
      <c r="E98" s="136"/>
      <c r="F98" s="136"/>
      <c r="G98" s="136"/>
      <c r="H98" s="136"/>
      <c r="I98" s="136"/>
      <c r="J98" s="137">
        <f>J121</f>
        <v>0</v>
      </c>
      <c r="L98" s="134"/>
    </row>
    <row r="99" spans="1:31" s="5" customFormat="1" ht="21.75" customHeight="1" x14ac:dyDescent="0.2">
      <c r="A99" s="105"/>
      <c r="B99" s="4"/>
      <c r="C99" s="105"/>
      <c r="D99" s="105"/>
      <c r="E99" s="105"/>
      <c r="F99" s="105"/>
      <c r="G99" s="105"/>
      <c r="H99" s="105"/>
      <c r="I99" s="105"/>
      <c r="J99" s="105"/>
      <c r="K99" s="105"/>
      <c r="L99" s="4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</row>
    <row r="100" spans="1:31" s="5" customFormat="1" ht="6.95" customHeight="1" x14ac:dyDescent="0.2">
      <c r="A100" s="105"/>
      <c r="B100" s="2"/>
      <c r="C100" s="3"/>
      <c r="D100" s="3"/>
      <c r="E100" s="3"/>
      <c r="F100" s="3"/>
      <c r="G100" s="3"/>
      <c r="H100" s="3"/>
      <c r="I100" s="3"/>
      <c r="J100" s="3"/>
      <c r="K100" s="3"/>
      <c r="L100" s="45"/>
      <c r="S100" s="105"/>
      <c r="T100" s="105"/>
      <c r="U100" s="105"/>
      <c r="V100" s="105"/>
      <c r="W100" s="105"/>
      <c r="X100" s="105"/>
      <c r="Y100" s="105"/>
      <c r="Z100" s="105"/>
      <c r="AA100" s="105"/>
      <c r="AB100" s="105"/>
      <c r="AC100" s="105"/>
      <c r="AD100" s="105"/>
      <c r="AE100" s="105"/>
    </row>
    <row r="104" spans="1:31" s="5" customFormat="1" ht="6.95" customHeight="1" x14ac:dyDescent="0.2">
      <c r="A104" s="105"/>
      <c r="B104" s="74"/>
      <c r="C104" s="75"/>
      <c r="D104" s="75"/>
      <c r="E104" s="75"/>
      <c r="F104" s="75"/>
      <c r="G104" s="75"/>
      <c r="H104" s="75"/>
      <c r="I104" s="75"/>
      <c r="J104" s="75"/>
      <c r="K104" s="75"/>
      <c r="L104" s="45"/>
      <c r="S104" s="105"/>
      <c r="T104" s="105"/>
      <c r="U104" s="105"/>
      <c r="V104" s="105"/>
      <c r="W104" s="105"/>
      <c r="X104" s="105"/>
      <c r="Y104" s="105"/>
      <c r="Z104" s="105"/>
      <c r="AA104" s="105"/>
      <c r="AB104" s="105"/>
      <c r="AC104" s="105"/>
      <c r="AD104" s="105"/>
      <c r="AE104" s="105"/>
    </row>
    <row r="105" spans="1:31" s="5" customFormat="1" ht="24.95" customHeight="1" x14ac:dyDescent="0.2">
      <c r="A105" s="105"/>
      <c r="B105" s="4"/>
      <c r="C105" s="43" t="s">
        <v>115</v>
      </c>
      <c r="D105" s="105"/>
      <c r="E105" s="105"/>
      <c r="F105" s="105"/>
      <c r="G105" s="105"/>
      <c r="H105" s="105"/>
      <c r="I105" s="105"/>
      <c r="J105" s="105"/>
      <c r="K105" s="105"/>
      <c r="L105" s="4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</row>
    <row r="106" spans="1:31" s="5" customFormat="1" ht="6.95" customHeight="1" x14ac:dyDescent="0.2">
      <c r="A106" s="105"/>
      <c r="B106" s="4"/>
      <c r="C106" s="105"/>
      <c r="D106" s="105"/>
      <c r="E106" s="105"/>
      <c r="F106" s="105"/>
      <c r="G106" s="105"/>
      <c r="H106" s="105"/>
      <c r="I106" s="105"/>
      <c r="J106" s="105"/>
      <c r="K106" s="105"/>
      <c r="L106" s="45"/>
      <c r="S106" s="105"/>
      <c r="T106" s="105"/>
      <c r="U106" s="105"/>
      <c r="V106" s="105"/>
      <c r="W106" s="105"/>
      <c r="X106" s="105"/>
      <c r="Y106" s="105"/>
      <c r="Z106" s="105"/>
      <c r="AA106" s="105"/>
      <c r="AB106" s="105"/>
      <c r="AC106" s="105"/>
      <c r="AD106" s="105"/>
      <c r="AE106" s="105"/>
    </row>
    <row r="107" spans="1:31" s="5" customFormat="1" ht="12" customHeight="1" x14ac:dyDescent="0.2">
      <c r="A107" s="105"/>
      <c r="B107" s="4"/>
      <c r="C107" s="106" t="s">
        <v>14</v>
      </c>
      <c r="D107" s="105"/>
      <c r="E107" s="105"/>
      <c r="F107" s="105"/>
      <c r="G107" s="105"/>
      <c r="H107" s="105"/>
      <c r="I107" s="105"/>
      <c r="J107" s="105"/>
      <c r="K107" s="105"/>
      <c r="L107" s="45"/>
      <c r="S107" s="105"/>
      <c r="T107" s="105"/>
      <c r="U107" s="105"/>
      <c r="V107" s="105"/>
      <c r="W107" s="105"/>
      <c r="X107" s="105"/>
      <c r="Y107" s="105"/>
      <c r="Z107" s="105"/>
      <c r="AA107" s="105"/>
      <c r="AB107" s="105"/>
      <c r="AC107" s="105"/>
      <c r="AD107" s="105"/>
      <c r="AE107" s="105"/>
    </row>
    <row r="108" spans="1:31" s="5" customFormat="1" ht="16.5" customHeight="1" x14ac:dyDescent="0.2">
      <c r="A108" s="105"/>
      <c r="B108" s="4"/>
      <c r="C108" s="105"/>
      <c r="D108" s="105"/>
      <c r="E108" s="312" t="str">
        <f>E7</f>
        <v>REKONSTRUKCE A DOSTAVBA BUDOV FF UK - DVD</v>
      </c>
      <c r="F108" s="313"/>
      <c r="G108" s="313"/>
      <c r="H108" s="313"/>
      <c r="I108" s="105"/>
      <c r="J108" s="105"/>
      <c r="K108" s="105"/>
      <c r="L108" s="45"/>
      <c r="S108" s="105"/>
      <c r="T108" s="105"/>
      <c r="U108" s="105"/>
      <c r="V108" s="105"/>
      <c r="W108" s="105"/>
      <c r="X108" s="105"/>
      <c r="Y108" s="105"/>
      <c r="Z108" s="105"/>
      <c r="AA108" s="105"/>
      <c r="AB108" s="105"/>
      <c r="AC108" s="105"/>
      <c r="AD108" s="105"/>
      <c r="AE108" s="105"/>
    </row>
    <row r="109" spans="1:31" s="5" customFormat="1" ht="12" customHeight="1" x14ac:dyDescent="0.2">
      <c r="A109" s="105"/>
      <c r="B109" s="4"/>
      <c r="C109" s="106" t="s">
        <v>87</v>
      </c>
      <c r="D109" s="105"/>
      <c r="E109" s="105"/>
      <c r="F109" s="105"/>
      <c r="G109" s="105"/>
      <c r="H109" s="105"/>
      <c r="I109" s="105"/>
      <c r="J109" s="105"/>
      <c r="K109" s="105"/>
      <c r="L109" s="45"/>
      <c r="S109" s="105"/>
      <c r="T109" s="105"/>
      <c r="U109" s="105"/>
      <c r="V109" s="105"/>
      <c r="W109" s="105"/>
      <c r="X109" s="105"/>
      <c r="Y109" s="105"/>
      <c r="Z109" s="105"/>
      <c r="AA109" s="105"/>
      <c r="AB109" s="105"/>
      <c r="AC109" s="105"/>
      <c r="AD109" s="105"/>
      <c r="AE109" s="105"/>
    </row>
    <row r="110" spans="1:31" s="5" customFormat="1" ht="16.5" customHeight="1" x14ac:dyDescent="0.2">
      <c r="A110" s="105"/>
      <c r="B110" s="4"/>
      <c r="C110" s="105"/>
      <c r="D110" s="105"/>
      <c r="E110" s="277" t="str">
        <f>E9</f>
        <v>15 - RESTAURÁTORSKÝ ZÁMĚR - Štukový portál</v>
      </c>
      <c r="F110" s="311"/>
      <c r="G110" s="311"/>
      <c r="H110" s="311"/>
      <c r="I110" s="105"/>
      <c r="J110" s="105"/>
      <c r="K110" s="105"/>
      <c r="L110" s="45"/>
      <c r="S110" s="105"/>
      <c r="T110" s="105"/>
      <c r="U110" s="105"/>
      <c r="V110" s="105"/>
      <c r="W110" s="105"/>
      <c r="X110" s="105"/>
      <c r="Y110" s="105"/>
      <c r="Z110" s="105"/>
      <c r="AA110" s="105"/>
      <c r="AB110" s="105"/>
      <c r="AC110" s="105"/>
      <c r="AD110" s="105"/>
      <c r="AE110" s="105"/>
    </row>
    <row r="111" spans="1:31" s="5" customFormat="1" ht="6.95" customHeight="1" x14ac:dyDescent="0.2">
      <c r="A111" s="105"/>
      <c r="B111" s="4"/>
      <c r="C111" s="105"/>
      <c r="D111" s="105"/>
      <c r="E111" s="105"/>
      <c r="F111" s="105"/>
      <c r="G111" s="105"/>
      <c r="H111" s="105"/>
      <c r="I111" s="105"/>
      <c r="J111" s="105"/>
      <c r="K111" s="105"/>
      <c r="L111" s="45"/>
      <c r="S111" s="105"/>
      <c r="T111" s="105"/>
      <c r="U111" s="105"/>
      <c r="V111" s="105"/>
      <c r="W111" s="105"/>
      <c r="X111" s="105"/>
      <c r="Y111" s="105"/>
      <c r="Z111" s="105"/>
      <c r="AA111" s="105"/>
      <c r="AB111" s="105"/>
      <c r="AC111" s="105"/>
      <c r="AD111" s="105"/>
      <c r="AE111" s="105"/>
    </row>
    <row r="112" spans="1:31" s="5" customFormat="1" ht="12" customHeight="1" x14ac:dyDescent="0.2">
      <c r="A112" s="105"/>
      <c r="B112" s="4"/>
      <c r="C112" s="106" t="s">
        <v>17</v>
      </c>
      <c r="D112" s="105"/>
      <c r="E112" s="105"/>
      <c r="F112" s="108" t="str">
        <f>F12</f>
        <v>OPLETALOVA 47,49 - PRAHA 1</v>
      </c>
      <c r="G112" s="105"/>
      <c r="H112" s="105"/>
      <c r="I112" s="106" t="s">
        <v>19</v>
      </c>
      <c r="J112" s="47">
        <f>IF(J12="","",J12)</f>
        <v>44310</v>
      </c>
      <c r="K112" s="105"/>
      <c r="L112" s="45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105"/>
      <c r="AD112" s="105"/>
      <c r="AE112" s="105"/>
    </row>
    <row r="113" spans="1:65" s="5" customFormat="1" ht="6.95" customHeight="1" x14ac:dyDescent="0.2">
      <c r="A113" s="105"/>
      <c r="B113" s="4"/>
      <c r="C113" s="105"/>
      <c r="D113" s="105"/>
      <c r="E113" s="105"/>
      <c r="F113" s="105"/>
      <c r="G113" s="105"/>
      <c r="H113" s="105"/>
      <c r="I113" s="105"/>
      <c r="J113" s="105"/>
      <c r="K113" s="105"/>
      <c r="L113" s="45"/>
      <c r="S113" s="105"/>
      <c r="T113" s="105"/>
      <c r="U113" s="105"/>
      <c r="V113" s="105"/>
      <c r="W113" s="105"/>
      <c r="X113" s="105"/>
      <c r="Y113" s="105"/>
      <c r="Z113" s="105"/>
      <c r="AA113" s="105"/>
      <c r="AB113" s="105"/>
      <c r="AC113" s="105"/>
      <c r="AD113" s="105"/>
      <c r="AE113" s="105"/>
    </row>
    <row r="114" spans="1:65" s="5" customFormat="1" ht="38.25" x14ac:dyDescent="0.2">
      <c r="A114" s="105"/>
      <c r="B114" s="4"/>
      <c r="C114" s="106" t="s">
        <v>20</v>
      </c>
      <c r="D114" s="105"/>
      <c r="E114" s="105"/>
      <c r="F114" s="108" t="str">
        <f>E15</f>
        <v>Filozofická fakulta, UK</v>
      </c>
      <c r="G114" s="105"/>
      <c r="H114" s="105"/>
      <c r="I114" s="106" t="s">
        <v>24</v>
      </c>
      <c r="J114" s="109" t="str">
        <f>E21</f>
        <v>Škarda architekti - ing.arch. Václav Škarda</v>
      </c>
      <c r="K114" s="105"/>
      <c r="L114" s="45"/>
      <c r="S114" s="105"/>
      <c r="T114" s="105"/>
      <c r="U114" s="105"/>
      <c r="V114" s="105"/>
      <c r="W114" s="105"/>
      <c r="X114" s="105"/>
      <c r="Y114" s="105"/>
      <c r="Z114" s="105"/>
      <c r="AA114" s="105"/>
      <c r="AB114" s="105"/>
      <c r="AC114" s="105"/>
      <c r="AD114" s="105"/>
      <c r="AE114" s="105"/>
    </row>
    <row r="115" spans="1:65" s="5" customFormat="1" ht="15.2" customHeight="1" x14ac:dyDescent="0.2">
      <c r="A115" s="105"/>
      <c r="B115" s="4"/>
      <c r="C115" s="106" t="s">
        <v>23</v>
      </c>
      <c r="D115" s="105"/>
      <c r="E115" s="105"/>
      <c r="F115" s="108" t="str">
        <f>IF(E18="","",E18)</f>
        <v xml:space="preserve"> </v>
      </c>
      <c r="G115" s="105"/>
      <c r="H115" s="105"/>
      <c r="I115" s="106" t="s">
        <v>26</v>
      </c>
      <c r="J115" s="109" t="str">
        <f>E24</f>
        <v>Vladimír Mrázek</v>
      </c>
      <c r="K115" s="105"/>
      <c r="L115" s="45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5"/>
      <c r="AC115" s="105"/>
      <c r="AD115" s="105"/>
      <c r="AE115" s="105"/>
    </row>
    <row r="116" spans="1:65" s="5" customFormat="1" ht="10.35" customHeight="1" x14ac:dyDescent="0.2">
      <c r="A116" s="105"/>
      <c r="B116" s="4"/>
      <c r="C116" s="105"/>
      <c r="D116" s="105"/>
      <c r="E116" s="105"/>
      <c r="F116" s="105"/>
      <c r="G116" s="105"/>
      <c r="H116" s="105"/>
      <c r="I116" s="105"/>
      <c r="J116" s="105"/>
      <c r="K116" s="105"/>
      <c r="L116" s="45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5"/>
      <c r="AC116" s="105"/>
      <c r="AD116" s="105"/>
      <c r="AE116" s="105"/>
    </row>
    <row r="117" spans="1:65" s="93" customFormat="1" ht="29.25" customHeight="1" x14ac:dyDescent="0.2">
      <c r="A117" s="84"/>
      <c r="B117" s="85"/>
      <c r="C117" s="86" t="s">
        <v>116</v>
      </c>
      <c r="D117" s="87" t="s">
        <v>53</v>
      </c>
      <c r="E117" s="87" t="s">
        <v>49</v>
      </c>
      <c r="F117" s="87" t="s">
        <v>50</v>
      </c>
      <c r="G117" s="87" t="s">
        <v>117</v>
      </c>
      <c r="H117" s="87" t="s">
        <v>118</v>
      </c>
      <c r="I117" s="87" t="s">
        <v>119</v>
      </c>
      <c r="J117" s="87" t="s">
        <v>90</v>
      </c>
      <c r="K117" s="88" t="s">
        <v>120</v>
      </c>
      <c r="L117" s="89"/>
      <c r="M117" s="90" t="s">
        <v>1</v>
      </c>
      <c r="N117" s="91" t="s">
        <v>32</v>
      </c>
      <c r="O117" s="91" t="s">
        <v>121</v>
      </c>
      <c r="P117" s="91" t="s">
        <v>122</v>
      </c>
      <c r="Q117" s="91" t="s">
        <v>123</v>
      </c>
      <c r="R117" s="91" t="s">
        <v>124</v>
      </c>
      <c r="S117" s="91" t="s">
        <v>125</v>
      </c>
      <c r="T117" s="92" t="s">
        <v>126</v>
      </c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</row>
    <row r="118" spans="1:65" s="93" customFormat="1" ht="43.15" customHeight="1" x14ac:dyDescent="0.2">
      <c r="B118" s="89"/>
      <c r="C118" s="314" t="s">
        <v>1149</v>
      </c>
      <c r="D118" s="314"/>
      <c r="E118" s="314"/>
      <c r="F118" s="314"/>
      <c r="G118" s="314"/>
      <c r="H118" s="314"/>
      <c r="I118" s="314"/>
      <c r="J118" s="314"/>
      <c r="K118" s="322"/>
      <c r="L118" s="132"/>
      <c r="M118" s="95"/>
      <c r="N118" s="96"/>
      <c r="O118" s="96"/>
      <c r="P118" s="96"/>
      <c r="Q118" s="96"/>
      <c r="R118" s="96"/>
      <c r="S118" s="96"/>
      <c r="T118" s="97"/>
    </row>
    <row r="119" spans="1:65" s="5" customFormat="1" ht="22.9" customHeight="1" x14ac:dyDescent="0.25">
      <c r="A119" s="105"/>
      <c r="B119" s="4"/>
      <c r="C119" s="98" t="s">
        <v>127</v>
      </c>
      <c r="D119" s="105"/>
      <c r="E119" s="105"/>
      <c r="F119" s="105"/>
      <c r="G119" s="105"/>
      <c r="H119" s="105"/>
      <c r="I119" s="105"/>
      <c r="J119" s="99">
        <f>BK119</f>
        <v>0</v>
      </c>
      <c r="K119" s="105"/>
      <c r="L119" s="4"/>
      <c r="M119" s="100"/>
      <c r="N119" s="101"/>
      <c r="O119" s="53"/>
      <c r="P119" s="102">
        <f>P120</f>
        <v>0</v>
      </c>
      <c r="Q119" s="53"/>
      <c r="R119" s="102">
        <f>R120</f>
        <v>0</v>
      </c>
      <c r="S119" s="53"/>
      <c r="T119" s="103">
        <f>T120</f>
        <v>0</v>
      </c>
      <c r="U119" s="105"/>
      <c r="V119" s="105"/>
      <c r="W119" s="105"/>
      <c r="X119" s="105"/>
      <c r="Y119" s="105"/>
      <c r="Z119" s="105"/>
      <c r="AA119" s="105"/>
      <c r="AB119" s="105"/>
      <c r="AC119" s="105"/>
      <c r="AD119" s="105"/>
      <c r="AE119" s="105"/>
      <c r="AT119" s="13" t="s">
        <v>67</v>
      </c>
      <c r="AU119" s="13" t="s">
        <v>92</v>
      </c>
      <c r="BK119" s="104">
        <f>BK120</f>
        <v>0</v>
      </c>
    </row>
    <row r="120" spans="1:65" s="20" customFormat="1" ht="25.9" customHeight="1" x14ac:dyDescent="0.2">
      <c r="B120" s="21"/>
      <c r="D120" s="26" t="s">
        <v>67</v>
      </c>
      <c r="E120" s="39" t="s">
        <v>1135</v>
      </c>
      <c r="F120" s="39" t="s">
        <v>1136</v>
      </c>
      <c r="J120" s="19">
        <f>BK120</f>
        <v>0</v>
      </c>
      <c r="L120" s="21"/>
      <c r="M120" s="22"/>
      <c r="N120" s="23"/>
      <c r="O120" s="23"/>
      <c r="P120" s="24">
        <f>P121</f>
        <v>0</v>
      </c>
      <c r="Q120" s="23"/>
      <c r="R120" s="24">
        <f>R121</f>
        <v>0</v>
      </c>
      <c r="S120" s="23"/>
      <c r="T120" s="25">
        <f>T121</f>
        <v>0</v>
      </c>
      <c r="AR120" s="26" t="s">
        <v>135</v>
      </c>
      <c r="AT120" s="27" t="s">
        <v>67</v>
      </c>
      <c r="AU120" s="27" t="s">
        <v>68</v>
      </c>
      <c r="AY120" s="26" t="s">
        <v>130</v>
      </c>
      <c r="BK120" s="28">
        <f>BK121</f>
        <v>0</v>
      </c>
    </row>
    <row r="121" spans="1:65" s="20" customFormat="1" ht="22.9" customHeight="1" x14ac:dyDescent="0.2">
      <c r="B121" s="21"/>
      <c r="D121" s="26" t="s">
        <v>67</v>
      </c>
      <c r="E121" s="138" t="s">
        <v>1137</v>
      </c>
      <c r="F121" s="138" t="s">
        <v>1138</v>
      </c>
      <c r="J121" s="139">
        <f>BK121</f>
        <v>0</v>
      </c>
      <c r="L121" s="21"/>
      <c r="M121" s="22"/>
      <c r="N121" s="23"/>
      <c r="O121" s="23"/>
      <c r="P121" s="24">
        <f>SUM(P122:P134)</f>
        <v>0</v>
      </c>
      <c r="Q121" s="23"/>
      <c r="R121" s="24">
        <f>SUM(R122:R134)</f>
        <v>0</v>
      </c>
      <c r="S121" s="23"/>
      <c r="T121" s="25">
        <f>SUM(T122:T134)</f>
        <v>0</v>
      </c>
      <c r="AR121" s="26" t="s">
        <v>135</v>
      </c>
      <c r="AT121" s="27" t="s">
        <v>67</v>
      </c>
      <c r="AU121" s="27" t="s">
        <v>74</v>
      </c>
      <c r="AY121" s="26" t="s">
        <v>130</v>
      </c>
      <c r="BK121" s="28">
        <f>SUM(BK122:BK134)</f>
        <v>0</v>
      </c>
    </row>
    <row r="122" spans="1:65" s="5" customFormat="1" ht="16.5" customHeight="1" x14ac:dyDescent="0.2">
      <c r="A122" s="105"/>
      <c r="B122" s="4"/>
      <c r="C122" s="33" t="s">
        <v>74</v>
      </c>
      <c r="D122" s="33" t="s">
        <v>131</v>
      </c>
      <c r="E122" s="34" t="s">
        <v>1139</v>
      </c>
      <c r="F122" s="7" t="s">
        <v>1140</v>
      </c>
      <c r="G122" s="35" t="s">
        <v>134</v>
      </c>
      <c r="H122" s="36">
        <v>29.722999999999999</v>
      </c>
      <c r="I122" s="1"/>
      <c r="J122" s="6">
        <f>ROUND(I122*H122,2)</f>
        <v>0</v>
      </c>
      <c r="K122" s="7" t="s">
        <v>1</v>
      </c>
      <c r="L122" s="4"/>
      <c r="M122" s="8" t="s">
        <v>1</v>
      </c>
      <c r="N122" s="9" t="s">
        <v>33</v>
      </c>
      <c r="O122" s="10">
        <v>0</v>
      </c>
      <c r="P122" s="10">
        <f>O122*H122</f>
        <v>0</v>
      </c>
      <c r="Q122" s="10">
        <v>0</v>
      </c>
      <c r="R122" s="10">
        <f>Q122*H122</f>
        <v>0</v>
      </c>
      <c r="S122" s="10">
        <v>0</v>
      </c>
      <c r="T122" s="11">
        <f>S122*H122</f>
        <v>0</v>
      </c>
      <c r="U122" s="105"/>
      <c r="V122" s="105"/>
      <c r="W122" s="105"/>
      <c r="X122" s="105"/>
      <c r="Y122" s="105"/>
      <c r="Z122" s="105"/>
      <c r="AA122" s="105"/>
      <c r="AB122" s="105"/>
      <c r="AC122" s="105"/>
      <c r="AD122" s="105"/>
      <c r="AE122" s="105"/>
      <c r="AR122" s="12" t="s">
        <v>1141</v>
      </c>
      <c r="AT122" s="12" t="s">
        <v>131</v>
      </c>
      <c r="AU122" s="12" t="s">
        <v>76</v>
      </c>
      <c r="AY122" s="13" t="s">
        <v>130</v>
      </c>
      <c r="BE122" s="14">
        <f>IF(N122="základní",J122,0)</f>
        <v>0</v>
      </c>
      <c r="BF122" s="14">
        <f>IF(N122="snížená",J122,0)</f>
        <v>0</v>
      </c>
      <c r="BG122" s="14">
        <f>IF(N122="zákl. přenesená",J122,0)</f>
        <v>0</v>
      </c>
      <c r="BH122" s="14">
        <f>IF(N122="sníž. přenesená",J122,0)</f>
        <v>0</v>
      </c>
      <c r="BI122" s="14">
        <f>IF(N122="nulová",J122,0)</f>
        <v>0</v>
      </c>
      <c r="BJ122" s="13" t="s">
        <v>74</v>
      </c>
      <c r="BK122" s="14">
        <f>ROUND(I122*H122,2)</f>
        <v>0</v>
      </c>
      <c r="BL122" s="13" t="s">
        <v>1141</v>
      </c>
      <c r="BM122" s="12" t="s">
        <v>76</v>
      </c>
    </row>
    <row r="123" spans="1:65" s="5" customFormat="1" ht="10.15" customHeight="1" x14ac:dyDescent="0.2">
      <c r="B123" s="45"/>
      <c r="C123" s="114"/>
      <c r="D123" s="320" t="s">
        <v>340</v>
      </c>
      <c r="E123" s="115"/>
      <c r="F123" s="116" t="s">
        <v>1199</v>
      </c>
      <c r="H123" s="117">
        <f>(0.61*0.6)+(0.23*0.59)+(0.53*0.6)+(0.61*0.65)+(0.23*0.66)+(0.53*0.64)</f>
        <v>1.7072000000000001</v>
      </c>
      <c r="I123" s="118"/>
      <c r="J123" s="118"/>
      <c r="K123" s="119"/>
      <c r="L123" s="120"/>
      <c r="M123" s="121"/>
      <c r="N123" s="122"/>
      <c r="O123" s="123"/>
      <c r="P123" s="123"/>
      <c r="Q123" s="123"/>
      <c r="R123" s="123"/>
      <c r="S123" s="123"/>
      <c r="T123" s="124"/>
      <c r="AR123" s="125"/>
      <c r="AT123" s="125"/>
      <c r="AU123" s="125"/>
      <c r="AY123" s="126"/>
      <c r="BE123" s="127"/>
      <c r="BF123" s="127"/>
      <c r="BG123" s="127"/>
      <c r="BH123" s="127"/>
      <c r="BI123" s="127"/>
      <c r="BJ123" s="126"/>
      <c r="BK123" s="127"/>
      <c r="BL123" s="126"/>
      <c r="BM123" s="125"/>
    </row>
    <row r="124" spans="1:65" s="5" customFormat="1" ht="10.15" customHeight="1" x14ac:dyDescent="0.2">
      <c r="B124" s="45"/>
      <c r="D124" s="321"/>
      <c r="F124" s="116" t="s">
        <v>1200</v>
      </c>
      <c r="H124" s="117">
        <f>2*(((0.18+0.45+0.45)*1.59)+(0.08*2.36)+((0.23+0.6+0.45)*0.17))</f>
        <v>4.2472000000000012</v>
      </c>
      <c r="L124" s="120"/>
      <c r="M124" s="128"/>
      <c r="T124" s="129"/>
      <c r="V124" s="130"/>
      <c r="AT124" s="126" t="s">
        <v>148</v>
      </c>
      <c r="AU124" s="126" t="s">
        <v>74</v>
      </c>
    </row>
    <row r="125" spans="1:65" s="5" customFormat="1" ht="10.15" customHeight="1" x14ac:dyDescent="0.2">
      <c r="B125" s="45"/>
      <c r="D125" s="321"/>
      <c r="F125" s="116" t="s">
        <v>1201</v>
      </c>
      <c r="H125" s="117">
        <f>((0.18+3.51+0.18)*2.18)-((3.14*1.3*1.3)/2)</f>
        <v>5.7832999999999997</v>
      </c>
      <c r="L125" s="131"/>
      <c r="M125" s="128"/>
      <c r="T125" s="129"/>
      <c r="AT125" s="126" t="s">
        <v>148</v>
      </c>
      <c r="AU125" s="126" t="s">
        <v>74</v>
      </c>
    </row>
    <row r="126" spans="1:65" s="5" customFormat="1" ht="10.15" customHeight="1" x14ac:dyDescent="0.2">
      <c r="B126" s="45"/>
      <c r="C126" s="114"/>
      <c r="D126" s="321"/>
      <c r="E126" s="115"/>
      <c r="F126" s="116" t="s">
        <v>1202</v>
      </c>
      <c r="H126" s="117">
        <f>(0.26+4.1+0.26)*0.43</f>
        <v>1.9865999999999997</v>
      </c>
      <c r="I126" s="118"/>
      <c r="J126" s="118"/>
      <c r="K126" s="119"/>
      <c r="L126" s="131"/>
      <c r="M126" s="121"/>
      <c r="N126" s="122"/>
      <c r="O126" s="123"/>
      <c r="P126" s="123"/>
      <c r="Q126" s="123"/>
      <c r="R126" s="123"/>
      <c r="S126" s="123"/>
      <c r="T126" s="124"/>
      <c r="AR126" s="125"/>
      <c r="AT126" s="125"/>
      <c r="AU126" s="125"/>
      <c r="AY126" s="126"/>
      <c r="BE126" s="127"/>
      <c r="BF126" s="127"/>
      <c r="BG126" s="127"/>
      <c r="BH126" s="127"/>
      <c r="BI126" s="127"/>
      <c r="BJ126" s="126"/>
      <c r="BK126" s="127"/>
      <c r="BL126" s="126"/>
      <c r="BM126" s="125"/>
    </row>
    <row r="127" spans="1:65" s="5" customFormat="1" ht="12" x14ac:dyDescent="0.2">
      <c r="B127" s="45"/>
      <c r="C127" s="114"/>
      <c r="D127" s="321"/>
      <c r="E127" s="115"/>
      <c r="F127" s="116" t="s">
        <v>1203</v>
      </c>
      <c r="H127" s="117">
        <f>(0.22*2.36)+(0.22*2.41)+(3.05*1.76)-((3.14*1.3*1.3)/2)</f>
        <v>3.7640999999999982</v>
      </c>
      <c r="I127" s="118"/>
      <c r="J127" s="118"/>
      <c r="K127" s="119"/>
      <c r="L127" s="131"/>
      <c r="M127" s="121"/>
      <c r="N127" s="122"/>
      <c r="O127" s="123"/>
      <c r="P127" s="123"/>
      <c r="Q127" s="123"/>
      <c r="R127" s="123"/>
      <c r="S127" s="123"/>
      <c r="T127" s="124"/>
      <c r="AR127" s="125"/>
      <c r="AT127" s="125"/>
      <c r="AU127" s="125"/>
      <c r="AY127" s="126"/>
      <c r="BE127" s="127"/>
      <c r="BF127" s="127"/>
      <c r="BG127" s="127"/>
      <c r="BH127" s="127"/>
      <c r="BI127" s="127"/>
      <c r="BJ127" s="126"/>
      <c r="BK127" s="127"/>
      <c r="BL127" s="126"/>
      <c r="BM127" s="125"/>
    </row>
    <row r="128" spans="1:65" s="5" customFormat="1" ht="10.15" customHeight="1" x14ac:dyDescent="0.2">
      <c r="B128" s="45"/>
      <c r="C128" s="114"/>
      <c r="D128" s="321"/>
      <c r="E128" s="115"/>
      <c r="F128" s="116" t="s">
        <v>1204</v>
      </c>
      <c r="H128" s="117">
        <f>(0.36*2.36)+(0.36*2.41)+(3.78*1.76)-((3.14*1.53*1.53)/2)</f>
        <v>4.6947869999999998</v>
      </c>
      <c r="I128" s="118"/>
      <c r="J128" s="118"/>
      <c r="K128" s="119"/>
      <c r="L128" s="131"/>
      <c r="M128" s="121"/>
      <c r="N128" s="122"/>
      <c r="O128" s="123"/>
      <c r="P128" s="123"/>
      <c r="Q128" s="123"/>
      <c r="R128" s="123"/>
      <c r="S128" s="123"/>
      <c r="T128" s="124"/>
      <c r="AR128" s="125"/>
      <c r="AT128" s="125"/>
      <c r="AU128" s="125"/>
      <c r="AY128" s="126"/>
      <c r="BE128" s="127"/>
      <c r="BF128" s="127"/>
      <c r="BG128" s="127"/>
      <c r="BH128" s="127"/>
      <c r="BI128" s="127"/>
      <c r="BJ128" s="126"/>
      <c r="BK128" s="127"/>
      <c r="BL128" s="126"/>
      <c r="BM128" s="125"/>
    </row>
    <row r="129" spans="1:65" s="5" customFormat="1" ht="10.15" customHeight="1" x14ac:dyDescent="0.2">
      <c r="B129" s="45"/>
      <c r="D129" s="321"/>
      <c r="F129" s="116" t="s">
        <v>1205</v>
      </c>
      <c r="H129" s="117">
        <f>(0.45*3.14*1.3)+(0.6*2.35*2)+(0.6*3.14*1.53)</f>
        <v>7.5394199999999998</v>
      </c>
      <c r="L129" s="131"/>
      <c r="M129" s="128"/>
      <c r="T129" s="129"/>
      <c r="AT129" s="126" t="s">
        <v>148</v>
      </c>
      <c r="AU129" s="126" t="s">
        <v>74</v>
      </c>
    </row>
    <row r="130" spans="1:65" s="5" customFormat="1" ht="10.15" customHeight="1" x14ac:dyDescent="0.2">
      <c r="B130" s="45"/>
      <c r="D130" s="321"/>
      <c r="F130" s="116" t="s">
        <v>342</v>
      </c>
      <c r="H130" s="117">
        <f>SUM(H123:H129)</f>
        <v>29.722606999999996</v>
      </c>
      <c r="L130" s="132"/>
      <c r="M130" s="128"/>
      <c r="T130" s="129"/>
      <c r="AT130" s="126" t="s">
        <v>148</v>
      </c>
      <c r="AU130" s="126" t="s">
        <v>74</v>
      </c>
    </row>
    <row r="131" spans="1:65" s="5" customFormat="1" ht="87.75" x14ac:dyDescent="0.2">
      <c r="A131" s="105"/>
      <c r="B131" s="4"/>
      <c r="C131" s="105"/>
      <c r="D131" s="37" t="s">
        <v>148</v>
      </c>
      <c r="E131" s="105"/>
      <c r="F131" s="38" t="s">
        <v>1142</v>
      </c>
      <c r="G131" s="105"/>
      <c r="H131" s="105"/>
      <c r="I131" s="105"/>
      <c r="J131" s="105"/>
      <c r="K131" s="105"/>
      <c r="L131" s="4"/>
      <c r="M131" s="15"/>
      <c r="N131" s="16"/>
      <c r="O131" s="17"/>
      <c r="P131" s="17"/>
      <c r="Q131" s="17"/>
      <c r="R131" s="17"/>
      <c r="S131" s="17"/>
      <c r="T131" s="18"/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  <c r="AT131" s="13" t="s">
        <v>148</v>
      </c>
      <c r="AU131" s="13" t="s">
        <v>76</v>
      </c>
    </row>
    <row r="132" spans="1:65" s="5" customFormat="1" ht="16.5" customHeight="1" x14ac:dyDescent="0.2">
      <c r="A132" s="105"/>
      <c r="B132" s="4"/>
      <c r="C132" s="33" t="s">
        <v>76</v>
      </c>
      <c r="D132" s="33" t="s">
        <v>131</v>
      </c>
      <c r="E132" s="34" t="s">
        <v>1143</v>
      </c>
      <c r="F132" s="7" t="s">
        <v>1144</v>
      </c>
      <c r="G132" s="35" t="s">
        <v>157</v>
      </c>
      <c r="H132" s="36">
        <v>2</v>
      </c>
      <c r="I132" s="1"/>
      <c r="J132" s="6">
        <f>ROUND(I132*H132,2)</f>
        <v>0</v>
      </c>
      <c r="K132" s="7" t="s">
        <v>1</v>
      </c>
      <c r="L132" s="4"/>
      <c r="M132" s="8" t="s">
        <v>1</v>
      </c>
      <c r="N132" s="9" t="s">
        <v>33</v>
      </c>
      <c r="O132" s="10">
        <v>0</v>
      </c>
      <c r="P132" s="10">
        <f>O132*H132</f>
        <v>0</v>
      </c>
      <c r="Q132" s="10">
        <v>0</v>
      </c>
      <c r="R132" s="10">
        <f>Q132*H132</f>
        <v>0</v>
      </c>
      <c r="S132" s="10">
        <v>0</v>
      </c>
      <c r="T132" s="11">
        <f>S132*H132</f>
        <v>0</v>
      </c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  <c r="AR132" s="12" t="s">
        <v>1141</v>
      </c>
      <c r="AT132" s="12" t="s">
        <v>131</v>
      </c>
      <c r="AU132" s="12" t="s">
        <v>76</v>
      </c>
      <c r="AY132" s="13" t="s">
        <v>130</v>
      </c>
      <c r="BE132" s="14">
        <f>IF(N132="základní",J132,0)</f>
        <v>0</v>
      </c>
      <c r="BF132" s="14">
        <f>IF(N132="snížená",J132,0)</f>
        <v>0</v>
      </c>
      <c r="BG132" s="14">
        <f>IF(N132="zákl. přenesená",J132,0)</f>
        <v>0</v>
      </c>
      <c r="BH132" s="14">
        <f>IF(N132="sníž. přenesená",J132,0)</f>
        <v>0</v>
      </c>
      <c r="BI132" s="14">
        <f>IF(N132="nulová",J132,0)</f>
        <v>0</v>
      </c>
      <c r="BJ132" s="13" t="s">
        <v>74</v>
      </c>
      <c r="BK132" s="14">
        <f>ROUND(I132*H132,2)</f>
        <v>0</v>
      </c>
      <c r="BL132" s="13" t="s">
        <v>1141</v>
      </c>
      <c r="BM132" s="12" t="s">
        <v>135</v>
      </c>
    </row>
    <row r="133" spans="1:65" s="5" customFormat="1" ht="29.25" x14ac:dyDescent="0.2">
      <c r="A133" s="105"/>
      <c r="B133" s="4"/>
      <c r="C133" s="105"/>
      <c r="D133" s="37" t="s">
        <v>148</v>
      </c>
      <c r="E133" s="105"/>
      <c r="F133" s="38" t="s">
        <v>1145</v>
      </c>
      <c r="G133" s="105"/>
      <c r="H133" s="105"/>
      <c r="I133" s="105"/>
      <c r="J133" s="105"/>
      <c r="K133" s="105"/>
      <c r="L133" s="4"/>
      <c r="M133" s="15"/>
      <c r="N133" s="16"/>
      <c r="O133" s="17"/>
      <c r="P133" s="17"/>
      <c r="Q133" s="17"/>
      <c r="R133" s="17"/>
      <c r="S133" s="17"/>
      <c r="T133" s="18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  <c r="AT133" s="13" t="s">
        <v>148</v>
      </c>
      <c r="AU133" s="13" t="s">
        <v>76</v>
      </c>
    </row>
    <row r="134" spans="1:65" s="5" customFormat="1" ht="16.5" customHeight="1" x14ac:dyDescent="0.2">
      <c r="A134" s="105"/>
      <c r="B134" s="4"/>
      <c r="C134" s="33" t="s">
        <v>141</v>
      </c>
      <c r="D134" s="33" t="s">
        <v>131</v>
      </c>
      <c r="E134" s="34" t="s">
        <v>1146</v>
      </c>
      <c r="F134" s="7" t="s">
        <v>1147</v>
      </c>
      <c r="G134" s="35" t="s">
        <v>138</v>
      </c>
      <c r="H134" s="36">
        <v>1</v>
      </c>
      <c r="I134" s="1"/>
      <c r="J134" s="6">
        <f>ROUND(I134*H134,2)</f>
        <v>0</v>
      </c>
      <c r="K134" s="7" t="s">
        <v>1</v>
      </c>
      <c r="L134" s="4"/>
      <c r="M134" s="29" t="s">
        <v>1</v>
      </c>
      <c r="N134" s="30" t="s">
        <v>33</v>
      </c>
      <c r="O134" s="31">
        <v>0</v>
      </c>
      <c r="P134" s="31">
        <f>O134*H134</f>
        <v>0</v>
      </c>
      <c r="Q134" s="31">
        <v>0</v>
      </c>
      <c r="R134" s="31">
        <f>Q134*H134</f>
        <v>0</v>
      </c>
      <c r="S134" s="31">
        <v>0</v>
      </c>
      <c r="T134" s="32">
        <f>S134*H134</f>
        <v>0</v>
      </c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  <c r="AR134" s="12" t="s">
        <v>1141</v>
      </c>
      <c r="AT134" s="12" t="s">
        <v>131</v>
      </c>
      <c r="AU134" s="12" t="s">
        <v>76</v>
      </c>
      <c r="AY134" s="13" t="s">
        <v>130</v>
      </c>
      <c r="BE134" s="14">
        <f>IF(N134="základní",J134,0)</f>
        <v>0</v>
      </c>
      <c r="BF134" s="14">
        <f>IF(N134="snížená",J134,0)</f>
        <v>0</v>
      </c>
      <c r="BG134" s="14">
        <f>IF(N134="zákl. přenesená",J134,0)</f>
        <v>0</v>
      </c>
      <c r="BH134" s="14">
        <f>IF(N134="sníž. přenesená",J134,0)</f>
        <v>0</v>
      </c>
      <c r="BI134" s="14">
        <f>IF(N134="nulová",J134,0)</f>
        <v>0</v>
      </c>
      <c r="BJ134" s="13" t="s">
        <v>74</v>
      </c>
      <c r="BK134" s="14">
        <f>ROUND(I134*H134,2)</f>
        <v>0</v>
      </c>
      <c r="BL134" s="13" t="s">
        <v>1141</v>
      </c>
      <c r="BM134" s="12" t="s">
        <v>144</v>
      </c>
    </row>
    <row r="135" spans="1:65" s="5" customFormat="1" ht="6.95" customHeight="1" x14ac:dyDescent="0.2">
      <c r="A135" s="105"/>
      <c r="B135" s="2"/>
      <c r="C135" s="3"/>
      <c r="D135" s="3"/>
      <c r="E135" s="3"/>
      <c r="F135" s="3"/>
      <c r="G135" s="3"/>
      <c r="H135" s="3"/>
      <c r="I135" s="3"/>
      <c r="J135" s="3"/>
      <c r="K135" s="3"/>
      <c r="L135" s="4"/>
      <c r="M135" s="105"/>
      <c r="O135" s="105"/>
      <c r="P135" s="105"/>
      <c r="Q135" s="105"/>
      <c r="R135" s="105"/>
      <c r="S135" s="105"/>
      <c r="T135" s="105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</row>
  </sheetData>
  <sheetProtection algorithmName="SHA-512" hashValue="t2PnqVpp4Wnsbex6s6Xi2zq2C/wJgcc1okO3+BXEuGN880elAojar9NE+Gvl88bSevgbMnvciI1NvowAA7Ro6w==" saltValue="ISkYWdwmcDeO07kPeUmotg==" spinCount="100000" sheet="1" objects="1" scenarios="1"/>
  <autoFilter ref="C117:K134"/>
  <mergeCells count="11">
    <mergeCell ref="D123:D130"/>
    <mergeCell ref="E87:H87"/>
    <mergeCell ref="E108:H108"/>
    <mergeCell ref="E110:H110"/>
    <mergeCell ref="L2:V2"/>
    <mergeCell ref="C118:K11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10 - RESTAURÁTORSKÝ ZÁMĚR...</vt:lpstr>
      <vt:lpstr>11 - RESTAURÁTORSKÝ ZÁMĚR...</vt:lpstr>
      <vt:lpstr>12 - RESTAURÁTORSKÝ ZÁMĚR...</vt:lpstr>
      <vt:lpstr>13 - RESTAURÁTORSKÝ ZÁMĚR...</vt:lpstr>
      <vt:lpstr>14 - RESTAURÁTORSKÝ ZÁMĚR...</vt:lpstr>
      <vt:lpstr>15 - RESTAURÁTORSKÝ ZÁMĚR...</vt:lpstr>
      <vt:lpstr>'10 - RESTAURÁTORSKÝ ZÁMĚR...'!Názvy_tisku</vt:lpstr>
      <vt:lpstr>'11 - RESTAURÁTORSKÝ ZÁMĚR...'!Názvy_tisku</vt:lpstr>
      <vt:lpstr>'12 - RESTAURÁTORSKÝ ZÁMĚR...'!Názvy_tisku</vt:lpstr>
      <vt:lpstr>'13 - RESTAURÁTORSKÝ ZÁMĚR...'!Názvy_tisku</vt:lpstr>
      <vt:lpstr>'14 - RESTAURÁTORSKÝ ZÁMĚR...'!Názvy_tisku</vt:lpstr>
      <vt:lpstr>'15 - RESTAURÁTORSKÝ ZÁMĚR...'!Názvy_tisku</vt:lpstr>
      <vt:lpstr>'Rekapitulace stavby'!Názvy_tisku</vt:lpstr>
      <vt:lpstr>'10 - RESTAURÁTORSKÝ ZÁMĚR...'!Oblast_tisku</vt:lpstr>
      <vt:lpstr>'11 - RESTAURÁTORSKÝ ZÁMĚR...'!Oblast_tisku</vt:lpstr>
      <vt:lpstr>'12 - RESTAURÁTORSKÝ ZÁMĚR...'!Oblast_tisku</vt:lpstr>
      <vt:lpstr>'13 - RESTAURÁTORSKÝ ZÁMĚR...'!Oblast_tisku</vt:lpstr>
      <vt:lpstr>'14 - RESTAURÁTORSKÝ ZÁMĚR...'!Oblast_tisku</vt:lpstr>
      <vt:lpstr>'15 - RESTAURÁTORSKÝ ZÁMĚR...'!Oblast_tisku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TOMASNTB\HP</dc:creator>
  <cp:lastModifiedBy>SKRADA61</cp:lastModifiedBy>
  <dcterms:created xsi:type="dcterms:W3CDTF">2021-04-14T12:30:03Z</dcterms:created>
  <dcterms:modified xsi:type="dcterms:W3CDTF">2022-09-22T13:53:32Z</dcterms:modified>
</cp:coreProperties>
</file>