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24226"/>
  <bookViews>
    <workbookView xWindow="65416" yWindow="65416" windowWidth="29040" windowHeight="17520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state="hidden" r:id="rId4"/>
  </sheets>
  <definedNames>
    <definedName name="vorn_sum">'VORN'!$I$36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<sst xmlns="http://schemas.openxmlformats.org/spreadsheetml/2006/main" count="2355" uniqueCount="677">
  <si>
    <t>Slepý stavební rozpočet</t>
  </si>
  <si>
    <t>Název stavby:</t>
  </si>
  <si>
    <t>Kolej Hostivař - blok č.10</t>
  </si>
  <si>
    <t>Doba výstavby:</t>
  </si>
  <si>
    <t xml:space="preserve"> </t>
  </si>
  <si>
    <t>Objednatel:</t>
  </si>
  <si>
    <t>UK Koleje a menzy</t>
  </si>
  <si>
    <t>Druh stavby:</t>
  </si>
  <si>
    <t>Oprava hav. stavu vodovodních a kanalizačních stoupaček a sociálních zař. vč. stavebních prací</t>
  </si>
  <si>
    <t>Začátek výstavby:</t>
  </si>
  <si>
    <t>Projektant:</t>
  </si>
  <si>
    <t> </t>
  </si>
  <si>
    <t>Lokalita:</t>
  </si>
  <si>
    <t>Praha</t>
  </si>
  <si>
    <t>Konec výstavby:</t>
  </si>
  <si>
    <t>Zhotovitel:</t>
  </si>
  <si>
    <t>JKSO:</t>
  </si>
  <si>
    <t>Zpracováno dne:</t>
  </si>
  <si>
    <t>Zpracoval:</t>
  </si>
  <si>
    <t>Č</t>
  </si>
  <si>
    <t>Zkrácený popis</t>
  </si>
  <si>
    <t>MJ</t>
  </si>
  <si>
    <t>Množství</t>
  </si>
  <si>
    <t>Cena/MJ</t>
  </si>
  <si>
    <t>Náklady (Kč)</t>
  </si>
  <si>
    <t>ISWORK</t>
  </si>
  <si>
    <t>GROUPCODE</t>
  </si>
  <si>
    <t>Rozměry</t>
  </si>
  <si>
    <t>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</si>
  <si>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</si>
  <si>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</si>
  <si>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</si>
  <si>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</si>
  <si>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</si>
  <si>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</si>
  <si>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</si>
  <si>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</si>
  <si>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</si>
  <si>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</si>
  <si>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</si>
  <si>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</si>
  <si>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</si>
  <si>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</si>
  <si>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</si>
  <si>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/>
  </si>
  <si>
    <t>Základy</t>
  </si>
  <si>
    <t>1</t>
  </si>
  <si>
    <t>Zdivo cihelné podezdívek pod konstrukce, plochy do 2m2 - pod vaničky</t>
  </si>
  <si>
    <t>m3</t>
  </si>
  <si>
    <t>27_</t>
  </si>
  <si>
    <t>2_</t>
  </si>
  <si>
    <t>_</t>
  </si>
  <si>
    <t>Zdi podpěrné a volné</t>
  </si>
  <si>
    <t>2</t>
  </si>
  <si>
    <t>Připojení zdí ke stávající konstrukci kotvou z nerez oceli na hmoždinku</t>
  </si>
  <si>
    <t>m</t>
  </si>
  <si>
    <t>31_</t>
  </si>
  <si>
    <t>3_</t>
  </si>
  <si>
    <t>3</t>
  </si>
  <si>
    <t>Zazdívka otvorů pl. 0,25 m2 cihlami, tl. zdi 45 cm</t>
  </si>
  <si>
    <t>kus</t>
  </si>
  <si>
    <t>4</t>
  </si>
  <si>
    <t>Lokální oprava zdiva tmelem do tl. 5 mm, plochy do 1 m2</t>
  </si>
  <si>
    <t>m2</t>
  </si>
  <si>
    <t>5</t>
  </si>
  <si>
    <t>Vyrovnání zdiva pod omítku maltou ze suché maltové směsi tl. 20 mm - stěny</t>
  </si>
  <si>
    <t>6</t>
  </si>
  <si>
    <t>Překlad nenosný Ytong</t>
  </si>
  <si>
    <t>7</t>
  </si>
  <si>
    <t>Vyrovnání zdiva pod omítku maltou ze suché maltové směsi tl. 10 mm - stropy</t>
  </si>
  <si>
    <t>Stěny a příčky</t>
  </si>
  <si>
    <t>8</t>
  </si>
  <si>
    <t>Příčka z desek Ytong hladkých, tloušťka 10 cm</t>
  </si>
  <si>
    <t>34_</t>
  </si>
  <si>
    <t>9</t>
  </si>
  <si>
    <t>Obezdívky sprchových vaniček z desek Ytong tl. 150 mm</t>
  </si>
  <si>
    <t>10</t>
  </si>
  <si>
    <t>Těsnění styku příčky se stáv. konstrukcí PU pěnou</t>
  </si>
  <si>
    <t>11</t>
  </si>
  <si>
    <t>Zaplentování drážek el. a ZT</t>
  </si>
  <si>
    <t>Vodorovné nosné konstrukce</t>
  </si>
  <si>
    <t>12</t>
  </si>
  <si>
    <t>Zabetonování dutin a otvorů - prostupů</t>
  </si>
  <si>
    <t>42_</t>
  </si>
  <si>
    <t>4_</t>
  </si>
  <si>
    <t>Omítky ze suchých směsí</t>
  </si>
  <si>
    <t>13</t>
  </si>
  <si>
    <t>Postřik maltou sanační Cemix WTA 044, ručně</t>
  </si>
  <si>
    <t>60_</t>
  </si>
  <si>
    <t>6_</t>
  </si>
  <si>
    <t>14</t>
  </si>
  <si>
    <t>Podhoz sanační Cemix WTA 014 ručně, tl. 15 mm</t>
  </si>
  <si>
    <t>15</t>
  </si>
  <si>
    <t>Štuk na stěnách sanační Cemix 034 tl. 5 mm, ručně</t>
  </si>
  <si>
    <t>16</t>
  </si>
  <si>
    <t>Postřik cementový Cemix 052 - stěny,stropy ručně</t>
  </si>
  <si>
    <t>17</t>
  </si>
  <si>
    <t>Penetrační nátěr stěn PCI Multigrund PGU</t>
  </si>
  <si>
    <t>18</t>
  </si>
  <si>
    <t>Štuk na stěnách vnitřní Cemix 033, ručně</t>
  </si>
  <si>
    <t>19</t>
  </si>
  <si>
    <t>Omítka stropů jádrová Hasit 650 ručně</t>
  </si>
  <si>
    <t>20</t>
  </si>
  <si>
    <t>Penetrační nátěr stropů PROFI Putzgrund</t>
  </si>
  <si>
    <t>21</t>
  </si>
  <si>
    <t>Štuk na stropech Cemix 033 ručně</t>
  </si>
  <si>
    <t>22</t>
  </si>
  <si>
    <t>Omítka jádrová na stěny Hasit 650 ručně</t>
  </si>
  <si>
    <t>23</t>
  </si>
  <si>
    <t>Omítka jádrová sanační Cemix 084, ručně</t>
  </si>
  <si>
    <t>Úprava povrchů vnitřní</t>
  </si>
  <si>
    <t>24</t>
  </si>
  <si>
    <t>Hrubá výplň rýh ve stěnách do 15x15cm maltou z SMS</t>
  </si>
  <si>
    <t>61_</t>
  </si>
  <si>
    <t>25</t>
  </si>
  <si>
    <t>Začištění omítek kolem oken,dveří apod.</t>
  </si>
  <si>
    <t>26</t>
  </si>
  <si>
    <t>Síťovina pro vyztužení jádrové omítky, oka 10/10 mm</t>
  </si>
  <si>
    <t>27</t>
  </si>
  <si>
    <t>Omítka sanační tl. 30 mm, 2vrstvá - zasol. střední</t>
  </si>
  <si>
    <t>28</t>
  </si>
  <si>
    <t>Příplatek za zahlazení povrchu</t>
  </si>
  <si>
    <t>Podlahy a podlahové konstrukce</t>
  </si>
  <si>
    <t>29</t>
  </si>
  <si>
    <t>Vyrovnávací potěr tl. 20mm + pod sprchovací vaničky</t>
  </si>
  <si>
    <t>63_</t>
  </si>
  <si>
    <t>30</t>
  </si>
  <si>
    <t>Mazanina samonivelační, tloušťka 5 - 8 cm</t>
  </si>
  <si>
    <t>Výplně otvorů</t>
  </si>
  <si>
    <t>31</t>
  </si>
  <si>
    <t>Osazení zárubní dveřních ocelových, pl. do 2,5 m2</t>
  </si>
  <si>
    <t>64_</t>
  </si>
  <si>
    <t>Izolace proti vodě</t>
  </si>
  <si>
    <t>32</t>
  </si>
  <si>
    <t>Těsnicí pás do spoje podlaha - stěna</t>
  </si>
  <si>
    <t>711_</t>
  </si>
  <si>
    <t>71_</t>
  </si>
  <si>
    <t>33</t>
  </si>
  <si>
    <t>Utěsnění detailů při stěrkových hydroizolacích, těsnicí pás do svislých koutů</t>
  </si>
  <si>
    <t>34</t>
  </si>
  <si>
    <t>Penetrace podkladu pod hydroizolační nátěr s vytažením na stěnu vč. dod.</t>
  </si>
  <si>
    <t>35</t>
  </si>
  <si>
    <t>Hydroizolační povlak - nátěr nebo stěrka vč. materiálu</t>
  </si>
  <si>
    <t>36</t>
  </si>
  <si>
    <t>Provedení izolace proti vlhkosti na ploše vodorovné, 1x asfaltovým penetračním nátěrem</t>
  </si>
  <si>
    <t>Izolace tepelné</t>
  </si>
  <si>
    <t>37</t>
  </si>
  <si>
    <t>Montáž izolační výplně, požární</t>
  </si>
  <si>
    <t>713_</t>
  </si>
  <si>
    <t>Vnitřní kanalizace</t>
  </si>
  <si>
    <t>38</t>
  </si>
  <si>
    <t>Demontáž svislého potrubí novodurového</t>
  </si>
  <si>
    <t>721_</t>
  </si>
  <si>
    <t>72_</t>
  </si>
  <si>
    <t>39</t>
  </si>
  <si>
    <t>Demontáž potrubí z PVC do D 160 mm</t>
  </si>
  <si>
    <t>40</t>
  </si>
  <si>
    <t>Potrubí HT odpadní svislé, D 50 x 1,8 mm</t>
  </si>
  <si>
    <t>41</t>
  </si>
  <si>
    <t>Potrubí HT připojovací, D 40 x 1,8 mm</t>
  </si>
  <si>
    <t>42</t>
  </si>
  <si>
    <t>Potrubí Wavin SiTech+ odpadní svislé, D 125 x 4,0 mm</t>
  </si>
  <si>
    <t>43</t>
  </si>
  <si>
    <t>Potrubí Wavin SiTech+ připojovací, D 110 x 3,6 mm</t>
  </si>
  <si>
    <t>44</t>
  </si>
  <si>
    <t>Čisticí kus Wavin SiTech+, odpadní svislé, D 125 mm</t>
  </si>
  <si>
    <t>45</t>
  </si>
  <si>
    <t>Dopojení potrubí na rozvod pro sprchové stání a umyvadlo</t>
  </si>
  <si>
    <t>kpl</t>
  </si>
  <si>
    <t>46</t>
  </si>
  <si>
    <t>Dopojení WC</t>
  </si>
  <si>
    <t>47</t>
  </si>
  <si>
    <t>Dopojení na stávající potrubí</t>
  </si>
  <si>
    <t>ks</t>
  </si>
  <si>
    <t>48</t>
  </si>
  <si>
    <t>WC šrouby set</t>
  </si>
  <si>
    <t>49</t>
  </si>
  <si>
    <t>Provizorní propojení</t>
  </si>
  <si>
    <t>soub.</t>
  </si>
  <si>
    <t>50</t>
  </si>
  <si>
    <t>Technická pomoc - kanalizace</t>
  </si>
  <si>
    <t>soubor</t>
  </si>
  <si>
    <t>51</t>
  </si>
  <si>
    <t>Drobné bourací práce + přísek pro rozvody kanalizace</t>
  </si>
  <si>
    <t>52</t>
  </si>
  <si>
    <t>Koordinace na staveništi - vnitřní kanalizace</t>
  </si>
  <si>
    <t>Vnitřní vodovod</t>
  </si>
  <si>
    <t>53</t>
  </si>
  <si>
    <t>Demontáž potrubí z olověných trubek DN 20 mm</t>
  </si>
  <si>
    <t>54</t>
  </si>
  <si>
    <t>Potrubí plastové PP-R Instaplast, bez zednických výpomocí, D 20 x 2,8 mm, PN 16</t>
  </si>
  <si>
    <t>55</t>
  </si>
  <si>
    <t>Potrubí plastové PP-R Instaplast, bez zednických výpomocí, D 25 x 3,5 mm, PN 16</t>
  </si>
  <si>
    <t>56</t>
  </si>
  <si>
    <t>Potrubí plastové PP-R Instaplast, bez zednických výpomocí, D 32 x 4,4 mm, PN 16</t>
  </si>
  <si>
    <t>57</t>
  </si>
  <si>
    <t>Potrubí plastové PP-R Instaplast, bez zednických výpomocí, D 40 x 5,5 mm, PN 16</t>
  </si>
  <si>
    <t>58</t>
  </si>
  <si>
    <t>Smyčka kompenzační z PP-R Instaplast, D 40 x 6,7 mm, PN 20</t>
  </si>
  <si>
    <t>59</t>
  </si>
  <si>
    <t>Smyčka kompenzační z PP-R Instaplast, D 32 x 5,4 mm, PN 20</t>
  </si>
  <si>
    <t>60</t>
  </si>
  <si>
    <t>Smyčka kompenzační z PP-R Instaplast, D 25 x 4,2 mm, PN 20</t>
  </si>
  <si>
    <t>61</t>
  </si>
  <si>
    <t>Izolace návleková MIRELON PRO tl. stěny 6 mm</t>
  </si>
  <si>
    <t>62</t>
  </si>
  <si>
    <t>63</t>
  </si>
  <si>
    <t>64</t>
  </si>
  <si>
    <t>65</t>
  </si>
  <si>
    <t>Kohout vodovodní, kulový, vnitřní-vnitřní závit, IVAR.KK 51, DN 15 mm</t>
  </si>
  <si>
    <t>66</t>
  </si>
  <si>
    <t>Kohout vodovodní, kulový, vnitřní-vnitřní závit, IVAR.KK 51, DN 20 mm</t>
  </si>
  <si>
    <t>67</t>
  </si>
  <si>
    <t>Kohout vodovodní, kulový, vnitřní-vnitřní závit, IVAR.KK 51, DN 32 mm</t>
  </si>
  <si>
    <t>68</t>
  </si>
  <si>
    <t>Kohout vodovodní, kulový s vypouštěním, vnitřní-vnitřní závit, IVAR, DN 15 mm</t>
  </si>
  <si>
    <t>69</t>
  </si>
  <si>
    <t>Nástěnka MZD PP-R INSTAPLAST, D 20 mm x R 1/2"</t>
  </si>
  <si>
    <t>70</t>
  </si>
  <si>
    <t>Proplach a dezinfekce vodovodního potrubí DN 80 mm</t>
  </si>
  <si>
    <t>71</t>
  </si>
  <si>
    <t>Vysoušení zdiva</t>
  </si>
  <si>
    <t>72</t>
  </si>
  <si>
    <t>Vybourání dvířek do šachty</t>
  </si>
  <si>
    <t>73</t>
  </si>
  <si>
    <t>Osazení objímek nebo držáků pro stoupací potrubí</t>
  </si>
  <si>
    <t>74</t>
  </si>
  <si>
    <t>Technická pomoc - vnitřní vodovod</t>
  </si>
  <si>
    <t>75</t>
  </si>
  <si>
    <t>Drobné bourací práce + vysekání vodovodních rozvodů</t>
  </si>
  <si>
    <t>76</t>
  </si>
  <si>
    <t>Koordinace na staveništi - vnitřní vodovod</t>
  </si>
  <si>
    <t>Zařizovací předměty</t>
  </si>
  <si>
    <t>77</t>
  </si>
  <si>
    <t>Demontáž umyvadla včetně baterie a konzol</t>
  </si>
  <si>
    <t>725_</t>
  </si>
  <si>
    <t>78</t>
  </si>
  <si>
    <t>Demontáž klozetu včetně splachovací nádrže</t>
  </si>
  <si>
    <t>79</t>
  </si>
  <si>
    <t>Demontáž sprch. koutu, včetně baterie</t>
  </si>
  <si>
    <t>80</t>
  </si>
  <si>
    <t>Montáž sprchových koutů</t>
  </si>
  <si>
    <t>81</t>
  </si>
  <si>
    <t>Přesun vybouraných hmot, zařizovací předměty H 36 m</t>
  </si>
  <si>
    <t>t</t>
  </si>
  <si>
    <t>82</t>
  </si>
  <si>
    <t>Madlo rovné bílé Novaservis dl. 300 mm</t>
  </si>
  <si>
    <t>83</t>
  </si>
  <si>
    <t>Montáž baterie umyvadlové stojánkové</t>
  </si>
  <si>
    <t>84</t>
  </si>
  <si>
    <t>Sifon umyvadlový HL132, D 32/40 mm</t>
  </si>
  <si>
    <t>85</t>
  </si>
  <si>
    <t>Sifon ke sprchové vaničce PP HL 524, D 40/50 mm</t>
  </si>
  <si>
    <t>86</t>
  </si>
  <si>
    <t>Sprchové rohové stání (80x80), vanička, zástěna, baterie</t>
  </si>
  <si>
    <t>87</t>
  </si>
  <si>
    <t>Klozet kombi LYRA Plus, nádrž s armaturou, odpad svislý</t>
  </si>
  <si>
    <t>88</t>
  </si>
  <si>
    <t>Montáž umyvadla 50 pro stojánkovou baterii</t>
  </si>
  <si>
    <t>89</t>
  </si>
  <si>
    <t>Demontáž, montáž mýdelníků</t>
  </si>
  <si>
    <t>90</t>
  </si>
  <si>
    <t>Dodání a montáž - koupelnový čtyřháček Bemeta Omega chrom</t>
  </si>
  <si>
    <t>Rozvod potrubí</t>
  </si>
  <si>
    <t>91</t>
  </si>
  <si>
    <t>Tlaková zkouška potrubí  DN 40</t>
  </si>
  <si>
    <t>733_</t>
  </si>
  <si>
    <t>73_</t>
  </si>
  <si>
    <t>Armatury</t>
  </si>
  <si>
    <t>92</t>
  </si>
  <si>
    <t>Montáž ventilů zpětných závitových G 1/2</t>
  </si>
  <si>
    <t>734_</t>
  </si>
  <si>
    <t>Konstrukce tesařské</t>
  </si>
  <si>
    <t>93</t>
  </si>
  <si>
    <t>Montáž bednění požárního předělu, prkna hrubá 32mm, osově 25 cm</t>
  </si>
  <si>
    <t>762_</t>
  </si>
  <si>
    <t>76_</t>
  </si>
  <si>
    <t>94</t>
  </si>
  <si>
    <t>Demontáž bednění požárního předělu z hrubých prken, latí</t>
  </si>
  <si>
    <t>Konstrukce truhlářské</t>
  </si>
  <si>
    <t>95</t>
  </si>
  <si>
    <t>Montáž dveří do zárubně,otevíravých 1kř.nad 0,8 m</t>
  </si>
  <si>
    <t>766_</t>
  </si>
  <si>
    <t>96</t>
  </si>
  <si>
    <t>Demontáž prahů dveří 1křídlových</t>
  </si>
  <si>
    <t>97</t>
  </si>
  <si>
    <t>Montáž kliky a štítku</t>
  </si>
  <si>
    <t>98</t>
  </si>
  <si>
    <t>Zhotovení otvorů pro instal. dvířka do 0,9 m2</t>
  </si>
  <si>
    <t>99</t>
  </si>
  <si>
    <t>Montáž prahů dveří jednokřídlových š. nad 10 cm</t>
  </si>
  <si>
    <t>Konstrukce doplňkové stavební (zámečnické)</t>
  </si>
  <si>
    <t>100</t>
  </si>
  <si>
    <t>Příplatek za dokončení okování dveří 1křídlových</t>
  </si>
  <si>
    <t>767_</t>
  </si>
  <si>
    <t>101</t>
  </si>
  <si>
    <t>Montáž zárubní montovat.1kř. hl. 8,5, š. do 80 cm</t>
  </si>
  <si>
    <t>Podlahy z dlaždic</t>
  </si>
  <si>
    <t>102</t>
  </si>
  <si>
    <t>Vysávání podlah prům.vysavačem pro pokládku dlažby</t>
  </si>
  <si>
    <t>771_</t>
  </si>
  <si>
    <t>77_</t>
  </si>
  <si>
    <t>103</t>
  </si>
  <si>
    <t>Ochrana stávajících podlah</t>
  </si>
  <si>
    <t>104</t>
  </si>
  <si>
    <t>Vyrovnání podkladů samonivelační hmotou tloušťky do 30 mm</t>
  </si>
  <si>
    <t>105</t>
  </si>
  <si>
    <t>Provedení penetrace podkladu pod dlažby</t>
  </si>
  <si>
    <t>106</t>
  </si>
  <si>
    <t>Provedení hydroizol. stěrky pod dlažby dvouvrstvé</t>
  </si>
  <si>
    <t>107</t>
  </si>
  <si>
    <t>Obklad soklíků rovných do tmele výšky do 100 mm</t>
  </si>
  <si>
    <t>108</t>
  </si>
  <si>
    <t>Kladení dlažby keramické do TM, vel. do 200x200 mm</t>
  </si>
  <si>
    <t>109</t>
  </si>
  <si>
    <t>Spára podlaha - stěna, silikonem</t>
  </si>
  <si>
    <t>110</t>
  </si>
  <si>
    <t>Příplatek za plochu podlah keram. do 5 m2 jednotl.</t>
  </si>
  <si>
    <t>111</t>
  </si>
  <si>
    <t>Příplatek za podlahy keram.v omezeném prostoru</t>
  </si>
  <si>
    <t>112</t>
  </si>
  <si>
    <t>Příplatek za spárovací hmotu - plošně,keram.dlažba</t>
  </si>
  <si>
    <t>113</t>
  </si>
  <si>
    <t>Penetrace cement.a anhydrit.podkladu, P201</t>
  </si>
  <si>
    <t>114</t>
  </si>
  <si>
    <t>Řezání dlaždic keramických pro soklíky</t>
  </si>
  <si>
    <t>Podlahy povlakové</t>
  </si>
  <si>
    <t>115</t>
  </si>
  <si>
    <t>Odstranění PVC a koberců lepených s podložkou</t>
  </si>
  <si>
    <t>776_</t>
  </si>
  <si>
    <t>116</t>
  </si>
  <si>
    <t>Demontáž soklíků nebo lišt, pryžových nebo z PVC</t>
  </si>
  <si>
    <t>Obklady (keramické)</t>
  </si>
  <si>
    <t>117</t>
  </si>
  <si>
    <t>Penetrace podkladu pod obklady</t>
  </si>
  <si>
    <t>78_</t>
  </si>
  <si>
    <t>118</t>
  </si>
  <si>
    <t>Přípl.za spárovací hmotu-plošně,keram.vnitř.obklad</t>
  </si>
  <si>
    <t>119</t>
  </si>
  <si>
    <t>Otvor v obkladačce diamant.korunkou prům.do 90 mm</t>
  </si>
  <si>
    <t>120</t>
  </si>
  <si>
    <t>Vyplnění dilatačních spár tmelem, obklady</t>
  </si>
  <si>
    <t>121</t>
  </si>
  <si>
    <t>Přípl.za práci v omez.prostoru,vnitř.obkl.keram.</t>
  </si>
  <si>
    <t>122</t>
  </si>
  <si>
    <t>Montáž obkladů stěn, porovin., do tmele, 15x15 cm</t>
  </si>
  <si>
    <t>123</t>
  </si>
  <si>
    <t>Montáž lišt rohových a dilatačních</t>
  </si>
  <si>
    <t>Nátěry</t>
  </si>
  <si>
    <t>124</t>
  </si>
  <si>
    <t>Ostatní práce pro nátěry - odrezivění kovových konstrukcí</t>
  </si>
  <si>
    <t>783_</t>
  </si>
  <si>
    <t>125</t>
  </si>
  <si>
    <t>Odstranění nátěrů z kovových doplňkových kostrukcí - opálením</t>
  </si>
  <si>
    <t>126</t>
  </si>
  <si>
    <t>Nátěr syntetický kovových konstrukcí základní</t>
  </si>
  <si>
    <t>127</t>
  </si>
  <si>
    <t>Nátěr syntetický kovových konstrukcí 2x email</t>
  </si>
  <si>
    <t>128</t>
  </si>
  <si>
    <t>Ostatní práce pro nátěry - odmaštění konstrukcí a výrobků</t>
  </si>
  <si>
    <t>129</t>
  </si>
  <si>
    <t>Nátěr syntetický litin. radiátorů Z +2x + 2x email</t>
  </si>
  <si>
    <t>130</t>
  </si>
  <si>
    <t>Nátěr syntetický armatur do DN 100 mm dvojnásobný</t>
  </si>
  <si>
    <t>Malby</t>
  </si>
  <si>
    <t>131</t>
  </si>
  <si>
    <t>Oprášení/ometení podkladu</t>
  </si>
  <si>
    <t>784_</t>
  </si>
  <si>
    <t>132</t>
  </si>
  <si>
    <t>Olepování vnitřních ploch</t>
  </si>
  <si>
    <t>133</t>
  </si>
  <si>
    <t>Zakrytí předmětů, včetně odstranění</t>
  </si>
  <si>
    <t>134</t>
  </si>
  <si>
    <t>Zakrytí podlah, včetně odstranění</t>
  </si>
  <si>
    <t>135</t>
  </si>
  <si>
    <t>Bandážování stěn šířky do 15 cm, místnost 3,8 m</t>
  </si>
  <si>
    <t>136</t>
  </si>
  <si>
    <t>Bandážování spojů šířky 10 cm, místnost do 3,8 m</t>
  </si>
  <si>
    <t>137</t>
  </si>
  <si>
    <t>Rozmývání podkladu, místnost H do 3,8 m</t>
  </si>
  <si>
    <t>138</t>
  </si>
  <si>
    <t>Penetrace podkladu nátěrem V1307  2 x</t>
  </si>
  <si>
    <t>139</t>
  </si>
  <si>
    <t>Izolování přípravkem Austis, Eternal IN stop, 2 x</t>
  </si>
  <si>
    <t>140</t>
  </si>
  <si>
    <t>Odstranění malby oškrábáním v místnosti H do 3,8 m</t>
  </si>
  <si>
    <t>141</t>
  </si>
  <si>
    <t>Odstranění plísní prostředkem Savo</t>
  </si>
  <si>
    <t>142</t>
  </si>
  <si>
    <t>Malba Primalex Mykostop, bez penetrace, bílá, 2 x</t>
  </si>
  <si>
    <t>143</t>
  </si>
  <si>
    <t>Bandážování stropů šířky do 25 cm, místnost 3,8 m</t>
  </si>
  <si>
    <t>Ostatní konstrukce a práce na trubním vedení</t>
  </si>
  <si>
    <t>144</t>
  </si>
  <si>
    <t>Zkouška těsnosti kanalizace DN do 400, vodou</t>
  </si>
  <si>
    <t>89_</t>
  </si>
  <si>
    <t>8_</t>
  </si>
  <si>
    <t>Hodinové zúčtovací sazby (HZS)</t>
  </si>
  <si>
    <t>145</t>
  </si>
  <si>
    <t>HZS - předběžné obhlídky pracoviště</t>
  </si>
  <si>
    <t>h</t>
  </si>
  <si>
    <t>90_</t>
  </si>
  <si>
    <t>9_</t>
  </si>
  <si>
    <t>146</t>
  </si>
  <si>
    <t>HZS - přípomocné práce stavební dělník</t>
  </si>
  <si>
    <t>Lešení a stavební výtahy</t>
  </si>
  <si>
    <t>147</t>
  </si>
  <si>
    <t>Návoz a odvoz pojízného lešení</t>
  </si>
  <si>
    <t>kompl.</t>
  </si>
  <si>
    <t>94_</t>
  </si>
  <si>
    <t>148</t>
  </si>
  <si>
    <t>Montáž lešení prostorové lehké, do 200kg, H 10 m</t>
  </si>
  <si>
    <t>149</t>
  </si>
  <si>
    <t>Lešení lehké pomocné</t>
  </si>
  <si>
    <t>150</t>
  </si>
  <si>
    <t>Demontáž lešení, prostor. lehké, 200 kPa, H 10 m</t>
  </si>
  <si>
    <t>Různé dokončovací konstrukce a práce na pozemních stavbách</t>
  </si>
  <si>
    <t>151</t>
  </si>
  <si>
    <t>Zametání v místnostech, chodbách, na schodišti</t>
  </si>
  <si>
    <t>95_</t>
  </si>
  <si>
    <t>152</t>
  </si>
  <si>
    <t>Osazení držáků nebo objímek ve zdivu cihelném</t>
  </si>
  <si>
    <t>Bourání konstrukcí</t>
  </si>
  <si>
    <t>153</t>
  </si>
  <si>
    <t>Vyvěšení, zavěšení křídel dveří pl. 2 m2</t>
  </si>
  <si>
    <t>96_</t>
  </si>
  <si>
    <t>154</t>
  </si>
  <si>
    <t>Vybourání kovových stěn a rámů - WC</t>
  </si>
  <si>
    <t>155</t>
  </si>
  <si>
    <t>Bourání dlažeb - bez podkladních vrstev, tloušťka do 10 mm</t>
  </si>
  <si>
    <t>156</t>
  </si>
  <si>
    <t>Bourání lehčených mazanin, tl.10 cm, pl. 1 m2</t>
  </si>
  <si>
    <t>157</t>
  </si>
  <si>
    <t>Bourání soklíků z dlažeb keramických</t>
  </si>
  <si>
    <t>158</t>
  </si>
  <si>
    <t>Uložení suti na skládku bez zhutnění</t>
  </si>
  <si>
    <t>159</t>
  </si>
  <si>
    <t>Vnitrostaveništní doprava suti do 10 m</t>
  </si>
  <si>
    <t>160</t>
  </si>
  <si>
    <t>Vodorovné přemístění suti na skládku do 6000 m</t>
  </si>
  <si>
    <t>Prorážení otvorů a ostatní bourací práce</t>
  </si>
  <si>
    <t>161</t>
  </si>
  <si>
    <t>Odsekání vnitřních obkladů</t>
  </si>
  <si>
    <t>97_</t>
  </si>
  <si>
    <t>162</t>
  </si>
  <si>
    <t>Vybourání objímek,držáků apod.ze zdiva cihelného</t>
  </si>
  <si>
    <t>163</t>
  </si>
  <si>
    <t>Vybourání otvorů ve zdivu cihelném pro stoupací potrubí</t>
  </si>
  <si>
    <t>164</t>
  </si>
  <si>
    <t>Otlučení vnitřních omítek stěn vápenocem. 100 %</t>
  </si>
  <si>
    <t>165</t>
  </si>
  <si>
    <t>Pronájem kontejneru 4 t - pro stavební činnost</t>
  </si>
  <si>
    <t>den</t>
  </si>
  <si>
    <t>166</t>
  </si>
  <si>
    <t>Otlučení vnitřních omítek stropů vápenocem. 100 %</t>
  </si>
  <si>
    <t>167</t>
  </si>
  <si>
    <t>Vybourání požárních předělů</t>
  </si>
  <si>
    <t>168</t>
  </si>
  <si>
    <t>Vysekání rýh ve zdi cihelné 3 x 7 cm</t>
  </si>
  <si>
    <t>169</t>
  </si>
  <si>
    <t>Úpravy stropních prostupů</t>
  </si>
  <si>
    <t>Běžné stavební práce</t>
  </si>
  <si>
    <t>170</t>
  </si>
  <si>
    <t>Přesun hmot lešení samostatně budovaného</t>
  </si>
  <si>
    <t>H00_</t>
  </si>
  <si>
    <t>171</t>
  </si>
  <si>
    <t>Příplatek za zvětšený přesun lešení do 500 m</t>
  </si>
  <si>
    <t>Budovy občanské výstavby</t>
  </si>
  <si>
    <t>172</t>
  </si>
  <si>
    <t>Přesun hmot stavebních pro budovy zděné výšky do 36 m</t>
  </si>
  <si>
    <t>H01_</t>
  </si>
  <si>
    <t>173</t>
  </si>
  <si>
    <t>Přesun hmot vybouraných pro budovy zděné výšky do 36 m</t>
  </si>
  <si>
    <t>Přesun hmot a sutí</t>
  </si>
  <si>
    <t>174</t>
  </si>
  <si>
    <t>Přesun hmot a suti pro vnitřní kanalizaci</t>
  </si>
  <si>
    <t>H9981_</t>
  </si>
  <si>
    <t>175</t>
  </si>
  <si>
    <t>Přesun hmot a suti pro vnitřní vodovod</t>
  </si>
  <si>
    <t>Elektromontáže</t>
  </si>
  <si>
    <t>176</t>
  </si>
  <si>
    <t>Svítidlo stropní přisazené IP 54</t>
  </si>
  <si>
    <t>M21_</t>
  </si>
  <si>
    <t>Montáže potrubí</t>
  </si>
  <si>
    <t>177</t>
  </si>
  <si>
    <t>Příplatek za zhotovení svař.přechodů DN 125/100</t>
  </si>
  <si>
    <t>M23_</t>
  </si>
  <si>
    <t>178</t>
  </si>
  <si>
    <t>Příplatek za zhotovení svař.přechodů DN 125/ 50</t>
  </si>
  <si>
    <t>179</t>
  </si>
  <si>
    <t>Příplatek za zhotovení svař.přechodů DN 100/ 80</t>
  </si>
  <si>
    <t>Drobný spojovací a upevňovací materiál</t>
  </si>
  <si>
    <t>180</t>
  </si>
  <si>
    <t>Umyvadlové šrouby set</t>
  </si>
  <si>
    <t>M230_</t>
  </si>
  <si>
    <t>Elektroinstalace</t>
  </si>
  <si>
    <t>181</t>
  </si>
  <si>
    <t>Montáž žárovkového svítidla</t>
  </si>
  <si>
    <t>M65_</t>
  </si>
  <si>
    <t>182</t>
  </si>
  <si>
    <t>Demontáž žárovkového svítidla</t>
  </si>
  <si>
    <t>Přesuny suti</t>
  </si>
  <si>
    <t>183</t>
  </si>
  <si>
    <t>Poplatek za uložení suti - stavební keramika, skupina odpadu 170103</t>
  </si>
  <si>
    <t>S_</t>
  </si>
  <si>
    <t>184</t>
  </si>
  <si>
    <t>Poplatek za uložení suti - minerální vata+omítka, skupina odpadu 170604</t>
  </si>
  <si>
    <t>185</t>
  </si>
  <si>
    <t>Poplatek za uložení - dřevo, skupina odpadu 200201</t>
  </si>
  <si>
    <t>186</t>
  </si>
  <si>
    <t>Poplatek za uložení suti - PVC podlahová krytina, skupina odpadu 200307</t>
  </si>
  <si>
    <t>187</t>
  </si>
  <si>
    <t>Kontejner - vnitřní kanalizace</t>
  </si>
  <si>
    <t>188</t>
  </si>
  <si>
    <t>Kontejner - vnitřní vodovod</t>
  </si>
  <si>
    <t>189</t>
  </si>
  <si>
    <t>Nakládání vybouraných hmot na dopravní prostředek</t>
  </si>
  <si>
    <t>190</t>
  </si>
  <si>
    <t>Vodorovné přemístění vyb. hmot nošením do 10 m</t>
  </si>
  <si>
    <t>191</t>
  </si>
  <si>
    <t>Příplatek za nošení vyb. hmot každých dalších 10 m</t>
  </si>
  <si>
    <t>192</t>
  </si>
  <si>
    <t>Odvoz dřevěných konstrukcí na skládku do 5 km</t>
  </si>
  <si>
    <t>193</t>
  </si>
  <si>
    <t>Odvoz na skládku dřeva, příplatek za dalších 5 km</t>
  </si>
  <si>
    <t>194</t>
  </si>
  <si>
    <t>Naložení a složení vybouraných hmot/konstrukcí</t>
  </si>
  <si>
    <t>Ostatní materiál</t>
  </si>
  <si>
    <t>195</t>
  </si>
  <si>
    <t>Penetrace protiplísňová Primalex, bal. 5 l</t>
  </si>
  <si>
    <t>l</t>
  </si>
  <si>
    <t>0</t>
  </si>
  <si>
    <t>Z99999_</t>
  </si>
  <si>
    <t>Z_</t>
  </si>
  <si>
    <t>196</t>
  </si>
  <si>
    <t>Prah dubový</t>
  </si>
  <si>
    <t>197</t>
  </si>
  <si>
    <t>Dveře vnitřní hladké plné STANDARD 1-křídlé 600 x 1970 mm</t>
  </si>
  <si>
    <t>198</t>
  </si>
  <si>
    <t>Set CD  chrom matný - WC zámek jednostranný kulatý</t>
  </si>
  <si>
    <t>199</t>
  </si>
  <si>
    <t>Dveřní interiérové kování  klika - klik</t>
  </si>
  <si>
    <t>200</t>
  </si>
  <si>
    <t>Zámek stavební obyčejný L/P</t>
  </si>
  <si>
    <t>201</t>
  </si>
  <si>
    <t>Spojka zdiva nerez</t>
  </si>
  <si>
    <t>202</t>
  </si>
  <si>
    <t>Hmota samonivelační SAKRET NSP vyrovnávací, 30 N/mm2</t>
  </si>
  <si>
    <t>kg</t>
  </si>
  <si>
    <t>203</t>
  </si>
  <si>
    <t>Dvířka revizní do zdiva 500 x 500 mm, tl.12,5 mm - suché prostředí</t>
  </si>
  <si>
    <t>204</t>
  </si>
  <si>
    <t>Přechodka dGK kovový závit vnitřní d 40x5/4" PPR</t>
  </si>
  <si>
    <t>205</t>
  </si>
  <si>
    <t>Přechodka dGK kovový závit vnitřní d 25x3/4" PPR</t>
  </si>
  <si>
    <t>206</t>
  </si>
  <si>
    <t>Přechodka dGK kovový závit vnitřní d 20x1/2" PPR</t>
  </si>
  <si>
    <t>207</t>
  </si>
  <si>
    <t>Komplet nástěnný univerzální d 25x1/2 " PPR</t>
  </si>
  <si>
    <t>208</t>
  </si>
  <si>
    <t>Hadice FLEXI k baterii (8x12) IVAR.136012 l 50 cm</t>
  </si>
  <si>
    <t>209</t>
  </si>
  <si>
    <t>Umyvadlo keramické DEEP s otvorem pro baterii 500 x 410 mm</t>
  </si>
  <si>
    <t>210</t>
  </si>
  <si>
    <t>Sedátko klozetové s poklopem</t>
  </si>
  <si>
    <t>211</t>
  </si>
  <si>
    <t>Ochranná fólie a papírové role</t>
  </si>
  <si>
    <t>212</t>
  </si>
  <si>
    <t>Silikon sanitární bílý</t>
  </si>
  <si>
    <t>213</t>
  </si>
  <si>
    <t>Sádra stavební 40 kg</t>
  </si>
  <si>
    <t>214</t>
  </si>
  <si>
    <t>Montážní materiál - vnitřní kanalizace</t>
  </si>
  <si>
    <t>215</t>
  </si>
  <si>
    <t>Montážní materiál - vnitřní vodovod</t>
  </si>
  <si>
    <t>216</t>
  </si>
  <si>
    <t>Obkládačka 15x15</t>
  </si>
  <si>
    <t>217</t>
  </si>
  <si>
    <t>Dlaždice 20x20 Color Two mat</t>
  </si>
  <si>
    <t>218</t>
  </si>
  <si>
    <t>Dlaždice 20x20 Color Two mat - soklíky</t>
  </si>
  <si>
    <t>Celkem:</t>
  </si>
  <si>
    <t>Poznámka:</t>
  </si>
  <si>
    <t>Cenový rozpočet zahrnuje výměnu 1 ks stoupacího potrubí kanalizace vč. rozvodů k zařizovacím předmětům, napojení nově dodaných zařizovacích předmětů, dále je zahrnuta výměna 1 ks vertikálního potrubí SV, TUV a cirkulace.</t>
  </si>
  <si>
    <t>Dodavatel vyplní pouze žlutě označená pole</t>
  </si>
  <si>
    <t>Slepý stavební rozpočet - rekapitulace</t>
  </si>
  <si>
    <t>Kód</t>
  </si>
  <si>
    <t>Náklady (Kč) - dodávka</t>
  </si>
  <si>
    <t>Náklady (Kč) - Montáž</t>
  </si>
  <si>
    <t>Náklady (Kč) - celkem</t>
  </si>
  <si>
    <t>T</t>
  </si>
  <si>
    <t>711</t>
  </si>
  <si>
    <t>713</t>
  </si>
  <si>
    <t>721</t>
  </si>
  <si>
    <t>725</t>
  </si>
  <si>
    <t>733</t>
  </si>
  <si>
    <t>734</t>
  </si>
  <si>
    <t>762</t>
  </si>
  <si>
    <t>766</t>
  </si>
  <si>
    <t>767</t>
  </si>
  <si>
    <t>771</t>
  </si>
  <si>
    <t>776</t>
  </si>
  <si>
    <t>783</t>
  </si>
  <si>
    <t>784</t>
  </si>
  <si>
    <t>H00</t>
  </si>
  <si>
    <t>H01</t>
  </si>
  <si>
    <t>H9981</t>
  </si>
  <si>
    <t>M21</t>
  </si>
  <si>
    <t>M23</t>
  </si>
  <si>
    <t>M230</t>
  </si>
  <si>
    <t>M65</t>
  </si>
  <si>
    <t>S</t>
  </si>
  <si>
    <t>Krycí list slepého rozpočtu</t>
  </si>
  <si>
    <t>IČO/DIČ:</t>
  </si>
  <si>
    <t>00216208/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</si>
  <si>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</si>
  <si>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</si>
  <si>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</si>
  <si>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</si>
  <si>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</si>
  <si>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</si>
  <si>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</si>
  <si>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</si>
  <si>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</si>
  <si>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</si>
  <si>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</si>
  <si>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</si>
  <si>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</si>
  <si>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</si>
  <si>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</si>
  <si>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</si>
  <si>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</si>
  <si>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</si>
  <si>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</si>
  <si>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</si>
  <si>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</si>
  <si>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</si>
  <si>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</si>
  <si>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</si>
  <si>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</si>
  <si>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</si>
  <si>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</si>
  <si>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</si>
  <si>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</si>
  <si>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</si>
  <si>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</si>
  <si>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</si>
  <si>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</si>
  <si>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</si>
  <si>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</si>
  <si>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</si>
  <si>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</si>
  <si>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</si>
  <si>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</si>
  <si>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</si>
  <si>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 xml:space="preserve">Cenový rozpočet zahrnuje výměnu 1 ks stoupacího potrubí kanalizace vč. rozvodů k zařizovacím předmětům, napojení nově dodaných zařizovacích předmětů, dále je zahrnuta výměna 1 ks vertikálního potrubí SV, TUV a cirkulace. </t>
  </si>
  <si>
    <t>Výtah v budově bude možno využívat výhradně k přepravě osob v souladu s jeho určením. </t>
  </si>
  <si>
    <t>Každé patro je samostatný požární úsek, tomu odpovídají i příslušné položky na demontáž a montáž požárních předělů v položkovém rozpočtu. Požadovaná požární odolnost je 30 minut. </t>
  </si>
  <si>
    <t>Přístup pro stavbu bude samostatným vstupem do budovy z prostoru parkoviště a v jeho bezprostřední blízkosti bude umožněno umístění 1 ks kontejneru na materiál/suť. </t>
  </si>
  <si>
    <t>Součástí dodávky není vyvedení odvětrání odpadního potrubí (stoupaček) nad střechu objektu. </t>
  </si>
  <si>
    <t>Zadavatel stanovuje postup prací s ohledem na co nejrychlejší postupné zprovozňování jednotlivých sociálních zařízení: </t>
  </si>
  <si>
    <t>- demontáž stoupaček (svislého potrubí) kanalizace a vody až do připojovacích míst v 1. PP </t>
  </si>
  <si>
    <t>- provedení nových stoupaček kanalizace a vody vč. napojovacích bodů (uzavíratelných pro vodovod) v jednotlivých patrech </t>
  </si>
  <si>
    <t>- průběžné provádění demontáží a demolic (nejlépe od vrchních podlaží) </t>
  </si>
  <si>
    <t>- požadavek na postupné uvádění dokončených částí do provozu dle SoD  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</si>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</sst>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7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i/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2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2" borderId="10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7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righ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indent="5"/>
      <protection/>
    </xf>
    <xf numFmtId="4" fontId="3" fillId="3" borderId="0" xfId="0" applyNumberFormat="1" applyFont="1" applyFill="1" applyBorder="1" applyAlignment="1" applyProtection="1">
      <alignment horizontal="right" vertical="center"/>
      <protection/>
    </xf>
    <xf numFmtId="4" fontId="3" fillId="3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indent="5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5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2" borderId="29" xfId="0" applyNumberFormat="1" applyFont="1" applyFill="1" applyBorder="1" applyAlignment="1" applyProtection="1">
      <alignment horizontal="left" vertical="center"/>
      <protection/>
    </xf>
    <xf numFmtId="0" fontId="5" fillId="2" borderId="28" xfId="0" applyNumberFormat="1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9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0" fontId="5" fillId="0" borderId="35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3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169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14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121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85"/>
  <sheetViews>
    <sheetView tabSelected="1" showOutlineSymbols="0" workbookViewId="0" topLeftCell="A1">
      <pane ySplit="11" topLeftCell="A207" activePane="bottomLeft" state="frozen"/>
      <selection pane="topLeft" activeCell="A270" sqref="A270:M270"/>
      <selection pane="bottomLeft" activeCell="L272" sqref="L272"/>
    </sheetView>
  </sheetViews>
  <sheetFormatPr defaultColWidth="17" defaultRowHeight="15" customHeight="1"/>
  <cols>
    <col min="1" max="1" width="5.59765625" style="0" customWidth="1"/>
    <col min="2" max="2" width="25" style="0" customWidth="1"/>
    <col min="3" max="3" width="2.19921875" style="0" customWidth="1"/>
    <col min="4" max="4" width="126.19921875" style="0" customWidth="1"/>
    <col min="7" max="7" width="11.19921875" style="0" customWidth="1"/>
    <col min="8" max="8" width="18" style="0" customWidth="1"/>
    <col min="9" max="9" width="16.796875" style="0" customWidth="1"/>
    <col min="10" max="12" width="22" style="0" customWidth="1"/>
    <col min="13" max="13" width="19.59765625" style="0" customWidth="1"/>
    <col min="24" max="24" width="17" style="0" bestFit="1" customWidth="1"/>
    <col min="25" max="74" width="17" style="0" hidden="1" customWidth="1"/>
  </cols>
  <sheetData>
    <row r="1" spans="1:47" ht="5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AS1" s="28">
        <f>SUM(AJ1:AJ2)</f>
        <v>0</v>
      </c>
      <c r="AT1" s="28">
        <f>SUM(AK1:AK2)</f>
        <v>0</v>
      </c>
      <c r="AU1" s="28">
        <f>SUM(AL1:AL2)</f>
        <v>0</v>
      </c>
    </row>
    <row r="2" spans="1:13" ht="15" customHeight="1">
      <c r="A2" s="59" t="s">
        <v>1</v>
      </c>
      <c r="B2" s="60"/>
      <c r="C2" s="70" t="s">
        <v>2</v>
      </c>
      <c r="D2" s="71"/>
      <c r="E2" s="60" t="s">
        <v>3</v>
      </c>
      <c r="F2" s="60"/>
      <c r="G2" s="60" t="s">
        <v>4</v>
      </c>
      <c r="H2" s="60"/>
      <c r="I2" s="64" t="s">
        <v>5</v>
      </c>
      <c r="J2" s="60"/>
      <c r="K2" s="64" t="s">
        <v>6</v>
      </c>
      <c r="L2" s="60"/>
      <c r="M2" s="66"/>
    </row>
    <row r="3" spans="1:13" ht="15" customHeight="1">
      <c r="A3" s="61"/>
      <c r="B3" s="62"/>
      <c r="C3" s="72"/>
      <c r="D3" s="72"/>
      <c r="E3" s="62"/>
      <c r="F3" s="62"/>
      <c r="G3" s="62"/>
      <c r="H3" s="62"/>
      <c r="I3" s="62"/>
      <c r="J3" s="62"/>
      <c r="K3" s="62"/>
      <c r="L3" s="62"/>
      <c r="M3" s="67"/>
    </row>
    <row r="4" spans="1:13" ht="15" customHeight="1">
      <c r="A4" s="63" t="s">
        <v>7</v>
      </c>
      <c r="B4" s="62"/>
      <c r="C4" s="65" t="s">
        <v>8</v>
      </c>
      <c r="D4" s="62"/>
      <c r="E4" s="62" t="s">
        <v>9</v>
      </c>
      <c r="F4" s="62"/>
      <c r="G4" s="62" t="s">
        <v>4</v>
      </c>
      <c r="H4" s="62"/>
      <c r="I4" s="65" t="s">
        <v>10</v>
      </c>
      <c r="J4" s="62"/>
      <c r="K4" s="62" t="s">
        <v>11</v>
      </c>
      <c r="L4" s="62"/>
      <c r="M4" s="67"/>
    </row>
    <row r="5" spans="1:13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7"/>
    </row>
    <row r="6" spans="1:13" ht="15" customHeight="1">
      <c r="A6" s="63" t="s">
        <v>12</v>
      </c>
      <c r="B6" s="62"/>
      <c r="C6" s="65" t="s">
        <v>13</v>
      </c>
      <c r="D6" s="62"/>
      <c r="E6" s="62" t="s">
        <v>14</v>
      </c>
      <c r="F6" s="62"/>
      <c r="G6" s="62" t="s">
        <v>4</v>
      </c>
      <c r="H6" s="62"/>
      <c r="I6" s="65" t="s">
        <v>15</v>
      </c>
      <c r="J6" s="62"/>
      <c r="K6" s="62" t="s">
        <v>11</v>
      </c>
      <c r="L6" s="62"/>
      <c r="M6" s="67"/>
    </row>
    <row r="7" spans="1:13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7"/>
    </row>
    <row r="8" spans="1:13" ht="15" customHeight="1">
      <c r="A8" s="63" t="s">
        <v>16</v>
      </c>
      <c r="B8" s="62"/>
      <c r="C8" s="65" t="s">
        <v>4</v>
      </c>
      <c r="D8" s="62"/>
      <c r="E8" s="62" t="s">
        <v>17</v>
      </c>
      <c r="F8" s="62"/>
      <c r="G8" s="62" t="s">
        <v>4</v>
      </c>
      <c r="H8" s="62"/>
      <c r="I8" s="65" t="s">
        <v>18</v>
      </c>
      <c r="J8" s="62"/>
      <c r="K8" s="62" t="s">
        <v>11</v>
      </c>
      <c r="L8" s="62"/>
      <c r="M8" s="67"/>
    </row>
    <row r="9" spans="1:13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7"/>
    </row>
    <row r="10" spans="2:64" ht="15" customHeight="1">
      <c r="B10" s="21" t="s">
        <v>19</v>
      </c>
      <c r="C10" s="68" t="s">
        <v>20</v>
      </c>
      <c r="D10" s="68"/>
      <c r="E10" s="68"/>
      <c r="F10" s="69"/>
      <c r="G10" s="33" t="s">
        <v>21</v>
      </c>
      <c r="H10" s="26" t="s">
        <v>22</v>
      </c>
      <c r="I10" s="22" t="s">
        <v>23</v>
      </c>
      <c r="J10" s="75" t="s">
        <v>24</v>
      </c>
      <c r="K10" s="76"/>
      <c r="L10" s="77"/>
      <c r="M10" s="26"/>
      <c r="BK10" s="43" t="s">
        <v>25</v>
      </c>
      <c r="BL10" s="49" t="s">
        <v>26</v>
      </c>
    </row>
    <row r="11" spans="2:62" ht="15" customHeight="1">
      <c r="B11" s="40" t="s">
        <v>4</v>
      </c>
      <c r="C11" s="73" t="s">
        <v>27</v>
      </c>
      <c r="D11" s="73"/>
      <c r="E11" s="73"/>
      <c r="F11" s="74"/>
      <c r="G11" s="38" t="s">
        <v>4</v>
      </c>
      <c r="H11" s="38" t="s">
        <v>4</v>
      </c>
      <c r="I11" s="51" t="s">
        <v>28</v>
      </c>
      <c r="J11" s="4" t="s">
        <v>29</v>
      </c>
      <c r="K11" s="12" t="s">
        <v>30</v>
      </c>
      <c r="L11" s="46" t="s">
        <v>31</v>
      </c>
      <c r="M11" s="12"/>
      <c r="Z11" s="43" t="s">
        <v>32</v>
      </c>
      <c r="AA11" s="43" t="s">
        <v>33</v>
      </c>
      <c r="AB11" s="43" t="s">
        <v>34</v>
      </c>
      <c r="AC11" s="43" t="s">
        <v>35</v>
      </c>
      <c r="AD11" s="43" t="s">
        <v>36</v>
      </c>
      <c r="AE11" s="43" t="s">
        <v>37</v>
      </c>
      <c r="AF11" s="43" t="s">
        <v>38</v>
      </c>
      <c r="AG11" s="43" t="s">
        <v>39</v>
      </c>
      <c r="AH11" s="43" t="s">
        <v>40</v>
      </c>
      <c r="BH11" s="43" t="s">
        <v>41</v>
      </c>
      <c r="BI11" s="43" t="s">
        <v>42</v>
      </c>
      <c r="BJ11" s="43" t="s">
        <v>43</v>
      </c>
    </row>
    <row r="12" spans="2:47" ht="15" customHeight="1">
      <c r="B12" s="14" t="s">
        <v>44</v>
      </c>
      <c r="C12" s="78" t="s">
        <v>45</v>
      </c>
      <c r="D12" s="78"/>
      <c r="E12" s="78"/>
      <c r="F12" s="78"/>
      <c r="G12" s="19" t="s">
        <v>4</v>
      </c>
      <c r="H12" s="19" t="s">
        <v>4</v>
      </c>
      <c r="I12" s="19" t="s">
        <v>4</v>
      </c>
      <c r="J12" s="28">
        <f>SUM(J13:J13)</f>
        <v>0</v>
      </c>
      <c r="K12" s="28">
        <f>SUM(K13:K13)</f>
        <v>0</v>
      </c>
      <c r="L12" s="28">
        <f>SUM(L13:L13)</f>
        <v>0</v>
      </c>
      <c r="M12" s="2"/>
      <c r="AI12" s="43" t="s">
        <v>44</v>
      </c>
      <c r="AS12" s="28">
        <f>SUM(AJ13:AJ13)</f>
        <v>0</v>
      </c>
      <c r="AT12" s="28">
        <f>SUM(AK13:AK13)</f>
        <v>0</v>
      </c>
      <c r="AU12" s="28">
        <f>SUM(AL13:AL13)</f>
        <v>0</v>
      </c>
    </row>
    <row r="13" spans="2:64" ht="15" customHeight="1">
      <c r="B13" s="25" t="s">
        <v>46</v>
      </c>
      <c r="C13" s="62" t="s">
        <v>47</v>
      </c>
      <c r="D13" s="62"/>
      <c r="E13" s="62"/>
      <c r="F13" s="62"/>
      <c r="G13" s="23" t="s">
        <v>48</v>
      </c>
      <c r="H13" s="10">
        <v>2.25</v>
      </c>
      <c r="I13" s="53">
        <v>0</v>
      </c>
      <c r="J13" s="10">
        <f>H13*AO13</f>
        <v>0</v>
      </c>
      <c r="K13" s="10">
        <f>H13*AP13</f>
        <v>0</v>
      </c>
      <c r="L13" s="10">
        <f>H13*I13</f>
        <v>0</v>
      </c>
      <c r="M13" s="47"/>
      <c r="Z13" s="10">
        <f>IF(AQ13="5",BJ13,0)</f>
        <v>0</v>
      </c>
      <c r="AB13" s="10">
        <f>IF(AQ13="1",BH13,0)</f>
        <v>0</v>
      </c>
      <c r="AC13" s="10">
        <f>IF(AQ13="1",BI13,0)</f>
        <v>0</v>
      </c>
      <c r="AD13" s="10">
        <f>IF(AQ13="7",BH13,0)</f>
        <v>0</v>
      </c>
      <c r="AE13" s="10">
        <f>IF(AQ13="7",BI13,0)</f>
        <v>0</v>
      </c>
      <c r="AF13" s="10">
        <f>IF(AQ13="2",BH13,0)</f>
        <v>0</v>
      </c>
      <c r="AG13" s="10">
        <f>IF(AQ13="2",BI13,0)</f>
        <v>0</v>
      </c>
      <c r="AH13" s="10">
        <f>IF(AQ13="0",BJ13,0)</f>
        <v>0</v>
      </c>
      <c r="AI13" s="43" t="s">
        <v>44</v>
      </c>
      <c r="AJ13" s="10">
        <f>IF(AN13=0,L13,0)</f>
        <v>0</v>
      </c>
      <c r="AK13" s="10">
        <f>IF(AN13=15,L13,0)</f>
        <v>0</v>
      </c>
      <c r="AL13" s="10">
        <f>IF(AN13=21,L13,0)</f>
        <v>0</v>
      </c>
      <c r="AN13" s="10">
        <v>21</v>
      </c>
      <c r="AO13" s="10">
        <f>I13*0.482931352459016</f>
        <v>0</v>
      </c>
      <c r="AP13" s="10">
        <f>I13*(1-0.482931352459016)</f>
        <v>0</v>
      </c>
      <c r="AQ13" s="41" t="s">
        <v>46</v>
      </c>
      <c r="AV13" s="10">
        <f>AW13+AX13</f>
        <v>0</v>
      </c>
      <c r="AW13" s="10">
        <f>H13*AO13</f>
        <v>0</v>
      </c>
      <c r="AX13" s="10">
        <f>H13*AP13</f>
        <v>0</v>
      </c>
      <c r="AY13" s="41" t="s">
        <v>49</v>
      </c>
      <c r="AZ13" s="41" t="s">
        <v>50</v>
      </c>
      <c r="BA13" s="43" t="s">
        <v>51</v>
      </c>
      <c r="BC13" s="10">
        <f>AW13+AX13</f>
        <v>0</v>
      </c>
      <c r="BD13" s="10">
        <f>I13/(100-BE13)*100</f>
        <v>0</v>
      </c>
      <c r="BE13" s="10">
        <v>0</v>
      </c>
      <c r="BF13" s="10">
        <f>13</f>
        <v>13</v>
      </c>
      <c r="BH13" s="10">
        <f>H13*AO13</f>
        <v>0</v>
      </c>
      <c r="BI13" s="10">
        <f>H13*AP13</f>
        <v>0</v>
      </c>
      <c r="BJ13" s="10">
        <f>H13*I13</f>
        <v>0</v>
      </c>
      <c r="BK13" s="10"/>
      <c r="BL13" s="10">
        <v>27</v>
      </c>
    </row>
    <row r="14" spans="2:47" ht="15" customHeight="1">
      <c r="B14" s="14" t="s">
        <v>44</v>
      </c>
      <c r="C14" s="78" t="s">
        <v>52</v>
      </c>
      <c r="D14" s="78"/>
      <c r="E14" s="78"/>
      <c r="F14" s="78"/>
      <c r="G14" s="19" t="s">
        <v>4</v>
      </c>
      <c r="H14" s="19" t="s">
        <v>4</v>
      </c>
      <c r="I14" s="19" t="s">
        <v>4</v>
      </c>
      <c r="J14" s="28">
        <f>SUM(J15:J20)</f>
        <v>0</v>
      </c>
      <c r="K14" s="28">
        <f>SUM(K15:K20)</f>
        <v>0</v>
      </c>
      <c r="L14" s="28">
        <f>SUM(L15:L20)</f>
        <v>0</v>
      </c>
      <c r="M14" s="2"/>
      <c r="AI14" s="43" t="s">
        <v>44</v>
      </c>
      <c r="AS14" s="28">
        <f>SUM(AJ15:AJ20)</f>
        <v>0</v>
      </c>
      <c r="AT14" s="28">
        <f>SUM(AK15:AK20)</f>
        <v>0</v>
      </c>
      <c r="AU14" s="28">
        <f>SUM(AL15:AL20)</f>
        <v>0</v>
      </c>
    </row>
    <row r="15" spans="2:64" ht="15" customHeight="1">
      <c r="B15" s="25" t="s">
        <v>53</v>
      </c>
      <c r="C15" s="62" t="s">
        <v>54</v>
      </c>
      <c r="D15" s="62"/>
      <c r="E15" s="62"/>
      <c r="F15" s="62"/>
      <c r="G15" s="23" t="s">
        <v>55</v>
      </c>
      <c r="H15" s="10">
        <v>62.9</v>
      </c>
      <c r="I15" s="53">
        <v>0</v>
      </c>
      <c r="J15" s="10">
        <f aca="true" t="shared" si="0" ref="J15:J20">H15*AO15</f>
        <v>0</v>
      </c>
      <c r="K15" s="10">
        <f aca="true" t="shared" si="1" ref="K15:K20">H15*AP15</f>
        <v>0</v>
      </c>
      <c r="L15" s="10">
        <f aca="true" t="shared" si="2" ref="L15:L20">H15*I15</f>
        <v>0</v>
      </c>
      <c r="M15" s="47"/>
      <c r="Z15" s="10">
        <f aca="true" t="shared" si="3" ref="Z15:Z20">IF(AQ15="5",BJ15,0)</f>
        <v>0</v>
      </c>
      <c r="AB15" s="10">
        <f aca="true" t="shared" si="4" ref="AB15:AB20">IF(AQ15="1",BH15,0)</f>
        <v>0</v>
      </c>
      <c r="AC15" s="10">
        <f aca="true" t="shared" si="5" ref="AC15:AC20">IF(AQ15="1",BI15,0)</f>
        <v>0</v>
      </c>
      <c r="AD15" s="10">
        <f aca="true" t="shared" si="6" ref="AD15:AD20">IF(AQ15="7",BH15,0)</f>
        <v>0</v>
      </c>
      <c r="AE15" s="10">
        <f aca="true" t="shared" si="7" ref="AE15:AE20">IF(AQ15="7",BI15,0)</f>
        <v>0</v>
      </c>
      <c r="AF15" s="10">
        <f aca="true" t="shared" si="8" ref="AF15:AF20">IF(AQ15="2",BH15,0)</f>
        <v>0</v>
      </c>
      <c r="AG15" s="10">
        <f aca="true" t="shared" si="9" ref="AG15:AG20">IF(AQ15="2",BI15,0)</f>
        <v>0</v>
      </c>
      <c r="AH15" s="10">
        <f aca="true" t="shared" si="10" ref="AH15:AH20">IF(AQ15="0",BJ15,0)</f>
        <v>0</v>
      </c>
      <c r="AI15" s="43" t="s">
        <v>44</v>
      </c>
      <c r="AJ15" s="10">
        <f aca="true" t="shared" si="11" ref="AJ15:AJ20">IF(AN15=0,L15,0)</f>
        <v>0</v>
      </c>
      <c r="AK15" s="10">
        <f aca="true" t="shared" si="12" ref="AK15:AK20">IF(AN15=15,L15,0)</f>
        <v>0</v>
      </c>
      <c r="AL15" s="10">
        <f aca="true" t="shared" si="13" ref="AL15:AL20">IF(AN15=21,L15,0)</f>
        <v>0</v>
      </c>
      <c r="AN15" s="10">
        <v>21</v>
      </c>
      <c r="AO15" s="10">
        <f>I15*0.243888888888889</f>
        <v>0</v>
      </c>
      <c r="AP15" s="10">
        <f>I15*(1-0.243888888888889)</f>
        <v>0</v>
      </c>
      <c r="AQ15" s="41" t="s">
        <v>46</v>
      </c>
      <c r="AV15" s="10">
        <f aca="true" t="shared" si="14" ref="AV15:AV20">AW15+AX15</f>
        <v>0</v>
      </c>
      <c r="AW15" s="10">
        <f aca="true" t="shared" si="15" ref="AW15:AW20">H15*AO15</f>
        <v>0</v>
      </c>
      <c r="AX15" s="10">
        <f aca="true" t="shared" si="16" ref="AX15:AX20">H15*AP15</f>
        <v>0</v>
      </c>
      <c r="AY15" s="41" t="s">
        <v>56</v>
      </c>
      <c r="AZ15" s="41" t="s">
        <v>57</v>
      </c>
      <c r="BA15" s="43" t="s">
        <v>51</v>
      </c>
      <c r="BC15" s="10">
        <f aca="true" t="shared" si="17" ref="BC15:BC20">AW15+AX15</f>
        <v>0</v>
      </c>
      <c r="BD15" s="10">
        <f aca="true" t="shared" si="18" ref="BD15:BD20">I15/(100-BE15)*100</f>
        <v>0</v>
      </c>
      <c r="BE15" s="10">
        <v>0</v>
      </c>
      <c r="BF15" s="10">
        <f>15</f>
        <v>15</v>
      </c>
      <c r="BH15" s="10">
        <f aca="true" t="shared" si="19" ref="BH15:BH20">H15*AO15</f>
        <v>0</v>
      </c>
      <c r="BI15" s="10">
        <f aca="true" t="shared" si="20" ref="BI15:BI20">H15*AP15</f>
        <v>0</v>
      </c>
      <c r="BJ15" s="10">
        <f aca="true" t="shared" si="21" ref="BJ15:BJ20">H15*I15</f>
        <v>0</v>
      </c>
      <c r="BK15" s="10"/>
      <c r="BL15" s="10">
        <v>31</v>
      </c>
    </row>
    <row r="16" spans="2:64" ht="15" customHeight="1">
      <c r="B16" s="25" t="s">
        <v>58</v>
      </c>
      <c r="C16" s="62" t="s">
        <v>59</v>
      </c>
      <c r="D16" s="62"/>
      <c r="E16" s="62"/>
      <c r="F16" s="62"/>
      <c r="G16" s="23" t="s">
        <v>60</v>
      </c>
      <c r="H16" s="10">
        <v>5</v>
      </c>
      <c r="I16" s="53">
        <v>0</v>
      </c>
      <c r="J16" s="10">
        <f t="shared" si="0"/>
        <v>0</v>
      </c>
      <c r="K16" s="10">
        <f t="shared" si="1"/>
        <v>0</v>
      </c>
      <c r="L16" s="10">
        <f t="shared" si="2"/>
        <v>0</v>
      </c>
      <c r="M16" s="47"/>
      <c r="Z16" s="10">
        <f t="shared" si="3"/>
        <v>0</v>
      </c>
      <c r="AB16" s="10">
        <f t="shared" si="4"/>
        <v>0</v>
      </c>
      <c r="AC16" s="10">
        <f t="shared" si="5"/>
        <v>0</v>
      </c>
      <c r="AD16" s="10">
        <f t="shared" si="6"/>
        <v>0</v>
      </c>
      <c r="AE16" s="10">
        <f t="shared" si="7"/>
        <v>0</v>
      </c>
      <c r="AF16" s="10">
        <f t="shared" si="8"/>
        <v>0</v>
      </c>
      <c r="AG16" s="10">
        <f t="shared" si="9"/>
        <v>0</v>
      </c>
      <c r="AH16" s="10">
        <f t="shared" si="10"/>
        <v>0</v>
      </c>
      <c r="AI16" s="43" t="s">
        <v>44</v>
      </c>
      <c r="AJ16" s="10">
        <f t="shared" si="11"/>
        <v>0</v>
      </c>
      <c r="AK16" s="10">
        <f t="shared" si="12"/>
        <v>0</v>
      </c>
      <c r="AL16" s="10">
        <f t="shared" si="13"/>
        <v>0</v>
      </c>
      <c r="AN16" s="10">
        <v>21</v>
      </c>
      <c r="AO16" s="10">
        <f>I16*0.648024883359254</f>
        <v>0</v>
      </c>
      <c r="AP16" s="10">
        <f>I16*(1-0.648024883359254)</f>
        <v>0</v>
      </c>
      <c r="AQ16" s="41" t="s">
        <v>46</v>
      </c>
      <c r="AV16" s="10">
        <f t="shared" si="14"/>
        <v>0</v>
      </c>
      <c r="AW16" s="10">
        <f t="shared" si="15"/>
        <v>0</v>
      </c>
      <c r="AX16" s="10">
        <f t="shared" si="16"/>
        <v>0</v>
      </c>
      <c r="AY16" s="41" t="s">
        <v>56</v>
      </c>
      <c r="AZ16" s="41" t="s">
        <v>57</v>
      </c>
      <c r="BA16" s="43" t="s">
        <v>51</v>
      </c>
      <c r="BC16" s="10">
        <f t="shared" si="17"/>
        <v>0</v>
      </c>
      <c r="BD16" s="10">
        <f t="shared" si="18"/>
        <v>0</v>
      </c>
      <c r="BE16" s="10">
        <v>0</v>
      </c>
      <c r="BF16" s="10">
        <f>16</f>
        <v>16</v>
      </c>
      <c r="BH16" s="10">
        <f t="shared" si="19"/>
        <v>0</v>
      </c>
      <c r="BI16" s="10">
        <f t="shared" si="20"/>
        <v>0</v>
      </c>
      <c r="BJ16" s="10">
        <f t="shared" si="21"/>
        <v>0</v>
      </c>
      <c r="BK16" s="10"/>
      <c r="BL16" s="10">
        <v>31</v>
      </c>
    </row>
    <row r="17" spans="2:64" ht="15" customHeight="1">
      <c r="B17" s="25" t="s">
        <v>61</v>
      </c>
      <c r="C17" s="62" t="s">
        <v>62</v>
      </c>
      <c r="D17" s="62"/>
      <c r="E17" s="62"/>
      <c r="F17" s="62"/>
      <c r="G17" s="23" t="s">
        <v>63</v>
      </c>
      <c r="H17" s="10">
        <v>43</v>
      </c>
      <c r="I17" s="53">
        <v>0</v>
      </c>
      <c r="J17" s="10">
        <f t="shared" si="0"/>
        <v>0</v>
      </c>
      <c r="K17" s="10">
        <f t="shared" si="1"/>
        <v>0</v>
      </c>
      <c r="L17" s="10">
        <f t="shared" si="2"/>
        <v>0</v>
      </c>
      <c r="M17" s="47"/>
      <c r="Z17" s="10">
        <f t="shared" si="3"/>
        <v>0</v>
      </c>
      <c r="AB17" s="10">
        <f t="shared" si="4"/>
        <v>0</v>
      </c>
      <c r="AC17" s="10">
        <f t="shared" si="5"/>
        <v>0</v>
      </c>
      <c r="AD17" s="10">
        <f t="shared" si="6"/>
        <v>0</v>
      </c>
      <c r="AE17" s="10">
        <f t="shared" si="7"/>
        <v>0</v>
      </c>
      <c r="AF17" s="10">
        <f t="shared" si="8"/>
        <v>0</v>
      </c>
      <c r="AG17" s="10">
        <f t="shared" si="9"/>
        <v>0</v>
      </c>
      <c r="AH17" s="10">
        <f t="shared" si="10"/>
        <v>0</v>
      </c>
      <c r="AI17" s="43" t="s">
        <v>44</v>
      </c>
      <c r="AJ17" s="10">
        <f t="shared" si="11"/>
        <v>0</v>
      </c>
      <c r="AK17" s="10">
        <f t="shared" si="12"/>
        <v>0</v>
      </c>
      <c r="AL17" s="10">
        <f t="shared" si="13"/>
        <v>0</v>
      </c>
      <c r="AN17" s="10">
        <v>21</v>
      </c>
      <c r="AO17" s="10">
        <f>I17*0.436690307328605</f>
        <v>0</v>
      </c>
      <c r="AP17" s="10">
        <f>I17*(1-0.436690307328605)</f>
        <v>0</v>
      </c>
      <c r="AQ17" s="41" t="s">
        <v>46</v>
      </c>
      <c r="AV17" s="10">
        <f t="shared" si="14"/>
        <v>0</v>
      </c>
      <c r="AW17" s="10">
        <f t="shared" si="15"/>
        <v>0</v>
      </c>
      <c r="AX17" s="10">
        <f t="shared" si="16"/>
        <v>0</v>
      </c>
      <c r="AY17" s="41" t="s">
        <v>56</v>
      </c>
      <c r="AZ17" s="41" t="s">
        <v>57</v>
      </c>
      <c r="BA17" s="43" t="s">
        <v>51</v>
      </c>
      <c r="BC17" s="10">
        <f t="shared" si="17"/>
        <v>0</v>
      </c>
      <c r="BD17" s="10">
        <f t="shared" si="18"/>
        <v>0</v>
      </c>
      <c r="BE17" s="10">
        <v>0</v>
      </c>
      <c r="BF17" s="10">
        <f>17</f>
        <v>17</v>
      </c>
      <c r="BH17" s="10">
        <f t="shared" si="19"/>
        <v>0</v>
      </c>
      <c r="BI17" s="10">
        <f t="shared" si="20"/>
        <v>0</v>
      </c>
      <c r="BJ17" s="10">
        <f t="shared" si="21"/>
        <v>0</v>
      </c>
      <c r="BK17" s="10"/>
      <c r="BL17" s="10">
        <v>31</v>
      </c>
    </row>
    <row r="18" spans="2:64" ht="15" customHeight="1">
      <c r="B18" s="25" t="s">
        <v>64</v>
      </c>
      <c r="C18" s="62" t="s">
        <v>65</v>
      </c>
      <c r="D18" s="62"/>
      <c r="E18" s="62"/>
      <c r="F18" s="62"/>
      <c r="G18" s="23" t="s">
        <v>63</v>
      </c>
      <c r="H18" s="10">
        <v>496.15</v>
      </c>
      <c r="I18" s="53">
        <v>0</v>
      </c>
      <c r="J18" s="10">
        <f t="shared" si="0"/>
        <v>0</v>
      </c>
      <c r="K18" s="10">
        <f t="shared" si="1"/>
        <v>0</v>
      </c>
      <c r="L18" s="10">
        <f t="shared" si="2"/>
        <v>0</v>
      </c>
      <c r="M18" s="47"/>
      <c r="Z18" s="10">
        <f t="shared" si="3"/>
        <v>0</v>
      </c>
      <c r="AB18" s="10">
        <f t="shared" si="4"/>
        <v>0</v>
      </c>
      <c r="AC18" s="10">
        <f t="shared" si="5"/>
        <v>0</v>
      </c>
      <c r="AD18" s="10">
        <f t="shared" si="6"/>
        <v>0</v>
      </c>
      <c r="AE18" s="10">
        <f t="shared" si="7"/>
        <v>0</v>
      </c>
      <c r="AF18" s="10">
        <f t="shared" si="8"/>
        <v>0</v>
      </c>
      <c r="AG18" s="10">
        <f t="shared" si="9"/>
        <v>0</v>
      </c>
      <c r="AH18" s="10">
        <f t="shared" si="10"/>
        <v>0</v>
      </c>
      <c r="AI18" s="43" t="s">
        <v>44</v>
      </c>
      <c r="AJ18" s="10">
        <f t="shared" si="11"/>
        <v>0</v>
      </c>
      <c r="AK18" s="10">
        <f t="shared" si="12"/>
        <v>0</v>
      </c>
      <c r="AL18" s="10">
        <f t="shared" si="13"/>
        <v>0</v>
      </c>
      <c r="AN18" s="10">
        <v>21</v>
      </c>
      <c r="AO18" s="10">
        <f>I18*0.375232825866004</f>
        <v>0</v>
      </c>
      <c r="AP18" s="10">
        <f>I18*(1-0.375232825866004)</f>
        <v>0</v>
      </c>
      <c r="AQ18" s="41" t="s">
        <v>46</v>
      </c>
      <c r="AV18" s="10">
        <f t="shared" si="14"/>
        <v>0</v>
      </c>
      <c r="AW18" s="10">
        <f t="shared" si="15"/>
        <v>0</v>
      </c>
      <c r="AX18" s="10">
        <f t="shared" si="16"/>
        <v>0</v>
      </c>
      <c r="AY18" s="41" t="s">
        <v>56</v>
      </c>
      <c r="AZ18" s="41" t="s">
        <v>57</v>
      </c>
      <c r="BA18" s="43" t="s">
        <v>51</v>
      </c>
      <c r="BC18" s="10">
        <f t="shared" si="17"/>
        <v>0</v>
      </c>
      <c r="BD18" s="10">
        <f t="shared" si="18"/>
        <v>0</v>
      </c>
      <c r="BE18" s="10">
        <v>0</v>
      </c>
      <c r="BF18" s="10">
        <f>18</f>
        <v>18</v>
      </c>
      <c r="BH18" s="10">
        <f t="shared" si="19"/>
        <v>0</v>
      </c>
      <c r="BI18" s="10">
        <f t="shared" si="20"/>
        <v>0</v>
      </c>
      <c r="BJ18" s="10">
        <f t="shared" si="21"/>
        <v>0</v>
      </c>
      <c r="BK18" s="10"/>
      <c r="BL18" s="10">
        <v>31</v>
      </c>
    </row>
    <row r="19" spans="2:64" ht="15" customHeight="1">
      <c r="B19" s="25" t="s">
        <v>66</v>
      </c>
      <c r="C19" s="62" t="s">
        <v>67</v>
      </c>
      <c r="D19" s="62"/>
      <c r="E19" s="62"/>
      <c r="F19" s="62"/>
      <c r="G19" s="23" t="s">
        <v>60</v>
      </c>
      <c r="H19" s="10">
        <v>16</v>
      </c>
      <c r="I19" s="53">
        <v>0</v>
      </c>
      <c r="J19" s="10">
        <f t="shared" si="0"/>
        <v>0</v>
      </c>
      <c r="K19" s="10">
        <f t="shared" si="1"/>
        <v>0</v>
      </c>
      <c r="L19" s="10">
        <f t="shared" si="2"/>
        <v>0</v>
      </c>
      <c r="M19" s="47"/>
      <c r="Z19" s="10">
        <f t="shared" si="3"/>
        <v>0</v>
      </c>
      <c r="AB19" s="10">
        <f t="shared" si="4"/>
        <v>0</v>
      </c>
      <c r="AC19" s="10">
        <f t="shared" si="5"/>
        <v>0</v>
      </c>
      <c r="AD19" s="10">
        <f t="shared" si="6"/>
        <v>0</v>
      </c>
      <c r="AE19" s="10">
        <f t="shared" si="7"/>
        <v>0</v>
      </c>
      <c r="AF19" s="10">
        <f t="shared" si="8"/>
        <v>0</v>
      </c>
      <c r="AG19" s="10">
        <f t="shared" si="9"/>
        <v>0</v>
      </c>
      <c r="AH19" s="10">
        <f t="shared" si="10"/>
        <v>0</v>
      </c>
      <c r="AI19" s="43" t="s">
        <v>44</v>
      </c>
      <c r="AJ19" s="10">
        <f t="shared" si="11"/>
        <v>0</v>
      </c>
      <c r="AK19" s="10">
        <f t="shared" si="12"/>
        <v>0</v>
      </c>
      <c r="AL19" s="10">
        <f t="shared" si="13"/>
        <v>0</v>
      </c>
      <c r="AN19" s="10">
        <v>21</v>
      </c>
      <c r="AO19" s="10">
        <f>I19*0.872549363756033</f>
        <v>0</v>
      </c>
      <c r="AP19" s="10">
        <f>I19*(1-0.872549363756033)</f>
        <v>0</v>
      </c>
      <c r="AQ19" s="41" t="s">
        <v>46</v>
      </c>
      <c r="AV19" s="10">
        <f t="shared" si="14"/>
        <v>0</v>
      </c>
      <c r="AW19" s="10">
        <f t="shared" si="15"/>
        <v>0</v>
      </c>
      <c r="AX19" s="10">
        <f t="shared" si="16"/>
        <v>0</v>
      </c>
      <c r="AY19" s="41" t="s">
        <v>56</v>
      </c>
      <c r="AZ19" s="41" t="s">
        <v>57</v>
      </c>
      <c r="BA19" s="43" t="s">
        <v>51</v>
      </c>
      <c r="BC19" s="10">
        <f t="shared" si="17"/>
        <v>0</v>
      </c>
      <c r="BD19" s="10">
        <f t="shared" si="18"/>
        <v>0</v>
      </c>
      <c r="BE19" s="10">
        <v>0</v>
      </c>
      <c r="BF19" s="10">
        <f>19</f>
        <v>19</v>
      </c>
      <c r="BH19" s="10">
        <f t="shared" si="19"/>
        <v>0</v>
      </c>
      <c r="BI19" s="10">
        <f t="shared" si="20"/>
        <v>0</v>
      </c>
      <c r="BJ19" s="10">
        <f t="shared" si="21"/>
        <v>0</v>
      </c>
      <c r="BK19" s="10"/>
      <c r="BL19" s="10">
        <v>31</v>
      </c>
    </row>
    <row r="20" spans="2:64" ht="15" customHeight="1">
      <c r="B20" s="25" t="s">
        <v>68</v>
      </c>
      <c r="C20" s="62" t="s">
        <v>69</v>
      </c>
      <c r="D20" s="62"/>
      <c r="E20" s="62"/>
      <c r="F20" s="62"/>
      <c r="G20" s="23" t="s">
        <v>63</v>
      </c>
      <c r="H20" s="10">
        <v>78.55</v>
      </c>
      <c r="I20" s="53">
        <v>0</v>
      </c>
      <c r="J20" s="10">
        <f t="shared" si="0"/>
        <v>0</v>
      </c>
      <c r="K20" s="10">
        <f t="shared" si="1"/>
        <v>0</v>
      </c>
      <c r="L20" s="10">
        <f t="shared" si="2"/>
        <v>0</v>
      </c>
      <c r="M20" s="47"/>
      <c r="Z20" s="10">
        <f t="shared" si="3"/>
        <v>0</v>
      </c>
      <c r="AB20" s="10">
        <f t="shared" si="4"/>
        <v>0</v>
      </c>
      <c r="AC20" s="10">
        <f t="shared" si="5"/>
        <v>0</v>
      </c>
      <c r="AD20" s="10">
        <f t="shared" si="6"/>
        <v>0</v>
      </c>
      <c r="AE20" s="10">
        <f t="shared" si="7"/>
        <v>0</v>
      </c>
      <c r="AF20" s="10">
        <f t="shared" si="8"/>
        <v>0</v>
      </c>
      <c r="AG20" s="10">
        <f t="shared" si="9"/>
        <v>0</v>
      </c>
      <c r="AH20" s="10">
        <f t="shared" si="10"/>
        <v>0</v>
      </c>
      <c r="AI20" s="43" t="s">
        <v>44</v>
      </c>
      <c r="AJ20" s="10">
        <f t="shared" si="11"/>
        <v>0</v>
      </c>
      <c r="AK20" s="10">
        <f t="shared" si="12"/>
        <v>0</v>
      </c>
      <c r="AL20" s="10">
        <f t="shared" si="13"/>
        <v>0</v>
      </c>
      <c r="AN20" s="10">
        <v>21</v>
      </c>
      <c r="AO20" s="10">
        <f>I20*0.27030327485114</f>
        <v>0</v>
      </c>
      <c r="AP20" s="10">
        <f>I20*(1-0.27030327485114)</f>
        <v>0</v>
      </c>
      <c r="AQ20" s="41" t="s">
        <v>46</v>
      </c>
      <c r="AV20" s="10">
        <f t="shared" si="14"/>
        <v>0</v>
      </c>
      <c r="AW20" s="10">
        <f t="shared" si="15"/>
        <v>0</v>
      </c>
      <c r="AX20" s="10">
        <f t="shared" si="16"/>
        <v>0</v>
      </c>
      <c r="AY20" s="41" t="s">
        <v>56</v>
      </c>
      <c r="AZ20" s="41" t="s">
        <v>57</v>
      </c>
      <c r="BA20" s="43" t="s">
        <v>51</v>
      </c>
      <c r="BC20" s="10">
        <f t="shared" si="17"/>
        <v>0</v>
      </c>
      <c r="BD20" s="10">
        <f t="shared" si="18"/>
        <v>0</v>
      </c>
      <c r="BE20" s="10">
        <v>0</v>
      </c>
      <c r="BF20" s="10">
        <f>20</f>
        <v>20</v>
      </c>
      <c r="BH20" s="10">
        <f t="shared" si="19"/>
        <v>0</v>
      </c>
      <c r="BI20" s="10">
        <f t="shared" si="20"/>
        <v>0</v>
      </c>
      <c r="BJ20" s="10">
        <f t="shared" si="21"/>
        <v>0</v>
      </c>
      <c r="BK20" s="10"/>
      <c r="BL20" s="10">
        <v>31</v>
      </c>
    </row>
    <row r="21" spans="2:47" ht="15" customHeight="1">
      <c r="B21" s="14" t="s">
        <v>44</v>
      </c>
      <c r="C21" s="78" t="s">
        <v>70</v>
      </c>
      <c r="D21" s="78"/>
      <c r="E21" s="78"/>
      <c r="F21" s="78"/>
      <c r="G21" s="19" t="s">
        <v>4</v>
      </c>
      <c r="H21" s="19" t="s">
        <v>4</v>
      </c>
      <c r="I21" s="19" t="s">
        <v>4</v>
      </c>
      <c r="J21" s="28">
        <f>SUM(J22:J25)</f>
        <v>0</v>
      </c>
      <c r="K21" s="28">
        <f>SUM(K22:K25)</f>
        <v>0</v>
      </c>
      <c r="L21" s="28">
        <f>SUM(L22:L25)</f>
        <v>0</v>
      </c>
      <c r="M21" s="2"/>
      <c r="AI21" s="43" t="s">
        <v>44</v>
      </c>
      <c r="AS21" s="28">
        <f>SUM(AJ22:AJ25)</f>
        <v>0</v>
      </c>
      <c r="AT21" s="28">
        <f>SUM(AK22:AK25)</f>
        <v>0</v>
      </c>
      <c r="AU21" s="28">
        <f>SUM(AL22:AL25)</f>
        <v>0</v>
      </c>
    </row>
    <row r="22" spans="2:64" ht="15" customHeight="1">
      <c r="B22" s="25" t="s">
        <v>71</v>
      </c>
      <c r="C22" s="62" t="s">
        <v>72</v>
      </c>
      <c r="D22" s="62"/>
      <c r="E22" s="62"/>
      <c r="F22" s="62"/>
      <c r="G22" s="23" t="s">
        <v>63</v>
      </c>
      <c r="H22" s="10">
        <v>190.8</v>
      </c>
      <c r="I22" s="53">
        <v>0</v>
      </c>
      <c r="J22" s="10">
        <f>H22*AO22</f>
        <v>0</v>
      </c>
      <c r="K22" s="10">
        <f>H22*AP22</f>
        <v>0</v>
      </c>
      <c r="L22" s="10">
        <f>H22*I22</f>
        <v>0</v>
      </c>
      <c r="M22" s="47"/>
      <c r="Z22" s="10">
        <f>IF(AQ22="5",BJ22,0)</f>
        <v>0</v>
      </c>
      <c r="AB22" s="10">
        <f>IF(AQ22="1",BH22,0)</f>
        <v>0</v>
      </c>
      <c r="AC22" s="10">
        <f>IF(AQ22="1",BI22,0)</f>
        <v>0</v>
      </c>
      <c r="AD22" s="10">
        <f>IF(AQ22="7",BH22,0)</f>
        <v>0</v>
      </c>
      <c r="AE22" s="10">
        <f>IF(AQ22="7",BI22,0)</f>
        <v>0</v>
      </c>
      <c r="AF22" s="10">
        <f>IF(AQ22="2",BH22,0)</f>
        <v>0</v>
      </c>
      <c r="AG22" s="10">
        <f>IF(AQ22="2",BI22,0)</f>
        <v>0</v>
      </c>
      <c r="AH22" s="10">
        <f>IF(AQ22="0",BJ22,0)</f>
        <v>0</v>
      </c>
      <c r="AI22" s="43" t="s">
        <v>44</v>
      </c>
      <c r="AJ22" s="10">
        <f>IF(AN22=0,L22,0)</f>
        <v>0</v>
      </c>
      <c r="AK22" s="10">
        <f>IF(AN22=15,L22,0)</f>
        <v>0</v>
      </c>
      <c r="AL22" s="10">
        <f>IF(AN22=21,L22,0)</f>
        <v>0</v>
      </c>
      <c r="AN22" s="10">
        <v>21</v>
      </c>
      <c r="AO22" s="10">
        <f>I22*0.683142109500805</f>
        <v>0</v>
      </c>
      <c r="AP22" s="10">
        <f>I22*(1-0.683142109500805)</f>
        <v>0</v>
      </c>
      <c r="AQ22" s="41" t="s">
        <v>46</v>
      </c>
      <c r="AV22" s="10">
        <f>AW22+AX22</f>
        <v>0</v>
      </c>
      <c r="AW22" s="10">
        <f>H22*AO22</f>
        <v>0</v>
      </c>
      <c r="AX22" s="10">
        <f>H22*AP22</f>
        <v>0</v>
      </c>
      <c r="AY22" s="41" t="s">
        <v>73</v>
      </c>
      <c r="AZ22" s="41" t="s">
        <v>57</v>
      </c>
      <c r="BA22" s="43" t="s">
        <v>51</v>
      </c>
      <c r="BC22" s="10">
        <f>AW22+AX22</f>
        <v>0</v>
      </c>
      <c r="BD22" s="10">
        <f>I22/(100-BE22)*100</f>
        <v>0</v>
      </c>
      <c r="BE22" s="10">
        <v>0</v>
      </c>
      <c r="BF22" s="10">
        <f>22</f>
        <v>22</v>
      </c>
      <c r="BH22" s="10">
        <f>H22*AO22</f>
        <v>0</v>
      </c>
      <c r="BI22" s="10">
        <f>H22*AP22</f>
        <v>0</v>
      </c>
      <c r="BJ22" s="10">
        <f>H22*I22</f>
        <v>0</v>
      </c>
      <c r="BK22" s="10"/>
      <c r="BL22" s="10">
        <v>34</v>
      </c>
    </row>
    <row r="23" spans="2:64" ht="15" customHeight="1">
      <c r="B23" s="25" t="s">
        <v>74</v>
      </c>
      <c r="C23" s="62" t="s">
        <v>75</v>
      </c>
      <c r="D23" s="62"/>
      <c r="E23" s="62"/>
      <c r="F23" s="62"/>
      <c r="G23" s="23" t="s">
        <v>63</v>
      </c>
      <c r="H23" s="10">
        <v>4.86</v>
      </c>
      <c r="I23" s="53">
        <v>0</v>
      </c>
      <c r="J23" s="10">
        <f>H23*AO23</f>
        <v>0</v>
      </c>
      <c r="K23" s="10">
        <f>H23*AP23</f>
        <v>0</v>
      </c>
      <c r="L23" s="10">
        <f>H23*I23</f>
        <v>0</v>
      </c>
      <c r="M23" s="47"/>
      <c r="Z23" s="10">
        <f>IF(AQ23="5",BJ23,0)</f>
        <v>0</v>
      </c>
      <c r="AB23" s="10">
        <f>IF(AQ23="1",BH23,0)</f>
        <v>0</v>
      </c>
      <c r="AC23" s="10">
        <f>IF(AQ23="1",BI23,0)</f>
        <v>0</v>
      </c>
      <c r="AD23" s="10">
        <f>IF(AQ23="7",BH23,0)</f>
        <v>0</v>
      </c>
      <c r="AE23" s="10">
        <f>IF(AQ23="7",BI23,0)</f>
        <v>0</v>
      </c>
      <c r="AF23" s="10">
        <f>IF(AQ23="2",BH23,0)</f>
        <v>0</v>
      </c>
      <c r="AG23" s="10">
        <f>IF(AQ23="2",BI23,0)</f>
        <v>0</v>
      </c>
      <c r="AH23" s="10">
        <f>IF(AQ23="0",BJ23,0)</f>
        <v>0</v>
      </c>
      <c r="AI23" s="43" t="s">
        <v>44</v>
      </c>
      <c r="AJ23" s="10">
        <f>IF(AN23=0,L23,0)</f>
        <v>0</v>
      </c>
      <c r="AK23" s="10">
        <f>IF(AN23=15,L23,0)</f>
        <v>0</v>
      </c>
      <c r="AL23" s="10">
        <f>IF(AN23=21,L23,0)</f>
        <v>0</v>
      </c>
      <c r="AN23" s="10">
        <v>21</v>
      </c>
      <c r="AO23" s="10">
        <f>I23*0.689604105571847</f>
        <v>0</v>
      </c>
      <c r="AP23" s="10">
        <f>I23*(1-0.689604105571847)</f>
        <v>0</v>
      </c>
      <c r="AQ23" s="41" t="s">
        <v>46</v>
      </c>
      <c r="AV23" s="10">
        <f>AW23+AX23</f>
        <v>0</v>
      </c>
      <c r="AW23" s="10">
        <f>H23*AO23</f>
        <v>0</v>
      </c>
      <c r="AX23" s="10">
        <f>H23*AP23</f>
        <v>0</v>
      </c>
      <c r="AY23" s="41" t="s">
        <v>73</v>
      </c>
      <c r="AZ23" s="41" t="s">
        <v>57</v>
      </c>
      <c r="BA23" s="43" t="s">
        <v>51</v>
      </c>
      <c r="BC23" s="10">
        <f>AW23+AX23</f>
        <v>0</v>
      </c>
      <c r="BD23" s="10">
        <f>I23/(100-BE23)*100</f>
        <v>0</v>
      </c>
      <c r="BE23" s="10">
        <v>0</v>
      </c>
      <c r="BF23" s="10">
        <f>23</f>
        <v>23</v>
      </c>
      <c r="BH23" s="10">
        <f>H23*AO23</f>
        <v>0</v>
      </c>
      <c r="BI23" s="10">
        <f>H23*AP23</f>
        <v>0</v>
      </c>
      <c r="BJ23" s="10">
        <f>H23*I23</f>
        <v>0</v>
      </c>
      <c r="BK23" s="10"/>
      <c r="BL23" s="10">
        <v>34</v>
      </c>
    </row>
    <row r="24" spans="2:64" ht="15" customHeight="1">
      <c r="B24" s="25" t="s">
        <v>76</v>
      </c>
      <c r="C24" s="62" t="s">
        <v>77</v>
      </c>
      <c r="D24" s="62"/>
      <c r="E24" s="62"/>
      <c r="F24" s="62"/>
      <c r="G24" s="23" t="s">
        <v>55</v>
      </c>
      <c r="H24" s="10">
        <v>67.5</v>
      </c>
      <c r="I24" s="53">
        <v>0</v>
      </c>
      <c r="J24" s="10">
        <f>H24*AO24</f>
        <v>0</v>
      </c>
      <c r="K24" s="10">
        <f>H24*AP24</f>
        <v>0</v>
      </c>
      <c r="L24" s="10">
        <f>H24*I24</f>
        <v>0</v>
      </c>
      <c r="M24" s="47"/>
      <c r="Z24" s="10">
        <f>IF(AQ24="5",BJ24,0)</f>
        <v>0</v>
      </c>
      <c r="AB24" s="10">
        <f>IF(AQ24="1",BH24,0)</f>
        <v>0</v>
      </c>
      <c r="AC24" s="10">
        <f>IF(AQ24="1",BI24,0)</f>
        <v>0</v>
      </c>
      <c r="AD24" s="10">
        <f>IF(AQ24="7",BH24,0)</f>
        <v>0</v>
      </c>
      <c r="AE24" s="10">
        <f>IF(AQ24="7",BI24,0)</f>
        <v>0</v>
      </c>
      <c r="AF24" s="10">
        <f>IF(AQ24="2",BH24,0)</f>
        <v>0</v>
      </c>
      <c r="AG24" s="10">
        <f>IF(AQ24="2",BI24,0)</f>
        <v>0</v>
      </c>
      <c r="AH24" s="10">
        <f>IF(AQ24="0",BJ24,0)</f>
        <v>0</v>
      </c>
      <c r="AI24" s="43" t="s">
        <v>44</v>
      </c>
      <c r="AJ24" s="10">
        <f>IF(AN24=0,L24,0)</f>
        <v>0</v>
      </c>
      <c r="AK24" s="10">
        <f>IF(AN24=15,L24,0)</f>
        <v>0</v>
      </c>
      <c r="AL24" s="10">
        <f>IF(AN24=21,L24,0)</f>
        <v>0</v>
      </c>
      <c r="AN24" s="10">
        <v>21</v>
      </c>
      <c r="AO24" s="10">
        <f>I24*0.191346153846154</f>
        <v>0</v>
      </c>
      <c r="AP24" s="10">
        <f>I24*(1-0.191346153846154)</f>
        <v>0</v>
      </c>
      <c r="AQ24" s="41" t="s">
        <v>46</v>
      </c>
      <c r="AV24" s="10">
        <f>AW24+AX24</f>
        <v>0</v>
      </c>
      <c r="AW24" s="10">
        <f>H24*AO24</f>
        <v>0</v>
      </c>
      <c r="AX24" s="10">
        <f>H24*AP24</f>
        <v>0</v>
      </c>
      <c r="AY24" s="41" t="s">
        <v>73</v>
      </c>
      <c r="AZ24" s="41" t="s">
        <v>57</v>
      </c>
      <c r="BA24" s="43" t="s">
        <v>51</v>
      </c>
      <c r="BC24" s="10">
        <f>AW24+AX24</f>
        <v>0</v>
      </c>
      <c r="BD24" s="10">
        <f>I24/(100-BE24)*100</f>
        <v>0</v>
      </c>
      <c r="BE24" s="10">
        <v>0</v>
      </c>
      <c r="BF24" s="10">
        <f>24</f>
        <v>24</v>
      </c>
      <c r="BH24" s="10">
        <f>H24*AO24</f>
        <v>0</v>
      </c>
      <c r="BI24" s="10">
        <f>H24*AP24</f>
        <v>0</v>
      </c>
      <c r="BJ24" s="10">
        <f>H24*I24</f>
        <v>0</v>
      </c>
      <c r="BK24" s="10"/>
      <c r="BL24" s="10">
        <v>34</v>
      </c>
    </row>
    <row r="25" spans="2:64" ht="15" customHeight="1">
      <c r="B25" s="25" t="s">
        <v>78</v>
      </c>
      <c r="C25" s="62" t="s">
        <v>79</v>
      </c>
      <c r="D25" s="62"/>
      <c r="E25" s="62"/>
      <c r="F25" s="62"/>
      <c r="G25" s="23" t="s">
        <v>63</v>
      </c>
      <c r="H25" s="10">
        <v>144</v>
      </c>
      <c r="I25" s="53">
        <v>0</v>
      </c>
      <c r="J25" s="10">
        <f>H25*AO25</f>
        <v>0</v>
      </c>
      <c r="K25" s="10">
        <f>H25*AP25</f>
        <v>0</v>
      </c>
      <c r="L25" s="10">
        <f>H25*I25</f>
        <v>0</v>
      </c>
      <c r="M25" s="47"/>
      <c r="Z25" s="10">
        <f>IF(AQ25="5",BJ25,0)</f>
        <v>0</v>
      </c>
      <c r="AB25" s="10">
        <f>IF(AQ25="1",BH25,0)</f>
        <v>0</v>
      </c>
      <c r="AC25" s="10">
        <f>IF(AQ25="1",BI25,0)</f>
        <v>0</v>
      </c>
      <c r="AD25" s="10">
        <f>IF(AQ25="7",BH25,0)</f>
        <v>0</v>
      </c>
      <c r="AE25" s="10">
        <f>IF(AQ25="7",BI25,0)</f>
        <v>0</v>
      </c>
      <c r="AF25" s="10">
        <f>IF(AQ25="2",BH25,0)</f>
        <v>0</v>
      </c>
      <c r="AG25" s="10">
        <f>IF(AQ25="2",BI25,0)</f>
        <v>0</v>
      </c>
      <c r="AH25" s="10">
        <f>IF(AQ25="0",BJ25,0)</f>
        <v>0</v>
      </c>
      <c r="AI25" s="43" t="s">
        <v>44</v>
      </c>
      <c r="AJ25" s="10">
        <f>IF(AN25=0,L25,0)</f>
        <v>0</v>
      </c>
      <c r="AK25" s="10">
        <f>IF(AN25=15,L25,0)</f>
        <v>0</v>
      </c>
      <c r="AL25" s="10">
        <f>IF(AN25=21,L25,0)</f>
        <v>0</v>
      </c>
      <c r="AN25" s="10">
        <v>21</v>
      </c>
      <c r="AO25" s="10">
        <f>I25*0.174262461851475</f>
        <v>0</v>
      </c>
      <c r="AP25" s="10">
        <f>I25*(1-0.174262461851475)</f>
        <v>0</v>
      </c>
      <c r="AQ25" s="41" t="s">
        <v>46</v>
      </c>
      <c r="AV25" s="10">
        <f>AW25+AX25</f>
        <v>0</v>
      </c>
      <c r="AW25" s="10">
        <f>H25*AO25</f>
        <v>0</v>
      </c>
      <c r="AX25" s="10">
        <f>H25*AP25</f>
        <v>0</v>
      </c>
      <c r="AY25" s="41" t="s">
        <v>73</v>
      </c>
      <c r="AZ25" s="41" t="s">
        <v>57</v>
      </c>
      <c r="BA25" s="43" t="s">
        <v>51</v>
      </c>
      <c r="BC25" s="10">
        <f>AW25+AX25</f>
        <v>0</v>
      </c>
      <c r="BD25" s="10">
        <f>I25/(100-BE25)*100</f>
        <v>0</v>
      </c>
      <c r="BE25" s="10">
        <v>0</v>
      </c>
      <c r="BF25" s="10">
        <f>25</f>
        <v>25</v>
      </c>
      <c r="BH25" s="10">
        <f>H25*AO25</f>
        <v>0</v>
      </c>
      <c r="BI25" s="10">
        <f>H25*AP25</f>
        <v>0</v>
      </c>
      <c r="BJ25" s="10">
        <f>H25*I25</f>
        <v>0</v>
      </c>
      <c r="BK25" s="10"/>
      <c r="BL25" s="10">
        <v>34</v>
      </c>
    </row>
    <row r="26" spans="2:47" ht="15" customHeight="1">
      <c r="B26" s="14" t="s">
        <v>44</v>
      </c>
      <c r="C26" s="78" t="s">
        <v>80</v>
      </c>
      <c r="D26" s="78"/>
      <c r="E26" s="78"/>
      <c r="F26" s="78"/>
      <c r="G26" s="19" t="s">
        <v>4</v>
      </c>
      <c r="H26" s="19" t="s">
        <v>4</v>
      </c>
      <c r="I26" s="19" t="s">
        <v>4</v>
      </c>
      <c r="J26" s="28">
        <f>SUM(J27:J27)</f>
        <v>0</v>
      </c>
      <c r="K26" s="28">
        <f>SUM(K27:K27)</f>
        <v>0</v>
      </c>
      <c r="L26" s="28">
        <f>SUM(L27:L27)</f>
        <v>0</v>
      </c>
      <c r="M26" s="2"/>
      <c r="AI26" s="43" t="s">
        <v>44</v>
      </c>
      <c r="AS26" s="28">
        <f>SUM(AJ27:AJ27)</f>
        <v>0</v>
      </c>
      <c r="AT26" s="28">
        <f>SUM(AK27:AK27)</f>
        <v>0</v>
      </c>
      <c r="AU26" s="28">
        <f>SUM(AL27:AL27)</f>
        <v>0</v>
      </c>
    </row>
    <row r="27" spans="2:64" ht="15" customHeight="1">
      <c r="B27" s="25" t="s">
        <v>81</v>
      </c>
      <c r="C27" s="62" t="s">
        <v>82</v>
      </c>
      <c r="D27" s="62"/>
      <c r="E27" s="62"/>
      <c r="F27" s="62"/>
      <c r="G27" s="23" t="s">
        <v>48</v>
      </c>
      <c r="H27" s="10">
        <v>2.808</v>
      </c>
      <c r="I27" s="53">
        <v>0</v>
      </c>
      <c r="J27" s="10">
        <f>H27*AO27</f>
        <v>0</v>
      </c>
      <c r="K27" s="10">
        <f>H27*AP27</f>
        <v>0</v>
      </c>
      <c r="L27" s="10">
        <f>H27*I27</f>
        <v>0</v>
      </c>
      <c r="M27" s="47"/>
      <c r="Z27" s="10">
        <f>IF(AQ27="5",BJ27,0)</f>
        <v>0</v>
      </c>
      <c r="AB27" s="10">
        <f>IF(AQ27="1",BH27,0)</f>
        <v>0</v>
      </c>
      <c r="AC27" s="10">
        <f>IF(AQ27="1",BI27,0)</f>
        <v>0</v>
      </c>
      <c r="AD27" s="10">
        <f>IF(AQ27="7",BH27,0)</f>
        <v>0</v>
      </c>
      <c r="AE27" s="10">
        <f>IF(AQ27="7",BI27,0)</f>
        <v>0</v>
      </c>
      <c r="AF27" s="10">
        <f>IF(AQ27="2",BH27,0)</f>
        <v>0</v>
      </c>
      <c r="AG27" s="10">
        <f>IF(AQ27="2",BI27,0)</f>
        <v>0</v>
      </c>
      <c r="AH27" s="10">
        <f>IF(AQ27="0",BJ27,0)</f>
        <v>0</v>
      </c>
      <c r="AI27" s="43" t="s">
        <v>44</v>
      </c>
      <c r="AJ27" s="10">
        <f>IF(AN27=0,L27,0)</f>
        <v>0</v>
      </c>
      <c r="AK27" s="10">
        <f>IF(AN27=15,L27,0)</f>
        <v>0</v>
      </c>
      <c r="AL27" s="10">
        <f>IF(AN27=21,L27,0)</f>
        <v>0</v>
      </c>
      <c r="AN27" s="10">
        <v>21</v>
      </c>
      <c r="AO27" s="10">
        <f>I27*0.568697196179698</f>
        <v>0</v>
      </c>
      <c r="AP27" s="10">
        <f>I27*(1-0.568697196179698)</f>
        <v>0</v>
      </c>
      <c r="AQ27" s="41" t="s">
        <v>46</v>
      </c>
      <c r="AV27" s="10">
        <f>AW27+AX27</f>
        <v>0</v>
      </c>
      <c r="AW27" s="10">
        <f>H27*AO27</f>
        <v>0</v>
      </c>
      <c r="AX27" s="10">
        <f>H27*AP27</f>
        <v>0</v>
      </c>
      <c r="AY27" s="41" t="s">
        <v>83</v>
      </c>
      <c r="AZ27" s="41" t="s">
        <v>84</v>
      </c>
      <c r="BA27" s="43" t="s">
        <v>51</v>
      </c>
      <c r="BC27" s="10">
        <f>AW27+AX27</f>
        <v>0</v>
      </c>
      <c r="BD27" s="10">
        <f>I27/(100-BE27)*100</f>
        <v>0</v>
      </c>
      <c r="BE27" s="10">
        <v>0</v>
      </c>
      <c r="BF27" s="10">
        <f>27</f>
        <v>27</v>
      </c>
      <c r="BH27" s="10">
        <f>H27*AO27</f>
        <v>0</v>
      </c>
      <c r="BI27" s="10">
        <f>H27*AP27</f>
        <v>0</v>
      </c>
      <c r="BJ27" s="10">
        <f>H27*I27</f>
        <v>0</v>
      </c>
      <c r="BK27" s="10"/>
      <c r="BL27" s="10">
        <v>42</v>
      </c>
    </row>
    <row r="28" spans="2:47" ht="15" customHeight="1">
      <c r="B28" s="14" t="s">
        <v>44</v>
      </c>
      <c r="C28" s="78" t="s">
        <v>85</v>
      </c>
      <c r="D28" s="78"/>
      <c r="E28" s="78"/>
      <c r="F28" s="78"/>
      <c r="G28" s="19" t="s">
        <v>4</v>
      </c>
      <c r="H28" s="19" t="s">
        <v>4</v>
      </c>
      <c r="I28" s="19" t="s">
        <v>4</v>
      </c>
      <c r="J28" s="28">
        <f>SUM(J29:J39)</f>
        <v>0</v>
      </c>
      <c r="K28" s="28">
        <f>SUM(K29:K39)</f>
        <v>0</v>
      </c>
      <c r="L28" s="28">
        <f>SUM(L29:L39)</f>
        <v>0</v>
      </c>
      <c r="M28" s="2"/>
      <c r="AI28" s="43" t="s">
        <v>44</v>
      </c>
      <c r="AS28" s="28">
        <f>SUM(AJ29:AJ39)</f>
        <v>0</v>
      </c>
      <c r="AT28" s="28">
        <f>SUM(AK29:AK39)</f>
        <v>0</v>
      </c>
      <c r="AU28" s="28">
        <f>SUM(AL29:AL39)</f>
        <v>0</v>
      </c>
    </row>
    <row r="29" spans="2:64" ht="15" customHeight="1">
      <c r="B29" s="25" t="s">
        <v>86</v>
      </c>
      <c r="C29" s="62" t="s">
        <v>87</v>
      </c>
      <c r="D29" s="62"/>
      <c r="E29" s="62"/>
      <c r="F29" s="62"/>
      <c r="G29" s="23" t="s">
        <v>63</v>
      </c>
      <c r="H29" s="10">
        <v>16.83</v>
      </c>
      <c r="I29" s="53">
        <v>0</v>
      </c>
      <c r="J29" s="10">
        <f aca="true" t="shared" si="22" ref="J29:J39">H29*AO29</f>
        <v>0</v>
      </c>
      <c r="K29" s="10">
        <f aca="true" t="shared" si="23" ref="K29:K39">H29*AP29</f>
        <v>0</v>
      </c>
      <c r="L29" s="10">
        <f aca="true" t="shared" si="24" ref="L29:L39">H29*I29</f>
        <v>0</v>
      </c>
      <c r="M29" s="47"/>
      <c r="Z29" s="10">
        <f aca="true" t="shared" si="25" ref="Z29:Z39">IF(AQ29="5",BJ29,0)</f>
        <v>0</v>
      </c>
      <c r="AB29" s="10">
        <f aca="true" t="shared" si="26" ref="AB29:AB39">IF(AQ29="1",BH29,0)</f>
        <v>0</v>
      </c>
      <c r="AC29" s="10">
        <f aca="true" t="shared" si="27" ref="AC29:AC39">IF(AQ29="1",BI29,0)</f>
        <v>0</v>
      </c>
      <c r="AD29" s="10">
        <f aca="true" t="shared" si="28" ref="AD29:AD39">IF(AQ29="7",BH29,0)</f>
        <v>0</v>
      </c>
      <c r="AE29" s="10">
        <f aca="true" t="shared" si="29" ref="AE29:AE39">IF(AQ29="7",BI29,0)</f>
        <v>0</v>
      </c>
      <c r="AF29" s="10">
        <f aca="true" t="shared" si="30" ref="AF29:AF39">IF(AQ29="2",BH29,0)</f>
        <v>0</v>
      </c>
      <c r="AG29" s="10">
        <f aca="true" t="shared" si="31" ref="AG29:AG39">IF(AQ29="2",BI29,0)</f>
        <v>0</v>
      </c>
      <c r="AH29" s="10">
        <f aca="true" t="shared" si="32" ref="AH29:AH39">IF(AQ29="0",BJ29,0)</f>
        <v>0</v>
      </c>
      <c r="AI29" s="43" t="s">
        <v>44</v>
      </c>
      <c r="AJ29" s="10">
        <f aca="true" t="shared" si="33" ref="AJ29:AJ39">IF(AN29=0,L29,0)</f>
        <v>0</v>
      </c>
      <c r="AK29" s="10">
        <f aca="true" t="shared" si="34" ref="AK29:AK39">IF(AN29=15,L29,0)</f>
        <v>0</v>
      </c>
      <c r="AL29" s="10">
        <f aca="true" t="shared" si="35" ref="AL29:AL39">IF(AN29=21,L29,0)</f>
        <v>0</v>
      </c>
      <c r="AN29" s="10">
        <v>21</v>
      </c>
      <c r="AO29" s="10">
        <f>I29*0.57056857808072</f>
        <v>0</v>
      </c>
      <c r="AP29" s="10">
        <f>I29*(1-0.57056857808072)</f>
        <v>0</v>
      </c>
      <c r="AQ29" s="41" t="s">
        <v>46</v>
      </c>
      <c r="AV29" s="10">
        <f aca="true" t="shared" si="36" ref="AV29:AV39">AW29+AX29</f>
        <v>0</v>
      </c>
      <c r="AW29" s="10">
        <f aca="true" t="shared" si="37" ref="AW29:AW39">H29*AO29</f>
        <v>0</v>
      </c>
      <c r="AX29" s="10">
        <f aca="true" t="shared" si="38" ref="AX29:AX39">H29*AP29</f>
        <v>0</v>
      </c>
      <c r="AY29" s="41" t="s">
        <v>88</v>
      </c>
      <c r="AZ29" s="41" t="s">
        <v>89</v>
      </c>
      <c r="BA29" s="43" t="s">
        <v>51</v>
      </c>
      <c r="BC29" s="10">
        <f aca="true" t="shared" si="39" ref="BC29:BC39">AW29+AX29</f>
        <v>0</v>
      </c>
      <c r="BD29" s="10">
        <f aca="true" t="shared" si="40" ref="BD29:BD39">I29/(100-BE29)*100</f>
        <v>0</v>
      </c>
      <c r="BE29" s="10">
        <v>0</v>
      </c>
      <c r="BF29" s="10">
        <f>29</f>
        <v>29</v>
      </c>
      <c r="BH29" s="10">
        <f aca="true" t="shared" si="41" ref="BH29:BH39">H29*AO29</f>
        <v>0</v>
      </c>
      <c r="BI29" s="10">
        <f aca="true" t="shared" si="42" ref="BI29:BI39">H29*AP29</f>
        <v>0</v>
      </c>
      <c r="BJ29" s="10">
        <f aca="true" t="shared" si="43" ref="BJ29:BJ39">H29*I29</f>
        <v>0</v>
      </c>
      <c r="BK29" s="10"/>
      <c r="BL29" s="10">
        <v>60</v>
      </c>
    </row>
    <row r="30" spans="2:64" ht="15" customHeight="1">
      <c r="B30" s="25" t="s">
        <v>90</v>
      </c>
      <c r="C30" s="62" t="s">
        <v>91</v>
      </c>
      <c r="D30" s="62"/>
      <c r="E30" s="62"/>
      <c r="F30" s="62"/>
      <c r="G30" s="23" t="s">
        <v>63</v>
      </c>
      <c r="H30" s="10">
        <v>16.83</v>
      </c>
      <c r="I30" s="53">
        <v>0</v>
      </c>
      <c r="J30" s="10">
        <f t="shared" si="22"/>
        <v>0</v>
      </c>
      <c r="K30" s="10">
        <f t="shared" si="23"/>
        <v>0</v>
      </c>
      <c r="L30" s="10">
        <f t="shared" si="24"/>
        <v>0</v>
      </c>
      <c r="M30" s="47"/>
      <c r="Z30" s="10">
        <f t="shared" si="25"/>
        <v>0</v>
      </c>
      <c r="AB30" s="10">
        <f t="shared" si="26"/>
        <v>0</v>
      </c>
      <c r="AC30" s="10">
        <f t="shared" si="27"/>
        <v>0</v>
      </c>
      <c r="AD30" s="10">
        <f t="shared" si="28"/>
        <v>0</v>
      </c>
      <c r="AE30" s="10">
        <f t="shared" si="29"/>
        <v>0</v>
      </c>
      <c r="AF30" s="10">
        <f t="shared" si="30"/>
        <v>0</v>
      </c>
      <c r="AG30" s="10">
        <f t="shared" si="31"/>
        <v>0</v>
      </c>
      <c r="AH30" s="10">
        <f t="shared" si="32"/>
        <v>0</v>
      </c>
      <c r="AI30" s="43" t="s">
        <v>44</v>
      </c>
      <c r="AJ30" s="10">
        <f t="shared" si="33"/>
        <v>0</v>
      </c>
      <c r="AK30" s="10">
        <f t="shared" si="34"/>
        <v>0</v>
      </c>
      <c r="AL30" s="10">
        <f t="shared" si="35"/>
        <v>0</v>
      </c>
      <c r="AN30" s="10">
        <v>21</v>
      </c>
      <c r="AO30" s="10">
        <f>I30*0.562262443438914</f>
        <v>0</v>
      </c>
      <c r="AP30" s="10">
        <f>I30*(1-0.562262443438914)</f>
        <v>0</v>
      </c>
      <c r="AQ30" s="41" t="s">
        <v>46</v>
      </c>
      <c r="AV30" s="10">
        <f t="shared" si="36"/>
        <v>0</v>
      </c>
      <c r="AW30" s="10">
        <f t="shared" si="37"/>
        <v>0</v>
      </c>
      <c r="AX30" s="10">
        <f t="shared" si="38"/>
        <v>0</v>
      </c>
      <c r="AY30" s="41" t="s">
        <v>88</v>
      </c>
      <c r="AZ30" s="41" t="s">
        <v>89</v>
      </c>
      <c r="BA30" s="43" t="s">
        <v>51</v>
      </c>
      <c r="BC30" s="10">
        <f t="shared" si="39"/>
        <v>0</v>
      </c>
      <c r="BD30" s="10">
        <f t="shared" si="40"/>
        <v>0</v>
      </c>
      <c r="BE30" s="10">
        <v>0</v>
      </c>
      <c r="BF30" s="10">
        <f>30</f>
        <v>30</v>
      </c>
      <c r="BH30" s="10">
        <f t="shared" si="41"/>
        <v>0</v>
      </c>
      <c r="BI30" s="10">
        <f t="shared" si="42"/>
        <v>0</v>
      </c>
      <c r="BJ30" s="10">
        <f t="shared" si="43"/>
        <v>0</v>
      </c>
      <c r="BK30" s="10"/>
      <c r="BL30" s="10">
        <v>60</v>
      </c>
    </row>
    <row r="31" spans="2:64" ht="15" customHeight="1">
      <c r="B31" s="25" t="s">
        <v>92</v>
      </c>
      <c r="C31" s="62" t="s">
        <v>93</v>
      </c>
      <c r="D31" s="62"/>
      <c r="E31" s="62"/>
      <c r="F31" s="62"/>
      <c r="G31" s="23" t="s">
        <v>63</v>
      </c>
      <c r="H31" s="10">
        <v>16.83</v>
      </c>
      <c r="I31" s="53">
        <v>0</v>
      </c>
      <c r="J31" s="10">
        <f t="shared" si="22"/>
        <v>0</v>
      </c>
      <c r="K31" s="10">
        <f t="shared" si="23"/>
        <v>0</v>
      </c>
      <c r="L31" s="10">
        <f t="shared" si="24"/>
        <v>0</v>
      </c>
      <c r="M31" s="47"/>
      <c r="Z31" s="10">
        <f t="shared" si="25"/>
        <v>0</v>
      </c>
      <c r="AB31" s="10">
        <f t="shared" si="26"/>
        <v>0</v>
      </c>
      <c r="AC31" s="10">
        <f t="shared" si="27"/>
        <v>0</v>
      </c>
      <c r="AD31" s="10">
        <f t="shared" si="28"/>
        <v>0</v>
      </c>
      <c r="AE31" s="10">
        <f t="shared" si="29"/>
        <v>0</v>
      </c>
      <c r="AF31" s="10">
        <f t="shared" si="30"/>
        <v>0</v>
      </c>
      <c r="AG31" s="10">
        <f t="shared" si="31"/>
        <v>0</v>
      </c>
      <c r="AH31" s="10">
        <f t="shared" si="32"/>
        <v>0</v>
      </c>
      <c r="AI31" s="43" t="s">
        <v>44</v>
      </c>
      <c r="AJ31" s="10">
        <f t="shared" si="33"/>
        <v>0</v>
      </c>
      <c r="AK31" s="10">
        <f t="shared" si="34"/>
        <v>0</v>
      </c>
      <c r="AL31" s="10">
        <f t="shared" si="35"/>
        <v>0</v>
      </c>
      <c r="AN31" s="10">
        <v>21</v>
      </c>
      <c r="AO31" s="10">
        <f>I31*0.40674070451397</f>
        <v>0</v>
      </c>
      <c r="AP31" s="10">
        <f>I31*(1-0.40674070451397)</f>
        <v>0</v>
      </c>
      <c r="AQ31" s="41" t="s">
        <v>46</v>
      </c>
      <c r="AV31" s="10">
        <f t="shared" si="36"/>
        <v>0</v>
      </c>
      <c r="AW31" s="10">
        <f t="shared" si="37"/>
        <v>0</v>
      </c>
      <c r="AX31" s="10">
        <f t="shared" si="38"/>
        <v>0</v>
      </c>
      <c r="AY31" s="41" t="s">
        <v>88</v>
      </c>
      <c r="AZ31" s="41" t="s">
        <v>89</v>
      </c>
      <c r="BA31" s="43" t="s">
        <v>51</v>
      </c>
      <c r="BC31" s="10">
        <f t="shared" si="39"/>
        <v>0</v>
      </c>
      <c r="BD31" s="10">
        <f t="shared" si="40"/>
        <v>0</v>
      </c>
      <c r="BE31" s="10">
        <v>0</v>
      </c>
      <c r="BF31" s="10">
        <f>31</f>
        <v>31</v>
      </c>
      <c r="BH31" s="10">
        <f t="shared" si="41"/>
        <v>0</v>
      </c>
      <c r="BI31" s="10">
        <f t="shared" si="42"/>
        <v>0</v>
      </c>
      <c r="BJ31" s="10">
        <f t="shared" si="43"/>
        <v>0</v>
      </c>
      <c r="BK31" s="10"/>
      <c r="BL31" s="10">
        <v>60</v>
      </c>
    </row>
    <row r="32" spans="2:64" ht="15" customHeight="1">
      <c r="B32" s="25" t="s">
        <v>94</v>
      </c>
      <c r="C32" s="62" t="s">
        <v>95</v>
      </c>
      <c r="D32" s="62"/>
      <c r="E32" s="62"/>
      <c r="F32" s="62"/>
      <c r="G32" s="23" t="s">
        <v>63</v>
      </c>
      <c r="H32" s="10">
        <v>592.18</v>
      </c>
      <c r="I32" s="53">
        <v>0</v>
      </c>
      <c r="J32" s="10">
        <f t="shared" si="22"/>
        <v>0</v>
      </c>
      <c r="K32" s="10">
        <f t="shared" si="23"/>
        <v>0</v>
      </c>
      <c r="L32" s="10">
        <f t="shared" si="24"/>
        <v>0</v>
      </c>
      <c r="M32" s="47"/>
      <c r="Z32" s="10">
        <f t="shared" si="25"/>
        <v>0</v>
      </c>
      <c r="AB32" s="10">
        <f t="shared" si="26"/>
        <v>0</v>
      </c>
      <c r="AC32" s="10">
        <f t="shared" si="27"/>
        <v>0</v>
      </c>
      <c r="AD32" s="10">
        <f t="shared" si="28"/>
        <v>0</v>
      </c>
      <c r="AE32" s="10">
        <f t="shared" si="29"/>
        <v>0</v>
      </c>
      <c r="AF32" s="10">
        <f t="shared" si="30"/>
        <v>0</v>
      </c>
      <c r="AG32" s="10">
        <f t="shared" si="31"/>
        <v>0</v>
      </c>
      <c r="AH32" s="10">
        <f t="shared" si="32"/>
        <v>0</v>
      </c>
      <c r="AI32" s="43" t="s">
        <v>44</v>
      </c>
      <c r="AJ32" s="10">
        <f t="shared" si="33"/>
        <v>0</v>
      </c>
      <c r="AK32" s="10">
        <f t="shared" si="34"/>
        <v>0</v>
      </c>
      <c r="AL32" s="10">
        <f t="shared" si="35"/>
        <v>0</v>
      </c>
      <c r="AN32" s="10">
        <v>21</v>
      </c>
      <c r="AO32" s="10">
        <f>I32*0.511309523809524</f>
        <v>0</v>
      </c>
      <c r="AP32" s="10">
        <f>I32*(1-0.511309523809524)</f>
        <v>0</v>
      </c>
      <c r="AQ32" s="41" t="s">
        <v>46</v>
      </c>
      <c r="AV32" s="10">
        <f t="shared" si="36"/>
        <v>0</v>
      </c>
      <c r="AW32" s="10">
        <f t="shared" si="37"/>
        <v>0</v>
      </c>
      <c r="AX32" s="10">
        <f t="shared" si="38"/>
        <v>0</v>
      </c>
      <c r="AY32" s="41" t="s">
        <v>88</v>
      </c>
      <c r="AZ32" s="41" t="s">
        <v>89</v>
      </c>
      <c r="BA32" s="43" t="s">
        <v>51</v>
      </c>
      <c r="BC32" s="10">
        <f t="shared" si="39"/>
        <v>0</v>
      </c>
      <c r="BD32" s="10">
        <f t="shared" si="40"/>
        <v>0</v>
      </c>
      <c r="BE32" s="10">
        <v>0</v>
      </c>
      <c r="BF32" s="10">
        <f>32</f>
        <v>32</v>
      </c>
      <c r="BH32" s="10">
        <f t="shared" si="41"/>
        <v>0</v>
      </c>
      <c r="BI32" s="10">
        <f t="shared" si="42"/>
        <v>0</v>
      </c>
      <c r="BJ32" s="10">
        <f t="shared" si="43"/>
        <v>0</v>
      </c>
      <c r="BK32" s="10"/>
      <c r="BL32" s="10">
        <v>60</v>
      </c>
    </row>
    <row r="33" spans="2:64" ht="15" customHeight="1">
      <c r="B33" s="25" t="s">
        <v>96</v>
      </c>
      <c r="C33" s="62" t="s">
        <v>97</v>
      </c>
      <c r="D33" s="62"/>
      <c r="E33" s="62"/>
      <c r="F33" s="62"/>
      <c r="G33" s="23" t="s">
        <v>63</v>
      </c>
      <c r="H33" s="10">
        <v>723.42</v>
      </c>
      <c r="I33" s="53">
        <v>0</v>
      </c>
      <c r="J33" s="10">
        <f t="shared" si="22"/>
        <v>0</v>
      </c>
      <c r="K33" s="10">
        <f t="shared" si="23"/>
        <v>0</v>
      </c>
      <c r="L33" s="10">
        <f t="shared" si="24"/>
        <v>0</v>
      </c>
      <c r="M33" s="47"/>
      <c r="Z33" s="10">
        <f t="shared" si="25"/>
        <v>0</v>
      </c>
      <c r="AB33" s="10">
        <f t="shared" si="26"/>
        <v>0</v>
      </c>
      <c r="AC33" s="10">
        <f t="shared" si="27"/>
        <v>0</v>
      </c>
      <c r="AD33" s="10">
        <f t="shared" si="28"/>
        <v>0</v>
      </c>
      <c r="AE33" s="10">
        <f t="shared" si="29"/>
        <v>0</v>
      </c>
      <c r="AF33" s="10">
        <f t="shared" si="30"/>
        <v>0</v>
      </c>
      <c r="AG33" s="10">
        <f t="shared" si="31"/>
        <v>0</v>
      </c>
      <c r="AH33" s="10">
        <f t="shared" si="32"/>
        <v>0</v>
      </c>
      <c r="AI33" s="43" t="s">
        <v>44</v>
      </c>
      <c r="AJ33" s="10">
        <f t="shared" si="33"/>
        <v>0</v>
      </c>
      <c r="AK33" s="10">
        <f t="shared" si="34"/>
        <v>0</v>
      </c>
      <c r="AL33" s="10">
        <f t="shared" si="35"/>
        <v>0</v>
      </c>
      <c r="AN33" s="10">
        <v>21</v>
      </c>
      <c r="AO33" s="10">
        <f>I33*0.487127334776843</f>
        <v>0</v>
      </c>
      <c r="AP33" s="10">
        <f>I33*(1-0.487127334776843)</f>
        <v>0</v>
      </c>
      <c r="AQ33" s="41" t="s">
        <v>46</v>
      </c>
      <c r="AV33" s="10">
        <f t="shared" si="36"/>
        <v>0</v>
      </c>
      <c r="AW33" s="10">
        <f t="shared" si="37"/>
        <v>0</v>
      </c>
      <c r="AX33" s="10">
        <f t="shared" si="38"/>
        <v>0</v>
      </c>
      <c r="AY33" s="41" t="s">
        <v>88</v>
      </c>
      <c r="AZ33" s="41" t="s">
        <v>89</v>
      </c>
      <c r="BA33" s="43" t="s">
        <v>51</v>
      </c>
      <c r="BC33" s="10">
        <f t="shared" si="39"/>
        <v>0</v>
      </c>
      <c r="BD33" s="10">
        <f t="shared" si="40"/>
        <v>0</v>
      </c>
      <c r="BE33" s="10">
        <v>0</v>
      </c>
      <c r="BF33" s="10">
        <f>33</f>
        <v>33</v>
      </c>
      <c r="BH33" s="10">
        <f t="shared" si="41"/>
        <v>0</v>
      </c>
      <c r="BI33" s="10">
        <f t="shared" si="42"/>
        <v>0</v>
      </c>
      <c r="BJ33" s="10">
        <f t="shared" si="43"/>
        <v>0</v>
      </c>
      <c r="BK33" s="10"/>
      <c r="BL33" s="10">
        <v>60</v>
      </c>
    </row>
    <row r="34" spans="2:64" ht="15" customHeight="1">
      <c r="B34" s="25" t="s">
        <v>98</v>
      </c>
      <c r="C34" s="62" t="s">
        <v>99</v>
      </c>
      <c r="D34" s="62"/>
      <c r="E34" s="62"/>
      <c r="F34" s="62"/>
      <c r="G34" s="23" t="s">
        <v>63</v>
      </c>
      <c r="H34" s="10">
        <v>493.92</v>
      </c>
      <c r="I34" s="53">
        <v>0</v>
      </c>
      <c r="J34" s="10">
        <f t="shared" si="22"/>
        <v>0</v>
      </c>
      <c r="K34" s="10">
        <f t="shared" si="23"/>
        <v>0</v>
      </c>
      <c r="L34" s="10">
        <f t="shared" si="24"/>
        <v>0</v>
      </c>
      <c r="M34" s="47"/>
      <c r="Z34" s="10">
        <f t="shared" si="25"/>
        <v>0</v>
      </c>
      <c r="AB34" s="10">
        <f t="shared" si="26"/>
        <v>0</v>
      </c>
      <c r="AC34" s="10">
        <f t="shared" si="27"/>
        <v>0</v>
      </c>
      <c r="AD34" s="10">
        <f t="shared" si="28"/>
        <v>0</v>
      </c>
      <c r="AE34" s="10">
        <f t="shared" si="29"/>
        <v>0</v>
      </c>
      <c r="AF34" s="10">
        <f t="shared" si="30"/>
        <v>0</v>
      </c>
      <c r="AG34" s="10">
        <f t="shared" si="31"/>
        <v>0</v>
      </c>
      <c r="AH34" s="10">
        <f t="shared" si="32"/>
        <v>0</v>
      </c>
      <c r="AI34" s="43" t="s">
        <v>44</v>
      </c>
      <c r="AJ34" s="10">
        <f t="shared" si="33"/>
        <v>0</v>
      </c>
      <c r="AK34" s="10">
        <f t="shared" si="34"/>
        <v>0</v>
      </c>
      <c r="AL34" s="10">
        <f t="shared" si="35"/>
        <v>0</v>
      </c>
      <c r="AN34" s="10">
        <v>21</v>
      </c>
      <c r="AO34" s="10">
        <f>I34*0.131962264150943</f>
        <v>0</v>
      </c>
      <c r="AP34" s="10">
        <f>I34*(1-0.131962264150943)</f>
        <v>0</v>
      </c>
      <c r="AQ34" s="41" t="s">
        <v>46</v>
      </c>
      <c r="AV34" s="10">
        <f t="shared" si="36"/>
        <v>0</v>
      </c>
      <c r="AW34" s="10">
        <f t="shared" si="37"/>
        <v>0</v>
      </c>
      <c r="AX34" s="10">
        <f t="shared" si="38"/>
        <v>0</v>
      </c>
      <c r="AY34" s="41" t="s">
        <v>88</v>
      </c>
      <c r="AZ34" s="41" t="s">
        <v>89</v>
      </c>
      <c r="BA34" s="43" t="s">
        <v>51</v>
      </c>
      <c r="BC34" s="10">
        <f t="shared" si="39"/>
        <v>0</v>
      </c>
      <c r="BD34" s="10">
        <f t="shared" si="40"/>
        <v>0</v>
      </c>
      <c r="BE34" s="10">
        <v>0</v>
      </c>
      <c r="BF34" s="10">
        <f>34</f>
        <v>34</v>
      </c>
      <c r="BH34" s="10">
        <f t="shared" si="41"/>
        <v>0</v>
      </c>
      <c r="BI34" s="10">
        <f t="shared" si="42"/>
        <v>0</v>
      </c>
      <c r="BJ34" s="10">
        <f t="shared" si="43"/>
        <v>0</v>
      </c>
      <c r="BK34" s="10"/>
      <c r="BL34" s="10">
        <v>60</v>
      </c>
    </row>
    <row r="35" spans="2:64" ht="15" customHeight="1">
      <c r="B35" s="25" t="s">
        <v>100</v>
      </c>
      <c r="C35" s="62" t="s">
        <v>101</v>
      </c>
      <c r="D35" s="62"/>
      <c r="E35" s="62"/>
      <c r="F35" s="62"/>
      <c r="G35" s="23" t="s">
        <v>63</v>
      </c>
      <c r="H35" s="10">
        <v>112.86</v>
      </c>
      <c r="I35" s="53">
        <v>0</v>
      </c>
      <c r="J35" s="10">
        <f t="shared" si="22"/>
        <v>0</v>
      </c>
      <c r="K35" s="10">
        <f t="shared" si="23"/>
        <v>0</v>
      </c>
      <c r="L35" s="10">
        <f t="shared" si="24"/>
        <v>0</v>
      </c>
      <c r="M35" s="47"/>
      <c r="Z35" s="10">
        <f t="shared" si="25"/>
        <v>0</v>
      </c>
      <c r="AB35" s="10">
        <f t="shared" si="26"/>
        <v>0</v>
      </c>
      <c r="AC35" s="10">
        <f t="shared" si="27"/>
        <v>0</v>
      </c>
      <c r="AD35" s="10">
        <f t="shared" si="28"/>
        <v>0</v>
      </c>
      <c r="AE35" s="10">
        <f t="shared" si="29"/>
        <v>0</v>
      </c>
      <c r="AF35" s="10">
        <f t="shared" si="30"/>
        <v>0</v>
      </c>
      <c r="AG35" s="10">
        <f t="shared" si="31"/>
        <v>0</v>
      </c>
      <c r="AH35" s="10">
        <f t="shared" si="32"/>
        <v>0</v>
      </c>
      <c r="AI35" s="43" t="s">
        <v>44</v>
      </c>
      <c r="AJ35" s="10">
        <f t="shared" si="33"/>
        <v>0</v>
      </c>
      <c r="AK35" s="10">
        <f t="shared" si="34"/>
        <v>0</v>
      </c>
      <c r="AL35" s="10">
        <f t="shared" si="35"/>
        <v>0</v>
      </c>
      <c r="AN35" s="10">
        <v>21</v>
      </c>
      <c r="AO35" s="10">
        <f>I35*0.36</f>
        <v>0</v>
      </c>
      <c r="AP35" s="10">
        <f>I35*(1-0.36)</f>
        <v>0</v>
      </c>
      <c r="AQ35" s="41" t="s">
        <v>46</v>
      </c>
      <c r="AV35" s="10">
        <f t="shared" si="36"/>
        <v>0</v>
      </c>
      <c r="AW35" s="10">
        <f t="shared" si="37"/>
        <v>0</v>
      </c>
      <c r="AX35" s="10">
        <f t="shared" si="38"/>
        <v>0</v>
      </c>
      <c r="AY35" s="41" t="s">
        <v>88</v>
      </c>
      <c r="AZ35" s="41" t="s">
        <v>89</v>
      </c>
      <c r="BA35" s="43" t="s">
        <v>51</v>
      </c>
      <c r="BC35" s="10">
        <f t="shared" si="39"/>
        <v>0</v>
      </c>
      <c r="BD35" s="10">
        <f t="shared" si="40"/>
        <v>0</v>
      </c>
      <c r="BE35" s="10">
        <v>0</v>
      </c>
      <c r="BF35" s="10">
        <f>35</f>
        <v>35</v>
      </c>
      <c r="BH35" s="10">
        <f t="shared" si="41"/>
        <v>0</v>
      </c>
      <c r="BI35" s="10">
        <f t="shared" si="42"/>
        <v>0</v>
      </c>
      <c r="BJ35" s="10">
        <f t="shared" si="43"/>
        <v>0</v>
      </c>
      <c r="BK35" s="10"/>
      <c r="BL35" s="10">
        <v>60</v>
      </c>
    </row>
    <row r="36" spans="2:64" ht="15" customHeight="1">
      <c r="B36" s="25" t="s">
        <v>102</v>
      </c>
      <c r="C36" s="62" t="s">
        <v>103</v>
      </c>
      <c r="D36" s="62"/>
      <c r="E36" s="62"/>
      <c r="F36" s="62"/>
      <c r="G36" s="23" t="s">
        <v>63</v>
      </c>
      <c r="H36" s="10">
        <v>112.86</v>
      </c>
      <c r="I36" s="53">
        <v>0</v>
      </c>
      <c r="J36" s="10">
        <f t="shared" si="22"/>
        <v>0</v>
      </c>
      <c r="K36" s="10">
        <f t="shared" si="23"/>
        <v>0</v>
      </c>
      <c r="L36" s="10">
        <f t="shared" si="24"/>
        <v>0</v>
      </c>
      <c r="M36" s="47"/>
      <c r="Z36" s="10">
        <f t="shared" si="25"/>
        <v>0</v>
      </c>
      <c r="AB36" s="10">
        <f t="shared" si="26"/>
        <v>0</v>
      </c>
      <c r="AC36" s="10">
        <f t="shared" si="27"/>
        <v>0</v>
      </c>
      <c r="AD36" s="10">
        <f t="shared" si="28"/>
        <v>0</v>
      </c>
      <c r="AE36" s="10">
        <f t="shared" si="29"/>
        <v>0</v>
      </c>
      <c r="AF36" s="10">
        <f t="shared" si="30"/>
        <v>0</v>
      </c>
      <c r="AG36" s="10">
        <f t="shared" si="31"/>
        <v>0</v>
      </c>
      <c r="AH36" s="10">
        <f t="shared" si="32"/>
        <v>0</v>
      </c>
      <c r="AI36" s="43" t="s">
        <v>44</v>
      </c>
      <c r="AJ36" s="10">
        <f t="shared" si="33"/>
        <v>0</v>
      </c>
      <c r="AK36" s="10">
        <f t="shared" si="34"/>
        <v>0</v>
      </c>
      <c r="AL36" s="10">
        <f t="shared" si="35"/>
        <v>0</v>
      </c>
      <c r="AN36" s="10">
        <v>21</v>
      </c>
      <c r="AO36" s="10">
        <f>I36*0.364322832601686</f>
        <v>0</v>
      </c>
      <c r="AP36" s="10">
        <f>I36*(1-0.364322832601686)</f>
        <v>0</v>
      </c>
      <c r="AQ36" s="41" t="s">
        <v>46</v>
      </c>
      <c r="AV36" s="10">
        <f t="shared" si="36"/>
        <v>0</v>
      </c>
      <c r="AW36" s="10">
        <f t="shared" si="37"/>
        <v>0</v>
      </c>
      <c r="AX36" s="10">
        <f t="shared" si="38"/>
        <v>0</v>
      </c>
      <c r="AY36" s="41" t="s">
        <v>88</v>
      </c>
      <c r="AZ36" s="41" t="s">
        <v>89</v>
      </c>
      <c r="BA36" s="43" t="s">
        <v>51</v>
      </c>
      <c r="BC36" s="10">
        <f t="shared" si="39"/>
        <v>0</v>
      </c>
      <c r="BD36" s="10">
        <f t="shared" si="40"/>
        <v>0</v>
      </c>
      <c r="BE36" s="10">
        <v>0</v>
      </c>
      <c r="BF36" s="10">
        <f>36</f>
        <v>36</v>
      </c>
      <c r="BH36" s="10">
        <f t="shared" si="41"/>
        <v>0</v>
      </c>
      <c r="BI36" s="10">
        <f t="shared" si="42"/>
        <v>0</v>
      </c>
      <c r="BJ36" s="10">
        <f t="shared" si="43"/>
        <v>0</v>
      </c>
      <c r="BK36" s="10"/>
      <c r="BL36" s="10">
        <v>60</v>
      </c>
    </row>
    <row r="37" spans="2:64" ht="15" customHeight="1">
      <c r="B37" s="25" t="s">
        <v>104</v>
      </c>
      <c r="C37" s="62" t="s">
        <v>105</v>
      </c>
      <c r="D37" s="62"/>
      <c r="E37" s="62"/>
      <c r="F37" s="62"/>
      <c r="G37" s="23" t="s">
        <v>63</v>
      </c>
      <c r="H37" s="10">
        <v>112.86</v>
      </c>
      <c r="I37" s="53">
        <v>0</v>
      </c>
      <c r="J37" s="10">
        <f t="shared" si="22"/>
        <v>0</v>
      </c>
      <c r="K37" s="10">
        <f t="shared" si="23"/>
        <v>0</v>
      </c>
      <c r="L37" s="10">
        <f t="shared" si="24"/>
        <v>0</v>
      </c>
      <c r="M37" s="47"/>
      <c r="Z37" s="10">
        <f t="shared" si="25"/>
        <v>0</v>
      </c>
      <c r="AB37" s="10">
        <f t="shared" si="26"/>
        <v>0</v>
      </c>
      <c r="AC37" s="10">
        <f t="shared" si="27"/>
        <v>0</v>
      </c>
      <c r="AD37" s="10">
        <f t="shared" si="28"/>
        <v>0</v>
      </c>
      <c r="AE37" s="10">
        <f t="shared" si="29"/>
        <v>0</v>
      </c>
      <c r="AF37" s="10">
        <f t="shared" si="30"/>
        <v>0</v>
      </c>
      <c r="AG37" s="10">
        <f t="shared" si="31"/>
        <v>0</v>
      </c>
      <c r="AH37" s="10">
        <f t="shared" si="32"/>
        <v>0</v>
      </c>
      <c r="AI37" s="43" t="s">
        <v>44</v>
      </c>
      <c r="AJ37" s="10">
        <f t="shared" si="33"/>
        <v>0</v>
      </c>
      <c r="AK37" s="10">
        <f t="shared" si="34"/>
        <v>0</v>
      </c>
      <c r="AL37" s="10">
        <f t="shared" si="35"/>
        <v>0</v>
      </c>
      <c r="AN37" s="10">
        <v>21</v>
      </c>
      <c r="AO37" s="10">
        <f>I37*0.165</f>
        <v>0</v>
      </c>
      <c r="AP37" s="10">
        <f>I37*(1-0.165)</f>
        <v>0</v>
      </c>
      <c r="AQ37" s="41" t="s">
        <v>46</v>
      </c>
      <c r="AV37" s="10">
        <f t="shared" si="36"/>
        <v>0</v>
      </c>
      <c r="AW37" s="10">
        <f t="shared" si="37"/>
        <v>0</v>
      </c>
      <c r="AX37" s="10">
        <f t="shared" si="38"/>
        <v>0</v>
      </c>
      <c r="AY37" s="41" t="s">
        <v>88</v>
      </c>
      <c r="AZ37" s="41" t="s">
        <v>89</v>
      </c>
      <c r="BA37" s="43" t="s">
        <v>51</v>
      </c>
      <c r="BC37" s="10">
        <f t="shared" si="39"/>
        <v>0</v>
      </c>
      <c r="BD37" s="10">
        <f t="shared" si="40"/>
        <v>0</v>
      </c>
      <c r="BE37" s="10">
        <v>0</v>
      </c>
      <c r="BF37" s="10">
        <f>37</f>
        <v>37</v>
      </c>
      <c r="BH37" s="10">
        <f t="shared" si="41"/>
        <v>0</v>
      </c>
      <c r="BI37" s="10">
        <f t="shared" si="42"/>
        <v>0</v>
      </c>
      <c r="BJ37" s="10">
        <f t="shared" si="43"/>
        <v>0</v>
      </c>
      <c r="BK37" s="10"/>
      <c r="BL37" s="10">
        <v>60</v>
      </c>
    </row>
    <row r="38" spans="2:64" ht="15" customHeight="1">
      <c r="B38" s="25" t="s">
        <v>106</v>
      </c>
      <c r="C38" s="62" t="s">
        <v>107</v>
      </c>
      <c r="D38" s="62"/>
      <c r="E38" s="62"/>
      <c r="F38" s="62"/>
      <c r="G38" s="23" t="s">
        <v>63</v>
      </c>
      <c r="H38" s="10">
        <v>723.42</v>
      </c>
      <c r="I38" s="53">
        <v>0</v>
      </c>
      <c r="J38" s="10">
        <f t="shared" si="22"/>
        <v>0</v>
      </c>
      <c r="K38" s="10">
        <f t="shared" si="23"/>
        <v>0</v>
      </c>
      <c r="L38" s="10">
        <f t="shared" si="24"/>
        <v>0</v>
      </c>
      <c r="M38" s="47"/>
      <c r="Z38" s="10">
        <f t="shared" si="25"/>
        <v>0</v>
      </c>
      <c r="AB38" s="10">
        <f t="shared" si="26"/>
        <v>0</v>
      </c>
      <c r="AC38" s="10">
        <f t="shared" si="27"/>
        <v>0</v>
      </c>
      <c r="AD38" s="10">
        <f t="shared" si="28"/>
        <v>0</v>
      </c>
      <c r="AE38" s="10">
        <f t="shared" si="29"/>
        <v>0</v>
      </c>
      <c r="AF38" s="10">
        <f t="shared" si="30"/>
        <v>0</v>
      </c>
      <c r="AG38" s="10">
        <f t="shared" si="31"/>
        <v>0</v>
      </c>
      <c r="AH38" s="10">
        <f t="shared" si="32"/>
        <v>0</v>
      </c>
      <c r="AI38" s="43" t="s">
        <v>44</v>
      </c>
      <c r="AJ38" s="10">
        <f t="shared" si="33"/>
        <v>0</v>
      </c>
      <c r="AK38" s="10">
        <f t="shared" si="34"/>
        <v>0</v>
      </c>
      <c r="AL38" s="10">
        <f t="shared" si="35"/>
        <v>0</v>
      </c>
      <c r="AN38" s="10">
        <v>21</v>
      </c>
      <c r="AO38" s="10">
        <f>I38*0.398413793103448</f>
        <v>0</v>
      </c>
      <c r="AP38" s="10">
        <f>I38*(1-0.398413793103448)</f>
        <v>0</v>
      </c>
      <c r="AQ38" s="41" t="s">
        <v>46</v>
      </c>
      <c r="AV38" s="10">
        <f t="shared" si="36"/>
        <v>0</v>
      </c>
      <c r="AW38" s="10">
        <f t="shared" si="37"/>
        <v>0</v>
      </c>
      <c r="AX38" s="10">
        <f t="shared" si="38"/>
        <v>0</v>
      </c>
      <c r="AY38" s="41" t="s">
        <v>88</v>
      </c>
      <c r="AZ38" s="41" t="s">
        <v>89</v>
      </c>
      <c r="BA38" s="43" t="s">
        <v>51</v>
      </c>
      <c r="BC38" s="10">
        <f t="shared" si="39"/>
        <v>0</v>
      </c>
      <c r="BD38" s="10">
        <f t="shared" si="40"/>
        <v>0</v>
      </c>
      <c r="BE38" s="10">
        <v>0</v>
      </c>
      <c r="BF38" s="10">
        <f>38</f>
        <v>38</v>
      </c>
      <c r="BH38" s="10">
        <f t="shared" si="41"/>
        <v>0</v>
      </c>
      <c r="BI38" s="10">
        <f t="shared" si="42"/>
        <v>0</v>
      </c>
      <c r="BJ38" s="10">
        <f t="shared" si="43"/>
        <v>0</v>
      </c>
      <c r="BK38" s="10"/>
      <c r="BL38" s="10">
        <v>60</v>
      </c>
    </row>
    <row r="39" spans="2:64" ht="15" customHeight="1">
      <c r="B39" s="25" t="s">
        <v>108</v>
      </c>
      <c r="C39" s="62" t="s">
        <v>109</v>
      </c>
      <c r="D39" s="62"/>
      <c r="E39" s="62"/>
      <c r="F39" s="62"/>
      <c r="G39" s="23" t="s">
        <v>63</v>
      </c>
      <c r="H39" s="10">
        <v>16.83</v>
      </c>
      <c r="I39" s="53">
        <v>0</v>
      </c>
      <c r="J39" s="10">
        <f t="shared" si="22"/>
        <v>0</v>
      </c>
      <c r="K39" s="10">
        <f t="shared" si="23"/>
        <v>0</v>
      </c>
      <c r="L39" s="10">
        <f t="shared" si="24"/>
        <v>0</v>
      </c>
      <c r="M39" s="47"/>
      <c r="Z39" s="10">
        <f t="shared" si="25"/>
        <v>0</v>
      </c>
      <c r="AB39" s="10">
        <f t="shared" si="26"/>
        <v>0</v>
      </c>
      <c r="AC39" s="10">
        <f t="shared" si="27"/>
        <v>0</v>
      </c>
      <c r="AD39" s="10">
        <f t="shared" si="28"/>
        <v>0</v>
      </c>
      <c r="AE39" s="10">
        <f t="shared" si="29"/>
        <v>0</v>
      </c>
      <c r="AF39" s="10">
        <f t="shared" si="30"/>
        <v>0</v>
      </c>
      <c r="AG39" s="10">
        <f t="shared" si="31"/>
        <v>0</v>
      </c>
      <c r="AH39" s="10">
        <f t="shared" si="32"/>
        <v>0</v>
      </c>
      <c r="AI39" s="43" t="s">
        <v>44</v>
      </c>
      <c r="AJ39" s="10">
        <f t="shared" si="33"/>
        <v>0</v>
      </c>
      <c r="AK39" s="10">
        <f t="shared" si="34"/>
        <v>0</v>
      </c>
      <c r="AL39" s="10">
        <f t="shared" si="35"/>
        <v>0</v>
      </c>
      <c r="AN39" s="10">
        <v>21</v>
      </c>
      <c r="AO39" s="10">
        <f>I39*0.745632653061224</f>
        <v>0</v>
      </c>
      <c r="AP39" s="10">
        <f>I39*(1-0.745632653061224)</f>
        <v>0</v>
      </c>
      <c r="AQ39" s="41" t="s">
        <v>46</v>
      </c>
      <c r="AV39" s="10">
        <f t="shared" si="36"/>
        <v>0</v>
      </c>
      <c r="AW39" s="10">
        <f t="shared" si="37"/>
        <v>0</v>
      </c>
      <c r="AX39" s="10">
        <f t="shared" si="38"/>
        <v>0</v>
      </c>
      <c r="AY39" s="41" t="s">
        <v>88</v>
      </c>
      <c r="AZ39" s="41" t="s">
        <v>89</v>
      </c>
      <c r="BA39" s="43" t="s">
        <v>51</v>
      </c>
      <c r="BC39" s="10">
        <f t="shared" si="39"/>
        <v>0</v>
      </c>
      <c r="BD39" s="10">
        <f t="shared" si="40"/>
        <v>0</v>
      </c>
      <c r="BE39" s="10">
        <v>0</v>
      </c>
      <c r="BF39" s="10">
        <f>39</f>
        <v>39</v>
      </c>
      <c r="BH39" s="10">
        <f t="shared" si="41"/>
        <v>0</v>
      </c>
      <c r="BI39" s="10">
        <f t="shared" si="42"/>
        <v>0</v>
      </c>
      <c r="BJ39" s="10">
        <f t="shared" si="43"/>
        <v>0</v>
      </c>
      <c r="BK39" s="10"/>
      <c r="BL39" s="10">
        <v>60</v>
      </c>
    </row>
    <row r="40" spans="2:47" ht="15" customHeight="1">
      <c r="B40" s="14" t="s">
        <v>44</v>
      </c>
      <c r="C40" s="78" t="s">
        <v>110</v>
      </c>
      <c r="D40" s="78"/>
      <c r="E40" s="78"/>
      <c r="F40" s="78"/>
      <c r="G40" s="19" t="s">
        <v>4</v>
      </c>
      <c r="H40" s="19" t="s">
        <v>4</v>
      </c>
      <c r="I40" s="19" t="s">
        <v>4</v>
      </c>
      <c r="J40" s="28">
        <f>SUM(J41:J45)</f>
        <v>0</v>
      </c>
      <c r="K40" s="28">
        <f>SUM(K41:K45)</f>
        <v>0</v>
      </c>
      <c r="L40" s="28">
        <f>SUM(L41:L45)</f>
        <v>0</v>
      </c>
      <c r="M40" s="2"/>
      <c r="AI40" s="43" t="s">
        <v>44</v>
      </c>
      <c r="AS40" s="28">
        <f>SUM(AJ41:AJ45)</f>
        <v>0</v>
      </c>
      <c r="AT40" s="28">
        <f>SUM(AK41:AK45)</f>
        <v>0</v>
      </c>
      <c r="AU40" s="28">
        <f>SUM(AL41:AL45)</f>
        <v>0</v>
      </c>
    </row>
    <row r="41" spans="2:64" ht="15" customHeight="1">
      <c r="B41" s="25" t="s">
        <v>111</v>
      </c>
      <c r="C41" s="62" t="s">
        <v>112</v>
      </c>
      <c r="D41" s="62"/>
      <c r="E41" s="62"/>
      <c r="F41" s="62"/>
      <c r="G41" s="23" t="s">
        <v>55</v>
      </c>
      <c r="H41" s="10">
        <v>198</v>
      </c>
      <c r="I41" s="53">
        <v>0</v>
      </c>
      <c r="J41" s="10">
        <f>H41*AO41</f>
        <v>0</v>
      </c>
      <c r="K41" s="10">
        <f>H41*AP41</f>
        <v>0</v>
      </c>
      <c r="L41" s="10">
        <f>H41*I41</f>
        <v>0</v>
      </c>
      <c r="M41" s="47"/>
      <c r="Z41" s="10">
        <f>IF(AQ41="5",BJ41,0)</f>
        <v>0</v>
      </c>
      <c r="AB41" s="10">
        <f>IF(AQ41="1",BH41,0)</f>
        <v>0</v>
      </c>
      <c r="AC41" s="10">
        <f>IF(AQ41="1",BI41,0)</f>
        <v>0</v>
      </c>
      <c r="AD41" s="10">
        <f>IF(AQ41="7",BH41,0)</f>
        <v>0</v>
      </c>
      <c r="AE41" s="10">
        <f>IF(AQ41="7",BI41,0)</f>
        <v>0</v>
      </c>
      <c r="AF41" s="10">
        <f>IF(AQ41="2",BH41,0)</f>
        <v>0</v>
      </c>
      <c r="AG41" s="10">
        <f>IF(AQ41="2",BI41,0)</f>
        <v>0</v>
      </c>
      <c r="AH41" s="10">
        <f>IF(AQ41="0",BJ41,0)</f>
        <v>0</v>
      </c>
      <c r="AI41" s="43" t="s">
        <v>44</v>
      </c>
      <c r="AJ41" s="10">
        <f>IF(AN41=0,L41,0)</f>
        <v>0</v>
      </c>
      <c r="AK41" s="10">
        <f>IF(AN41=15,L41,0)</f>
        <v>0</v>
      </c>
      <c r="AL41" s="10">
        <f>IF(AN41=21,L41,0)</f>
        <v>0</v>
      </c>
      <c r="AN41" s="10">
        <v>21</v>
      </c>
      <c r="AO41" s="10">
        <f>I41*0.61744</f>
        <v>0</v>
      </c>
      <c r="AP41" s="10">
        <f>I41*(1-0.61744)</f>
        <v>0</v>
      </c>
      <c r="AQ41" s="41" t="s">
        <v>46</v>
      </c>
      <c r="AV41" s="10">
        <f>AW41+AX41</f>
        <v>0</v>
      </c>
      <c r="AW41" s="10">
        <f>H41*AO41</f>
        <v>0</v>
      </c>
      <c r="AX41" s="10">
        <f>H41*AP41</f>
        <v>0</v>
      </c>
      <c r="AY41" s="41" t="s">
        <v>113</v>
      </c>
      <c r="AZ41" s="41" t="s">
        <v>89</v>
      </c>
      <c r="BA41" s="43" t="s">
        <v>51</v>
      </c>
      <c r="BC41" s="10">
        <f>AW41+AX41</f>
        <v>0</v>
      </c>
      <c r="BD41" s="10">
        <f>I41/(100-BE41)*100</f>
        <v>0</v>
      </c>
      <c r="BE41" s="10">
        <v>0</v>
      </c>
      <c r="BF41" s="10">
        <f>41</f>
        <v>41</v>
      </c>
      <c r="BH41" s="10">
        <f>H41*AO41</f>
        <v>0</v>
      </c>
      <c r="BI41" s="10">
        <f>H41*AP41</f>
        <v>0</v>
      </c>
      <c r="BJ41" s="10">
        <f>H41*I41</f>
        <v>0</v>
      </c>
      <c r="BK41" s="10"/>
      <c r="BL41" s="10">
        <v>61</v>
      </c>
    </row>
    <row r="42" spans="2:64" ht="15" customHeight="1">
      <c r="B42" s="25" t="s">
        <v>114</v>
      </c>
      <c r="C42" s="62" t="s">
        <v>115</v>
      </c>
      <c r="D42" s="62"/>
      <c r="E42" s="62"/>
      <c r="F42" s="62"/>
      <c r="G42" s="23" t="s">
        <v>55</v>
      </c>
      <c r="H42" s="10">
        <v>165.2</v>
      </c>
      <c r="I42" s="53">
        <v>0</v>
      </c>
      <c r="J42" s="10">
        <f>H42*AO42</f>
        <v>0</v>
      </c>
      <c r="K42" s="10">
        <f>H42*AP42</f>
        <v>0</v>
      </c>
      <c r="L42" s="10">
        <f>H42*I42</f>
        <v>0</v>
      </c>
      <c r="M42" s="47"/>
      <c r="Z42" s="10">
        <f>IF(AQ42="5",BJ42,0)</f>
        <v>0</v>
      </c>
      <c r="AB42" s="10">
        <f>IF(AQ42="1",BH42,0)</f>
        <v>0</v>
      </c>
      <c r="AC42" s="10">
        <f>IF(AQ42="1",BI42,0)</f>
        <v>0</v>
      </c>
      <c r="AD42" s="10">
        <f>IF(AQ42="7",BH42,0)</f>
        <v>0</v>
      </c>
      <c r="AE42" s="10">
        <f>IF(AQ42="7",BI42,0)</f>
        <v>0</v>
      </c>
      <c r="AF42" s="10">
        <f>IF(AQ42="2",BH42,0)</f>
        <v>0</v>
      </c>
      <c r="AG42" s="10">
        <f>IF(AQ42="2",BI42,0)</f>
        <v>0</v>
      </c>
      <c r="AH42" s="10">
        <f>IF(AQ42="0",BJ42,0)</f>
        <v>0</v>
      </c>
      <c r="AI42" s="43" t="s">
        <v>44</v>
      </c>
      <c r="AJ42" s="10">
        <f>IF(AN42=0,L42,0)</f>
        <v>0</v>
      </c>
      <c r="AK42" s="10">
        <f>IF(AN42=15,L42,0)</f>
        <v>0</v>
      </c>
      <c r="AL42" s="10">
        <f>IF(AN42=21,L42,0)</f>
        <v>0</v>
      </c>
      <c r="AN42" s="10">
        <v>21</v>
      </c>
      <c r="AO42" s="10">
        <f>I42*0.208917197452229</f>
        <v>0</v>
      </c>
      <c r="AP42" s="10">
        <f>I42*(1-0.208917197452229)</f>
        <v>0</v>
      </c>
      <c r="AQ42" s="41" t="s">
        <v>46</v>
      </c>
      <c r="AV42" s="10">
        <f>AW42+AX42</f>
        <v>0</v>
      </c>
      <c r="AW42" s="10">
        <f>H42*AO42</f>
        <v>0</v>
      </c>
      <c r="AX42" s="10">
        <f>H42*AP42</f>
        <v>0</v>
      </c>
      <c r="AY42" s="41" t="s">
        <v>113</v>
      </c>
      <c r="AZ42" s="41" t="s">
        <v>89</v>
      </c>
      <c r="BA42" s="43" t="s">
        <v>51</v>
      </c>
      <c r="BC42" s="10">
        <f>AW42+AX42</f>
        <v>0</v>
      </c>
      <c r="BD42" s="10">
        <f>I42/(100-BE42)*100</f>
        <v>0</v>
      </c>
      <c r="BE42" s="10">
        <v>0</v>
      </c>
      <c r="BF42" s="10">
        <f>42</f>
        <v>42</v>
      </c>
      <c r="BH42" s="10">
        <f>H42*AO42</f>
        <v>0</v>
      </c>
      <c r="BI42" s="10">
        <f>H42*AP42</f>
        <v>0</v>
      </c>
      <c r="BJ42" s="10">
        <f>H42*I42</f>
        <v>0</v>
      </c>
      <c r="BK42" s="10"/>
      <c r="BL42" s="10">
        <v>61</v>
      </c>
    </row>
    <row r="43" spans="2:64" ht="15" customHeight="1">
      <c r="B43" s="25" t="s">
        <v>116</v>
      </c>
      <c r="C43" s="62" t="s">
        <v>117</v>
      </c>
      <c r="D43" s="62"/>
      <c r="E43" s="62"/>
      <c r="F43" s="62"/>
      <c r="G43" s="23" t="s">
        <v>63</v>
      </c>
      <c r="H43" s="10">
        <v>790.66</v>
      </c>
      <c r="I43" s="53">
        <v>0</v>
      </c>
      <c r="J43" s="10">
        <f>H43*AO43</f>
        <v>0</v>
      </c>
      <c r="K43" s="10">
        <f>H43*AP43</f>
        <v>0</v>
      </c>
      <c r="L43" s="10">
        <f>H43*I43</f>
        <v>0</v>
      </c>
      <c r="M43" s="47"/>
      <c r="Z43" s="10">
        <f>IF(AQ43="5",BJ43,0)</f>
        <v>0</v>
      </c>
      <c r="AB43" s="10">
        <f>IF(AQ43="1",BH43,0)</f>
        <v>0</v>
      </c>
      <c r="AC43" s="10">
        <f>IF(AQ43="1",BI43,0)</f>
        <v>0</v>
      </c>
      <c r="AD43" s="10">
        <f>IF(AQ43="7",BH43,0)</f>
        <v>0</v>
      </c>
      <c r="AE43" s="10">
        <f>IF(AQ43="7",BI43,0)</f>
        <v>0</v>
      </c>
      <c r="AF43" s="10">
        <f>IF(AQ43="2",BH43,0)</f>
        <v>0</v>
      </c>
      <c r="AG43" s="10">
        <f>IF(AQ43="2",BI43,0)</f>
        <v>0</v>
      </c>
      <c r="AH43" s="10">
        <f>IF(AQ43="0",BJ43,0)</f>
        <v>0</v>
      </c>
      <c r="AI43" s="43" t="s">
        <v>44</v>
      </c>
      <c r="AJ43" s="10">
        <f>IF(AN43=0,L43,0)</f>
        <v>0</v>
      </c>
      <c r="AK43" s="10">
        <f>IF(AN43=15,L43,0)</f>
        <v>0</v>
      </c>
      <c r="AL43" s="10">
        <f>IF(AN43=21,L43,0)</f>
        <v>0</v>
      </c>
      <c r="AN43" s="10">
        <v>21</v>
      </c>
      <c r="AO43" s="10">
        <f>I43*0.446437339500751</f>
        <v>0</v>
      </c>
      <c r="AP43" s="10">
        <f>I43*(1-0.446437339500751)</f>
        <v>0</v>
      </c>
      <c r="AQ43" s="41" t="s">
        <v>46</v>
      </c>
      <c r="AV43" s="10">
        <f>AW43+AX43</f>
        <v>0</v>
      </c>
      <c r="AW43" s="10">
        <f>H43*AO43</f>
        <v>0</v>
      </c>
      <c r="AX43" s="10">
        <f>H43*AP43</f>
        <v>0</v>
      </c>
      <c r="AY43" s="41" t="s">
        <v>113</v>
      </c>
      <c r="AZ43" s="41" t="s">
        <v>89</v>
      </c>
      <c r="BA43" s="43" t="s">
        <v>51</v>
      </c>
      <c r="BC43" s="10">
        <f>AW43+AX43</f>
        <v>0</v>
      </c>
      <c r="BD43" s="10">
        <f>I43/(100-BE43)*100</f>
        <v>0</v>
      </c>
      <c r="BE43" s="10">
        <v>0</v>
      </c>
      <c r="BF43" s="10">
        <f>43</f>
        <v>43</v>
      </c>
      <c r="BH43" s="10">
        <f>H43*AO43</f>
        <v>0</v>
      </c>
      <c r="BI43" s="10">
        <f>H43*AP43</f>
        <v>0</v>
      </c>
      <c r="BJ43" s="10">
        <f>H43*I43</f>
        <v>0</v>
      </c>
      <c r="BK43" s="10"/>
      <c r="BL43" s="10">
        <v>61</v>
      </c>
    </row>
    <row r="44" spans="2:64" ht="15" customHeight="1">
      <c r="B44" s="25" t="s">
        <v>118</v>
      </c>
      <c r="C44" s="62" t="s">
        <v>119</v>
      </c>
      <c r="D44" s="62"/>
      <c r="E44" s="62"/>
      <c r="F44" s="62"/>
      <c r="G44" s="23" t="s">
        <v>63</v>
      </c>
      <c r="H44" s="10">
        <v>16.83</v>
      </c>
      <c r="I44" s="53">
        <v>0</v>
      </c>
      <c r="J44" s="10">
        <f>H44*AO44</f>
        <v>0</v>
      </c>
      <c r="K44" s="10">
        <f>H44*AP44</f>
        <v>0</v>
      </c>
      <c r="L44" s="10">
        <f>H44*I44</f>
        <v>0</v>
      </c>
      <c r="M44" s="47"/>
      <c r="Z44" s="10">
        <f>IF(AQ44="5",BJ44,0)</f>
        <v>0</v>
      </c>
      <c r="AB44" s="10">
        <f>IF(AQ44="1",BH44,0)</f>
        <v>0</v>
      </c>
      <c r="AC44" s="10">
        <f>IF(AQ44="1",BI44,0)</f>
        <v>0</v>
      </c>
      <c r="AD44" s="10">
        <f>IF(AQ44="7",BH44,0)</f>
        <v>0</v>
      </c>
      <c r="AE44" s="10">
        <f>IF(AQ44="7",BI44,0)</f>
        <v>0</v>
      </c>
      <c r="AF44" s="10">
        <f>IF(AQ44="2",BH44,0)</f>
        <v>0</v>
      </c>
      <c r="AG44" s="10">
        <f>IF(AQ44="2",BI44,0)</f>
        <v>0</v>
      </c>
      <c r="AH44" s="10">
        <f>IF(AQ44="0",BJ44,0)</f>
        <v>0</v>
      </c>
      <c r="AI44" s="43" t="s">
        <v>44</v>
      </c>
      <c r="AJ44" s="10">
        <f>IF(AN44=0,L44,0)</f>
        <v>0</v>
      </c>
      <c r="AK44" s="10">
        <f>IF(AN44=15,L44,0)</f>
        <v>0</v>
      </c>
      <c r="AL44" s="10">
        <f>IF(AN44=21,L44,0)</f>
        <v>0</v>
      </c>
      <c r="AN44" s="10">
        <v>21</v>
      </c>
      <c r="AO44" s="10">
        <f>I44*0.64379917184265</f>
        <v>0</v>
      </c>
      <c r="AP44" s="10">
        <f>I44*(1-0.64379917184265)</f>
        <v>0</v>
      </c>
      <c r="AQ44" s="41" t="s">
        <v>46</v>
      </c>
      <c r="AV44" s="10">
        <f>AW44+AX44</f>
        <v>0</v>
      </c>
      <c r="AW44" s="10">
        <f>H44*AO44</f>
        <v>0</v>
      </c>
      <c r="AX44" s="10">
        <f>H44*AP44</f>
        <v>0</v>
      </c>
      <c r="AY44" s="41" t="s">
        <v>113</v>
      </c>
      <c r="AZ44" s="41" t="s">
        <v>89</v>
      </c>
      <c r="BA44" s="43" t="s">
        <v>51</v>
      </c>
      <c r="BC44" s="10">
        <f>AW44+AX44</f>
        <v>0</v>
      </c>
      <c r="BD44" s="10">
        <f>I44/(100-BE44)*100</f>
        <v>0</v>
      </c>
      <c r="BE44" s="10">
        <v>0</v>
      </c>
      <c r="BF44" s="10">
        <f>44</f>
        <v>44</v>
      </c>
      <c r="BH44" s="10">
        <f>H44*AO44</f>
        <v>0</v>
      </c>
      <c r="BI44" s="10">
        <f>H44*AP44</f>
        <v>0</v>
      </c>
      <c r="BJ44" s="10">
        <f>H44*I44</f>
        <v>0</v>
      </c>
      <c r="BK44" s="10"/>
      <c r="BL44" s="10">
        <v>61</v>
      </c>
    </row>
    <row r="45" spans="2:64" ht="15" customHeight="1">
      <c r="B45" s="25" t="s">
        <v>120</v>
      </c>
      <c r="C45" s="62" t="s">
        <v>121</v>
      </c>
      <c r="D45" s="62"/>
      <c r="E45" s="62"/>
      <c r="F45" s="62"/>
      <c r="G45" s="23" t="s">
        <v>63</v>
      </c>
      <c r="H45" s="10">
        <v>387.79</v>
      </c>
      <c r="I45" s="53">
        <v>0</v>
      </c>
      <c r="J45" s="10">
        <f>H45*AO45</f>
        <v>0</v>
      </c>
      <c r="K45" s="10">
        <f>H45*AP45</f>
        <v>0</v>
      </c>
      <c r="L45" s="10">
        <f>H45*I45</f>
        <v>0</v>
      </c>
      <c r="M45" s="47"/>
      <c r="Z45" s="10">
        <f>IF(AQ45="5",BJ45,0)</f>
        <v>0</v>
      </c>
      <c r="AB45" s="10">
        <f>IF(AQ45="1",BH45,0)</f>
        <v>0</v>
      </c>
      <c r="AC45" s="10">
        <f>IF(AQ45="1",BI45,0)</f>
        <v>0</v>
      </c>
      <c r="AD45" s="10">
        <f>IF(AQ45="7",BH45,0)</f>
        <v>0</v>
      </c>
      <c r="AE45" s="10">
        <f>IF(AQ45="7",BI45,0)</f>
        <v>0</v>
      </c>
      <c r="AF45" s="10">
        <f>IF(AQ45="2",BH45,0)</f>
        <v>0</v>
      </c>
      <c r="AG45" s="10">
        <f>IF(AQ45="2",BI45,0)</f>
        <v>0</v>
      </c>
      <c r="AH45" s="10">
        <f>IF(AQ45="0",BJ45,0)</f>
        <v>0</v>
      </c>
      <c r="AI45" s="43" t="s">
        <v>44</v>
      </c>
      <c r="AJ45" s="10">
        <f>IF(AN45=0,L45,0)</f>
        <v>0</v>
      </c>
      <c r="AK45" s="10">
        <f>IF(AN45=15,L45,0)</f>
        <v>0</v>
      </c>
      <c r="AL45" s="10">
        <f>IF(AN45=21,L45,0)</f>
        <v>0</v>
      </c>
      <c r="AN45" s="10">
        <v>21</v>
      </c>
      <c r="AO45" s="10">
        <f>I45*0</f>
        <v>0</v>
      </c>
      <c r="AP45" s="10">
        <f>I45*(1-0)</f>
        <v>0</v>
      </c>
      <c r="AQ45" s="41" t="s">
        <v>46</v>
      </c>
      <c r="AV45" s="10">
        <f>AW45+AX45</f>
        <v>0</v>
      </c>
      <c r="AW45" s="10">
        <f>H45*AO45</f>
        <v>0</v>
      </c>
      <c r="AX45" s="10">
        <f>H45*AP45</f>
        <v>0</v>
      </c>
      <c r="AY45" s="41" t="s">
        <v>113</v>
      </c>
      <c r="AZ45" s="41" t="s">
        <v>89</v>
      </c>
      <c r="BA45" s="43" t="s">
        <v>51</v>
      </c>
      <c r="BC45" s="10">
        <f>AW45+AX45</f>
        <v>0</v>
      </c>
      <c r="BD45" s="10">
        <f>I45/(100-BE45)*100</f>
        <v>0</v>
      </c>
      <c r="BE45" s="10">
        <v>0</v>
      </c>
      <c r="BF45" s="10">
        <f>45</f>
        <v>45</v>
      </c>
      <c r="BH45" s="10">
        <f>H45*AO45</f>
        <v>0</v>
      </c>
      <c r="BI45" s="10">
        <f>H45*AP45</f>
        <v>0</v>
      </c>
      <c r="BJ45" s="10">
        <f>H45*I45</f>
        <v>0</v>
      </c>
      <c r="BK45" s="10"/>
      <c r="BL45" s="10">
        <v>61</v>
      </c>
    </row>
    <row r="46" spans="2:47" ht="15" customHeight="1">
      <c r="B46" s="14" t="s">
        <v>44</v>
      </c>
      <c r="C46" s="78" t="s">
        <v>122</v>
      </c>
      <c r="D46" s="78"/>
      <c r="E46" s="78"/>
      <c r="F46" s="78"/>
      <c r="G46" s="19" t="s">
        <v>4</v>
      </c>
      <c r="H46" s="19" t="s">
        <v>4</v>
      </c>
      <c r="I46" s="19" t="s">
        <v>4</v>
      </c>
      <c r="J46" s="28">
        <f>SUM(J47:J48)</f>
        <v>0</v>
      </c>
      <c r="K46" s="28">
        <f>SUM(K47:K48)</f>
        <v>0</v>
      </c>
      <c r="L46" s="28">
        <f>SUM(L47:L48)</f>
        <v>0</v>
      </c>
      <c r="M46" s="2"/>
      <c r="AI46" s="43" t="s">
        <v>44</v>
      </c>
      <c r="AS46" s="28">
        <f>SUM(AJ47:AJ48)</f>
        <v>0</v>
      </c>
      <c r="AT46" s="28">
        <f>SUM(AK47:AK48)</f>
        <v>0</v>
      </c>
      <c r="AU46" s="28">
        <f>SUM(AL47:AL48)</f>
        <v>0</v>
      </c>
    </row>
    <row r="47" spans="2:64" ht="15" customHeight="1">
      <c r="B47" s="25" t="s">
        <v>123</v>
      </c>
      <c r="C47" s="62" t="s">
        <v>124</v>
      </c>
      <c r="D47" s="62"/>
      <c r="E47" s="62"/>
      <c r="F47" s="62"/>
      <c r="G47" s="23" t="s">
        <v>63</v>
      </c>
      <c r="H47" s="10">
        <v>115.07</v>
      </c>
      <c r="I47" s="53">
        <v>0</v>
      </c>
      <c r="J47" s="10">
        <f>H47*AO47</f>
        <v>0</v>
      </c>
      <c r="K47" s="10">
        <f>H47*AP47</f>
        <v>0</v>
      </c>
      <c r="L47" s="10">
        <f>H47*I47</f>
        <v>0</v>
      </c>
      <c r="M47" s="47"/>
      <c r="Z47" s="10">
        <f>IF(AQ47="5",BJ47,0)</f>
        <v>0</v>
      </c>
      <c r="AB47" s="10">
        <f>IF(AQ47="1",BH47,0)</f>
        <v>0</v>
      </c>
      <c r="AC47" s="10">
        <f>IF(AQ47="1",BI47,0)</f>
        <v>0</v>
      </c>
      <c r="AD47" s="10">
        <f>IF(AQ47="7",BH47,0)</f>
        <v>0</v>
      </c>
      <c r="AE47" s="10">
        <f>IF(AQ47="7",BI47,0)</f>
        <v>0</v>
      </c>
      <c r="AF47" s="10">
        <f>IF(AQ47="2",BH47,0)</f>
        <v>0</v>
      </c>
      <c r="AG47" s="10">
        <f>IF(AQ47="2",BI47,0)</f>
        <v>0</v>
      </c>
      <c r="AH47" s="10">
        <f>IF(AQ47="0",BJ47,0)</f>
        <v>0</v>
      </c>
      <c r="AI47" s="43" t="s">
        <v>44</v>
      </c>
      <c r="AJ47" s="10">
        <f>IF(AN47=0,L47,0)</f>
        <v>0</v>
      </c>
      <c r="AK47" s="10">
        <f>IF(AN47=15,L47,0)</f>
        <v>0</v>
      </c>
      <c r="AL47" s="10">
        <f>IF(AN47=21,L47,0)</f>
        <v>0</v>
      </c>
      <c r="AN47" s="10">
        <v>21</v>
      </c>
      <c r="AO47" s="10">
        <f>I47*0.302910072807243</f>
        <v>0</v>
      </c>
      <c r="AP47" s="10">
        <f>I47*(1-0.302910072807243)</f>
        <v>0</v>
      </c>
      <c r="AQ47" s="41" t="s">
        <v>46</v>
      </c>
      <c r="AV47" s="10">
        <f>AW47+AX47</f>
        <v>0</v>
      </c>
      <c r="AW47" s="10">
        <f>H47*AO47</f>
        <v>0</v>
      </c>
      <c r="AX47" s="10">
        <f>H47*AP47</f>
        <v>0</v>
      </c>
      <c r="AY47" s="41" t="s">
        <v>125</v>
      </c>
      <c r="AZ47" s="41" t="s">
        <v>89</v>
      </c>
      <c r="BA47" s="43" t="s">
        <v>51</v>
      </c>
      <c r="BC47" s="10">
        <f>AW47+AX47</f>
        <v>0</v>
      </c>
      <c r="BD47" s="10">
        <f>I47/(100-BE47)*100</f>
        <v>0</v>
      </c>
      <c r="BE47" s="10">
        <v>0</v>
      </c>
      <c r="BF47" s="10">
        <f>47</f>
        <v>47</v>
      </c>
      <c r="BH47" s="10">
        <f>H47*AO47</f>
        <v>0</v>
      </c>
      <c r="BI47" s="10">
        <f>H47*AP47</f>
        <v>0</v>
      </c>
      <c r="BJ47" s="10">
        <f>H47*I47</f>
        <v>0</v>
      </c>
      <c r="BK47" s="10"/>
      <c r="BL47" s="10">
        <v>63</v>
      </c>
    </row>
    <row r="48" spans="2:64" ht="15" customHeight="1">
      <c r="B48" s="25" t="s">
        <v>126</v>
      </c>
      <c r="C48" s="62" t="s">
        <v>127</v>
      </c>
      <c r="D48" s="62"/>
      <c r="E48" s="62"/>
      <c r="F48" s="62"/>
      <c r="G48" s="23" t="s">
        <v>48</v>
      </c>
      <c r="H48" s="10">
        <v>5.7535</v>
      </c>
      <c r="I48" s="53">
        <v>0</v>
      </c>
      <c r="J48" s="10">
        <f>H48*AO48</f>
        <v>0</v>
      </c>
      <c r="K48" s="10">
        <f>H48*AP48</f>
        <v>0</v>
      </c>
      <c r="L48" s="10">
        <f>H48*I48</f>
        <v>0</v>
      </c>
      <c r="M48" s="47"/>
      <c r="Z48" s="10">
        <f>IF(AQ48="5",BJ48,0)</f>
        <v>0</v>
      </c>
      <c r="AB48" s="10">
        <f>IF(AQ48="1",BH48,0)</f>
        <v>0</v>
      </c>
      <c r="AC48" s="10">
        <f>IF(AQ48="1",BI48,0)</f>
        <v>0</v>
      </c>
      <c r="AD48" s="10">
        <f>IF(AQ48="7",BH48,0)</f>
        <v>0</v>
      </c>
      <c r="AE48" s="10">
        <f>IF(AQ48="7",BI48,0)</f>
        <v>0</v>
      </c>
      <c r="AF48" s="10">
        <f>IF(AQ48="2",BH48,0)</f>
        <v>0</v>
      </c>
      <c r="AG48" s="10">
        <f>IF(AQ48="2",BI48,0)</f>
        <v>0</v>
      </c>
      <c r="AH48" s="10">
        <f>IF(AQ48="0",BJ48,0)</f>
        <v>0</v>
      </c>
      <c r="AI48" s="43" t="s">
        <v>44</v>
      </c>
      <c r="AJ48" s="10">
        <f>IF(AN48=0,L48,0)</f>
        <v>0</v>
      </c>
      <c r="AK48" s="10">
        <f>IF(AN48=15,L48,0)</f>
        <v>0</v>
      </c>
      <c r="AL48" s="10">
        <f>IF(AN48=21,L48,0)</f>
        <v>0</v>
      </c>
      <c r="AN48" s="10">
        <v>21</v>
      </c>
      <c r="AO48" s="10">
        <f>I48*0.893370596205962</f>
        <v>0</v>
      </c>
      <c r="AP48" s="10">
        <f>I48*(1-0.893370596205962)</f>
        <v>0</v>
      </c>
      <c r="AQ48" s="41" t="s">
        <v>46</v>
      </c>
      <c r="AV48" s="10">
        <f>AW48+AX48</f>
        <v>0</v>
      </c>
      <c r="AW48" s="10">
        <f>H48*AO48</f>
        <v>0</v>
      </c>
      <c r="AX48" s="10">
        <f>H48*AP48</f>
        <v>0</v>
      </c>
      <c r="AY48" s="41" t="s">
        <v>125</v>
      </c>
      <c r="AZ48" s="41" t="s">
        <v>89</v>
      </c>
      <c r="BA48" s="43" t="s">
        <v>51</v>
      </c>
      <c r="BC48" s="10">
        <f>AW48+AX48</f>
        <v>0</v>
      </c>
      <c r="BD48" s="10">
        <f>I48/(100-BE48)*100</f>
        <v>0</v>
      </c>
      <c r="BE48" s="10">
        <v>0</v>
      </c>
      <c r="BF48" s="10">
        <f>48</f>
        <v>48</v>
      </c>
      <c r="BH48" s="10">
        <f>H48*AO48</f>
        <v>0</v>
      </c>
      <c r="BI48" s="10">
        <f>H48*AP48</f>
        <v>0</v>
      </c>
      <c r="BJ48" s="10">
        <f>H48*I48</f>
        <v>0</v>
      </c>
      <c r="BK48" s="10"/>
      <c r="BL48" s="10">
        <v>63</v>
      </c>
    </row>
    <row r="49" spans="2:47" ht="15" customHeight="1">
      <c r="B49" s="14" t="s">
        <v>44</v>
      </c>
      <c r="C49" s="78" t="s">
        <v>128</v>
      </c>
      <c r="D49" s="78"/>
      <c r="E49" s="78"/>
      <c r="F49" s="78"/>
      <c r="G49" s="19" t="s">
        <v>4</v>
      </c>
      <c r="H49" s="19" t="s">
        <v>4</v>
      </c>
      <c r="I49" s="19" t="s">
        <v>4</v>
      </c>
      <c r="J49" s="28">
        <f>SUM(J50:J50)</f>
        <v>0</v>
      </c>
      <c r="K49" s="28">
        <f>SUM(K50:K50)</f>
        <v>0</v>
      </c>
      <c r="L49" s="28">
        <f>SUM(L50:L50)</f>
        <v>0</v>
      </c>
      <c r="M49" s="2"/>
      <c r="AI49" s="43" t="s">
        <v>44</v>
      </c>
      <c r="AS49" s="28">
        <f>SUM(AJ50:AJ50)</f>
        <v>0</v>
      </c>
      <c r="AT49" s="28">
        <f>SUM(AK50:AK50)</f>
        <v>0</v>
      </c>
      <c r="AU49" s="28">
        <f>SUM(AL50:AL50)</f>
        <v>0</v>
      </c>
    </row>
    <row r="50" spans="2:64" ht="15" customHeight="1">
      <c r="B50" s="25" t="s">
        <v>129</v>
      </c>
      <c r="C50" s="62" t="s">
        <v>130</v>
      </c>
      <c r="D50" s="62"/>
      <c r="E50" s="62"/>
      <c r="F50" s="62"/>
      <c r="G50" s="23" t="s">
        <v>60</v>
      </c>
      <c r="H50" s="10">
        <v>16</v>
      </c>
      <c r="I50" s="53">
        <v>0</v>
      </c>
      <c r="J50" s="10">
        <f>H50*AO50</f>
        <v>0</v>
      </c>
      <c r="K50" s="10">
        <f>H50*AP50</f>
        <v>0</v>
      </c>
      <c r="L50" s="10">
        <f>H50*I50</f>
        <v>0</v>
      </c>
      <c r="M50" s="47"/>
      <c r="Z50" s="10">
        <f>IF(AQ50="5",BJ50,0)</f>
        <v>0</v>
      </c>
      <c r="AB50" s="10">
        <f>IF(AQ50="1",BH50,0)</f>
        <v>0</v>
      </c>
      <c r="AC50" s="10">
        <f>IF(AQ50="1",BI50,0)</f>
        <v>0</v>
      </c>
      <c r="AD50" s="10">
        <f>IF(AQ50="7",BH50,0)</f>
        <v>0</v>
      </c>
      <c r="AE50" s="10">
        <f>IF(AQ50="7",BI50,0)</f>
        <v>0</v>
      </c>
      <c r="AF50" s="10">
        <f>IF(AQ50="2",BH50,0)</f>
        <v>0</v>
      </c>
      <c r="AG50" s="10">
        <f>IF(AQ50="2",BI50,0)</f>
        <v>0</v>
      </c>
      <c r="AH50" s="10">
        <f>IF(AQ50="0",BJ50,0)</f>
        <v>0</v>
      </c>
      <c r="AI50" s="43" t="s">
        <v>44</v>
      </c>
      <c r="AJ50" s="10">
        <f>IF(AN50=0,L50,0)</f>
        <v>0</v>
      </c>
      <c r="AK50" s="10">
        <f>IF(AN50=15,L50,0)</f>
        <v>0</v>
      </c>
      <c r="AL50" s="10">
        <f>IF(AN50=21,L50,0)</f>
        <v>0</v>
      </c>
      <c r="AN50" s="10">
        <v>21</v>
      </c>
      <c r="AO50" s="10">
        <f>I50*0.690271084337349</f>
        <v>0</v>
      </c>
      <c r="AP50" s="10">
        <f>I50*(1-0.690271084337349)</f>
        <v>0</v>
      </c>
      <c r="AQ50" s="41" t="s">
        <v>46</v>
      </c>
      <c r="AV50" s="10">
        <f>AW50+AX50</f>
        <v>0</v>
      </c>
      <c r="AW50" s="10">
        <f>H50*AO50</f>
        <v>0</v>
      </c>
      <c r="AX50" s="10">
        <f>H50*AP50</f>
        <v>0</v>
      </c>
      <c r="AY50" s="41" t="s">
        <v>131</v>
      </c>
      <c r="AZ50" s="41" t="s">
        <v>89</v>
      </c>
      <c r="BA50" s="43" t="s">
        <v>51</v>
      </c>
      <c r="BC50" s="10">
        <f>AW50+AX50</f>
        <v>0</v>
      </c>
      <c r="BD50" s="10">
        <f>I50/(100-BE50)*100</f>
        <v>0</v>
      </c>
      <c r="BE50" s="10">
        <v>0</v>
      </c>
      <c r="BF50" s="10">
        <f>50</f>
        <v>50</v>
      </c>
      <c r="BH50" s="10">
        <f>H50*AO50</f>
        <v>0</v>
      </c>
      <c r="BI50" s="10">
        <f>H50*AP50</f>
        <v>0</v>
      </c>
      <c r="BJ50" s="10">
        <f>H50*I50</f>
        <v>0</v>
      </c>
      <c r="BK50" s="10"/>
      <c r="BL50" s="10">
        <v>64</v>
      </c>
    </row>
    <row r="51" spans="2:47" ht="15" customHeight="1">
      <c r="B51" s="14" t="s">
        <v>44</v>
      </c>
      <c r="C51" s="78" t="s">
        <v>132</v>
      </c>
      <c r="D51" s="78"/>
      <c r="E51" s="78"/>
      <c r="F51" s="78"/>
      <c r="G51" s="19" t="s">
        <v>4</v>
      </c>
      <c r="H51" s="19" t="s">
        <v>4</v>
      </c>
      <c r="I51" s="19" t="s">
        <v>4</v>
      </c>
      <c r="J51" s="28">
        <f>SUM(J52:J56)</f>
        <v>0</v>
      </c>
      <c r="K51" s="28">
        <f>SUM(K52:K56)</f>
        <v>0</v>
      </c>
      <c r="L51" s="28">
        <f>SUM(L52:L56)</f>
        <v>0</v>
      </c>
      <c r="M51" s="2"/>
      <c r="AI51" s="43" t="s">
        <v>44</v>
      </c>
      <c r="AS51" s="28">
        <f>SUM(AJ52:AJ56)</f>
        <v>0</v>
      </c>
      <c r="AT51" s="28">
        <f>SUM(AK52:AK56)</f>
        <v>0</v>
      </c>
      <c r="AU51" s="28">
        <f>SUM(AL52:AL56)</f>
        <v>0</v>
      </c>
    </row>
    <row r="52" spans="2:64" ht="15" customHeight="1">
      <c r="B52" s="25" t="s">
        <v>133</v>
      </c>
      <c r="C52" s="62" t="s">
        <v>134</v>
      </c>
      <c r="D52" s="62"/>
      <c r="E52" s="62"/>
      <c r="F52" s="62"/>
      <c r="G52" s="23" t="s">
        <v>55</v>
      </c>
      <c r="H52" s="10">
        <v>132.3</v>
      </c>
      <c r="I52" s="53">
        <v>0</v>
      </c>
      <c r="J52" s="10">
        <f>H52*AO52</f>
        <v>0</v>
      </c>
      <c r="K52" s="10">
        <f>H52*AP52</f>
        <v>0</v>
      </c>
      <c r="L52" s="10">
        <f>H52*I52</f>
        <v>0</v>
      </c>
      <c r="M52" s="47"/>
      <c r="Z52" s="10">
        <f>IF(AQ52="5",BJ52,0)</f>
        <v>0</v>
      </c>
      <c r="AB52" s="10">
        <f>IF(AQ52="1",BH52,0)</f>
        <v>0</v>
      </c>
      <c r="AC52" s="10">
        <f>IF(AQ52="1",BI52,0)</f>
        <v>0</v>
      </c>
      <c r="AD52" s="10">
        <f>IF(AQ52="7",BH52,0)</f>
        <v>0</v>
      </c>
      <c r="AE52" s="10">
        <f>IF(AQ52="7",BI52,0)</f>
        <v>0</v>
      </c>
      <c r="AF52" s="10">
        <f>IF(AQ52="2",BH52,0)</f>
        <v>0</v>
      </c>
      <c r="AG52" s="10">
        <f>IF(AQ52="2",BI52,0)</f>
        <v>0</v>
      </c>
      <c r="AH52" s="10">
        <f>IF(AQ52="0",BJ52,0)</f>
        <v>0</v>
      </c>
      <c r="AI52" s="43" t="s">
        <v>44</v>
      </c>
      <c r="AJ52" s="10">
        <f>IF(AN52=0,L52,0)</f>
        <v>0</v>
      </c>
      <c r="AK52" s="10">
        <f>IF(AN52=15,L52,0)</f>
        <v>0</v>
      </c>
      <c r="AL52" s="10">
        <f>IF(AN52=21,L52,0)</f>
        <v>0</v>
      </c>
      <c r="AN52" s="10">
        <v>21</v>
      </c>
      <c r="AO52" s="10">
        <f>I52*0.670169082125604</f>
        <v>0</v>
      </c>
      <c r="AP52" s="10">
        <f>I52*(1-0.670169082125604)</f>
        <v>0</v>
      </c>
      <c r="AQ52" s="41" t="s">
        <v>68</v>
      </c>
      <c r="AV52" s="10">
        <f>AW52+AX52</f>
        <v>0</v>
      </c>
      <c r="AW52" s="10">
        <f>H52*AO52</f>
        <v>0</v>
      </c>
      <c r="AX52" s="10">
        <f>H52*AP52</f>
        <v>0</v>
      </c>
      <c r="AY52" s="41" t="s">
        <v>135</v>
      </c>
      <c r="AZ52" s="41" t="s">
        <v>136</v>
      </c>
      <c r="BA52" s="43" t="s">
        <v>51</v>
      </c>
      <c r="BC52" s="10">
        <f>AW52+AX52</f>
        <v>0</v>
      </c>
      <c r="BD52" s="10">
        <f>I52/(100-BE52)*100</f>
        <v>0</v>
      </c>
      <c r="BE52" s="10">
        <v>0</v>
      </c>
      <c r="BF52" s="10">
        <f>52</f>
        <v>52</v>
      </c>
      <c r="BH52" s="10">
        <f>H52*AO52</f>
        <v>0</v>
      </c>
      <c r="BI52" s="10">
        <f>H52*AP52</f>
        <v>0</v>
      </c>
      <c r="BJ52" s="10">
        <f>H52*I52</f>
        <v>0</v>
      </c>
      <c r="BK52" s="10"/>
      <c r="BL52" s="10">
        <v>711</v>
      </c>
    </row>
    <row r="53" spans="2:64" ht="15" customHeight="1">
      <c r="B53" s="25" t="s">
        <v>137</v>
      </c>
      <c r="C53" s="62" t="s">
        <v>138</v>
      </c>
      <c r="D53" s="62"/>
      <c r="E53" s="62"/>
      <c r="F53" s="62"/>
      <c r="G53" s="23" t="s">
        <v>55</v>
      </c>
      <c r="H53" s="10">
        <v>115.2</v>
      </c>
      <c r="I53" s="53">
        <v>0</v>
      </c>
      <c r="J53" s="10">
        <f>H53*AO53</f>
        <v>0</v>
      </c>
      <c r="K53" s="10">
        <f>H53*AP53</f>
        <v>0</v>
      </c>
      <c r="L53" s="10">
        <f>H53*I53</f>
        <v>0</v>
      </c>
      <c r="M53" s="47"/>
      <c r="Z53" s="10">
        <f>IF(AQ53="5",BJ53,0)</f>
        <v>0</v>
      </c>
      <c r="AB53" s="10">
        <f>IF(AQ53="1",BH53,0)</f>
        <v>0</v>
      </c>
      <c r="AC53" s="10">
        <f>IF(AQ53="1",BI53,0)</f>
        <v>0</v>
      </c>
      <c r="AD53" s="10">
        <f>IF(AQ53="7",BH53,0)</f>
        <v>0</v>
      </c>
      <c r="AE53" s="10">
        <f>IF(AQ53="7",BI53,0)</f>
        <v>0</v>
      </c>
      <c r="AF53" s="10">
        <f>IF(AQ53="2",BH53,0)</f>
        <v>0</v>
      </c>
      <c r="AG53" s="10">
        <f>IF(AQ53="2",BI53,0)</f>
        <v>0</v>
      </c>
      <c r="AH53" s="10">
        <f>IF(AQ53="0",BJ53,0)</f>
        <v>0</v>
      </c>
      <c r="AI53" s="43" t="s">
        <v>44</v>
      </c>
      <c r="AJ53" s="10">
        <f>IF(AN53=0,L53,0)</f>
        <v>0</v>
      </c>
      <c r="AK53" s="10">
        <f>IF(AN53=15,L53,0)</f>
        <v>0</v>
      </c>
      <c r="AL53" s="10">
        <f>IF(AN53=21,L53,0)</f>
        <v>0</v>
      </c>
      <c r="AN53" s="10">
        <v>21</v>
      </c>
      <c r="AO53" s="10">
        <f>I53*0.619910112359551</f>
        <v>0</v>
      </c>
      <c r="AP53" s="10">
        <f>I53*(1-0.619910112359551)</f>
        <v>0</v>
      </c>
      <c r="AQ53" s="41" t="s">
        <v>68</v>
      </c>
      <c r="AV53" s="10">
        <f>AW53+AX53</f>
        <v>0</v>
      </c>
      <c r="AW53" s="10">
        <f>H53*AO53</f>
        <v>0</v>
      </c>
      <c r="AX53" s="10">
        <f>H53*AP53</f>
        <v>0</v>
      </c>
      <c r="AY53" s="41" t="s">
        <v>135</v>
      </c>
      <c r="AZ53" s="41" t="s">
        <v>136</v>
      </c>
      <c r="BA53" s="43" t="s">
        <v>51</v>
      </c>
      <c r="BC53" s="10">
        <f>AW53+AX53</f>
        <v>0</v>
      </c>
      <c r="BD53" s="10">
        <f>I53/(100-BE53)*100</f>
        <v>0</v>
      </c>
      <c r="BE53" s="10">
        <v>0</v>
      </c>
      <c r="BF53" s="10">
        <f>53</f>
        <v>53</v>
      </c>
      <c r="BH53" s="10">
        <f>H53*AO53</f>
        <v>0</v>
      </c>
      <c r="BI53" s="10">
        <f>H53*AP53</f>
        <v>0</v>
      </c>
      <c r="BJ53" s="10">
        <f>H53*I53</f>
        <v>0</v>
      </c>
      <c r="BK53" s="10"/>
      <c r="BL53" s="10">
        <v>711</v>
      </c>
    </row>
    <row r="54" spans="2:64" ht="15" customHeight="1">
      <c r="B54" s="25" t="s">
        <v>139</v>
      </c>
      <c r="C54" s="62" t="s">
        <v>140</v>
      </c>
      <c r="D54" s="62"/>
      <c r="E54" s="62"/>
      <c r="F54" s="62"/>
      <c r="G54" s="23" t="s">
        <v>63</v>
      </c>
      <c r="H54" s="10">
        <v>267.93</v>
      </c>
      <c r="I54" s="53">
        <v>0</v>
      </c>
      <c r="J54" s="10">
        <f>H54*AO54</f>
        <v>0</v>
      </c>
      <c r="K54" s="10">
        <f>H54*AP54</f>
        <v>0</v>
      </c>
      <c r="L54" s="10">
        <f>H54*I54</f>
        <v>0</v>
      </c>
      <c r="M54" s="47"/>
      <c r="Z54" s="10">
        <f>IF(AQ54="5",BJ54,0)</f>
        <v>0</v>
      </c>
      <c r="AB54" s="10">
        <f>IF(AQ54="1",BH54,0)</f>
        <v>0</v>
      </c>
      <c r="AC54" s="10">
        <f>IF(AQ54="1",BI54,0)</f>
        <v>0</v>
      </c>
      <c r="AD54" s="10">
        <f>IF(AQ54="7",BH54,0)</f>
        <v>0</v>
      </c>
      <c r="AE54" s="10">
        <f>IF(AQ54="7",BI54,0)</f>
        <v>0</v>
      </c>
      <c r="AF54" s="10">
        <f>IF(AQ54="2",BH54,0)</f>
        <v>0</v>
      </c>
      <c r="AG54" s="10">
        <f>IF(AQ54="2",BI54,0)</f>
        <v>0</v>
      </c>
      <c r="AH54" s="10">
        <f>IF(AQ54="0",BJ54,0)</f>
        <v>0</v>
      </c>
      <c r="AI54" s="43" t="s">
        <v>44</v>
      </c>
      <c r="AJ54" s="10">
        <f>IF(AN54=0,L54,0)</f>
        <v>0</v>
      </c>
      <c r="AK54" s="10">
        <f>IF(AN54=15,L54,0)</f>
        <v>0</v>
      </c>
      <c r="AL54" s="10">
        <f>IF(AN54=21,L54,0)</f>
        <v>0</v>
      </c>
      <c r="AN54" s="10">
        <v>21</v>
      </c>
      <c r="AO54" s="10">
        <f>I54*0.680183408603643</f>
        <v>0</v>
      </c>
      <c r="AP54" s="10">
        <f>I54*(1-0.680183408603643)</f>
        <v>0</v>
      </c>
      <c r="AQ54" s="41" t="s">
        <v>68</v>
      </c>
      <c r="AV54" s="10">
        <f>AW54+AX54</f>
        <v>0</v>
      </c>
      <c r="AW54" s="10">
        <f>H54*AO54</f>
        <v>0</v>
      </c>
      <c r="AX54" s="10">
        <f>H54*AP54</f>
        <v>0</v>
      </c>
      <c r="AY54" s="41" t="s">
        <v>135</v>
      </c>
      <c r="AZ54" s="41" t="s">
        <v>136</v>
      </c>
      <c r="BA54" s="43" t="s">
        <v>51</v>
      </c>
      <c r="BC54" s="10">
        <f>AW54+AX54</f>
        <v>0</v>
      </c>
      <c r="BD54" s="10">
        <f>I54/(100-BE54)*100</f>
        <v>0</v>
      </c>
      <c r="BE54" s="10">
        <v>0</v>
      </c>
      <c r="BF54" s="10">
        <f>54</f>
        <v>54</v>
      </c>
      <c r="BH54" s="10">
        <f>H54*AO54</f>
        <v>0</v>
      </c>
      <c r="BI54" s="10">
        <f>H54*AP54</f>
        <v>0</v>
      </c>
      <c r="BJ54" s="10">
        <f>H54*I54</f>
        <v>0</v>
      </c>
      <c r="BK54" s="10"/>
      <c r="BL54" s="10">
        <v>711</v>
      </c>
    </row>
    <row r="55" spans="2:64" ht="15" customHeight="1">
      <c r="B55" s="25" t="s">
        <v>141</v>
      </c>
      <c r="C55" s="62" t="s">
        <v>142</v>
      </c>
      <c r="D55" s="62"/>
      <c r="E55" s="62"/>
      <c r="F55" s="62"/>
      <c r="G55" s="23" t="s">
        <v>63</v>
      </c>
      <c r="H55" s="10">
        <v>267.93</v>
      </c>
      <c r="I55" s="53">
        <v>0</v>
      </c>
      <c r="J55" s="10">
        <f>H55*AO55</f>
        <v>0</v>
      </c>
      <c r="K55" s="10">
        <f>H55*AP55</f>
        <v>0</v>
      </c>
      <c r="L55" s="10">
        <f>H55*I55</f>
        <v>0</v>
      </c>
      <c r="M55" s="47"/>
      <c r="Z55" s="10">
        <f>IF(AQ55="5",BJ55,0)</f>
        <v>0</v>
      </c>
      <c r="AB55" s="10">
        <f>IF(AQ55="1",BH55,0)</f>
        <v>0</v>
      </c>
      <c r="AC55" s="10">
        <f>IF(AQ55="1",BI55,0)</f>
        <v>0</v>
      </c>
      <c r="AD55" s="10">
        <f>IF(AQ55="7",BH55,0)</f>
        <v>0</v>
      </c>
      <c r="AE55" s="10">
        <f>IF(AQ55="7",BI55,0)</f>
        <v>0</v>
      </c>
      <c r="AF55" s="10">
        <f>IF(AQ55="2",BH55,0)</f>
        <v>0</v>
      </c>
      <c r="AG55" s="10">
        <f>IF(AQ55="2",BI55,0)</f>
        <v>0</v>
      </c>
      <c r="AH55" s="10">
        <f>IF(AQ55="0",BJ55,0)</f>
        <v>0</v>
      </c>
      <c r="AI55" s="43" t="s">
        <v>44</v>
      </c>
      <c r="AJ55" s="10">
        <f>IF(AN55=0,L55,0)</f>
        <v>0</v>
      </c>
      <c r="AK55" s="10">
        <f>IF(AN55=15,L55,0)</f>
        <v>0</v>
      </c>
      <c r="AL55" s="10">
        <f>IF(AN55=21,L55,0)</f>
        <v>0</v>
      </c>
      <c r="AN55" s="10">
        <v>21</v>
      </c>
      <c r="AO55" s="10">
        <f>I55*0.627093425605536</f>
        <v>0</v>
      </c>
      <c r="AP55" s="10">
        <f>I55*(1-0.627093425605536)</f>
        <v>0</v>
      </c>
      <c r="AQ55" s="41" t="s">
        <v>68</v>
      </c>
      <c r="AV55" s="10">
        <f>AW55+AX55</f>
        <v>0</v>
      </c>
      <c r="AW55" s="10">
        <f>H55*AO55</f>
        <v>0</v>
      </c>
      <c r="AX55" s="10">
        <f>H55*AP55</f>
        <v>0</v>
      </c>
      <c r="AY55" s="41" t="s">
        <v>135</v>
      </c>
      <c r="AZ55" s="41" t="s">
        <v>136</v>
      </c>
      <c r="BA55" s="43" t="s">
        <v>51</v>
      </c>
      <c r="BC55" s="10">
        <f>AW55+AX55</f>
        <v>0</v>
      </c>
      <c r="BD55" s="10">
        <f>I55/(100-BE55)*100</f>
        <v>0</v>
      </c>
      <c r="BE55" s="10">
        <v>0</v>
      </c>
      <c r="BF55" s="10">
        <f>55</f>
        <v>55</v>
      </c>
      <c r="BH55" s="10">
        <f>H55*AO55</f>
        <v>0</v>
      </c>
      <c r="BI55" s="10">
        <f>H55*AP55</f>
        <v>0</v>
      </c>
      <c r="BJ55" s="10">
        <f>H55*I55</f>
        <v>0</v>
      </c>
      <c r="BK55" s="10"/>
      <c r="BL55" s="10">
        <v>711</v>
      </c>
    </row>
    <row r="56" spans="2:64" ht="15" customHeight="1">
      <c r="B56" s="25" t="s">
        <v>143</v>
      </c>
      <c r="C56" s="62" t="s">
        <v>144</v>
      </c>
      <c r="D56" s="62"/>
      <c r="E56" s="62"/>
      <c r="F56" s="62"/>
      <c r="G56" s="23" t="s">
        <v>63</v>
      </c>
      <c r="H56" s="10">
        <v>267.93</v>
      </c>
      <c r="I56" s="53">
        <v>0</v>
      </c>
      <c r="J56" s="10">
        <f>H56*AO56</f>
        <v>0</v>
      </c>
      <c r="K56" s="10">
        <f>H56*AP56</f>
        <v>0</v>
      </c>
      <c r="L56" s="10">
        <f>H56*I56</f>
        <v>0</v>
      </c>
      <c r="M56" s="47"/>
      <c r="Z56" s="10">
        <f>IF(AQ56="5",BJ56,0)</f>
        <v>0</v>
      </c>
      <c r="AB56" s="10">
        <f>IF(AQ56="1",BH56,0)</f>
        <v>0</v>
      </c>
      <c r="AC56" s="10">
        <f>IF(AQ56="1",BI56,0)</f>
        <v>0</v>
      </c>
      <c r="AD56" s="10">
        <f>IF(AQ56="7",BH56,0)</f>
        <v>0</v>
      </c>
      <c r="AE56" s="10">
        <f>IF(AQ56="7",BI56,0)</f>
        <v>0</v>
      </c>
      <c r="AF56" s="10">
        <f>IF(AQ56="2",BH56,0)</f>
        <v>0</v>
      </c>
      <c r="AG56" s="10">
        <f>IF(AQ56="2",BI56,0)</f>
        <v>0</v>
      </c>
      <c r="AH56" s="10">
        <f>IF(AQ56="0",BJ56,0)</f>
        <v>0</v>
      </c>
      <c r="AI56" s="43" t="s">
        <v>44</v>
      </c>
      <c r="AJ56" s="10">
        <f>IF(AN56=0,L56,0)</f>
        <v>0</v>
      </c>
      <c r="AK56" s="10">
        <f>IF(AN56=15,L56,0)</f>
        <v>0</v>
      </c>
      <c r="AL56" s="10">
        <f>IF(AN56=21,L56,0)</f>
        <v>0</v>
      </c>
      <c r="AN56" s="10">
        <v>21</v>
      </c>
      <c r="AO56" s="10">
        <f>I56*0.732111506731489</f>
        <v>0</v>
      </c>
      <c r="AP56" s="10">
        <f>I56*(1-0.732111506731489)</f>
        <v>0</v>
      </c>
      <c r="AQ56" s="41" t="s">
        <v>68</v>
      </c>
      <c r="AV56" s="10">
        <f>AW56+AX56</f>
        <v>0</v>
      </c>
      <c r="AW56" s="10">
        <f>H56*AO56</f>
        <v>0</v>
      </c>
      <c r="AX56" s="10">
        <f>H56*AP56</f>
        <v>0</v>
      </c>
      <c r="AY56" s="41" t="s">
        <v>135</v>
      </c>
      <c r="AZ56" s="41" t="s">
        <v>136</v>
      </c>
      <c r="BA56" s="43" t="s">
        <v>51</v>
      </c>
      <c r="BC56" s="10">
        <f>AW56+AX56</f>
        <v>0</v>
      </c>
      <c r="BD56" s="10">
        <f>I56/(100-BE56)*100</f>
        <v>0</v>
      </c>
      <c r="BE56" s="10">
        <v>0</v>
      </c>
      <c r="BF56" s="10">
        <f>56</f>
        <v>56</v>
      </c>
      <c r="BH56" s="10">
        <f>H56*AO56</f>
        <v>0</v>
      </c>
      <c r="BI56" s="10">
        <f>H56*AP56</f>
        <v>0</v>
      </c>
      <c r="BJ56" s="10">
        <f>H56*I56</f>
        <v>0</v>
      </c>
      <c r="BK56" s="10"/>
      <c r="BL56" s="10">
        <v>711</v>
      </c>
    </row>
    <row r="57" spans="2:47" ht="15" customHeight="1">
      <c r="B57" s="14" t="s">
        <v>44</v>
      </c>
      <c r="C57" s="78" t="s">
        <v>145</v>
      </c>
      <c r="D57" s="78"/>
      <c r="E57" s="78"/>
      <c r="F57" s="78"/>
      <c r="G57" s="19" t="s">
        <v>4</v>
      </c>
      <c r="H57" s="19" t="s">
        <v>4</v>
      </c>
      <c r="I57" s="19" t="s">
        <v>4</v>
      </c>
      <c r="J57" s="28">
        <f>SUM(J58:J58)</f>
        <v>0</v>
      </c>
      <c r="K57" s="28">
        <f>SUM(K58:K58)</f>
        <v>0</v>
      </c>
      <c r="L57" s="28">
        <f>SUM(L58:L58)</f>
        <v>0</v>
      </c>
      <c r="M57" s="2"/>
      <c r="AI57" s="43" t="s">
        <v>44</v>
      </c>
      <c r="AS57" s="28">
        <f>SUM(AJ58:AJ58)</f>
        <v>0</v>
      </c>
      <c r="AT57" s="28">
        <f>SUM(AK58:AK58)</f>
        <v>0</v>
      </c>
      <c r="AU57" s="28">
        <f>SUM(AL58:AL58)</f>
        <v>0</v>
      </c>
    </row>
    <row r="58" spans="2:64" ht="15" customHeight="1">
      <c r="B58" s="25" t="s">
        <v>146</v>
      </c>
      <c r="C58" s="62" t="s">
        <v>147</v>
      </c>
      <c r="D58" s="62"/>
      <c r="E58" s="62"/>
      <c r="F58" s="62"/>
      <c r="G58" s="23" t="s">
        <v>63</v>
      </c>
      <c r="H58" s="10">
        <v>30</v>
      </c>
      <c r="I58" s="53">
        <v>0</v>
      </c>
      <c r="J58" s="10">
        <f>H58*AO58</f>
        <v>0</v>
      </c>
      <c r="K58" s="10">
        <f>H58*AP58</f>
        <v>0</v>
      </c>
      <c r="L58" s="10">
        <f>H58*I58</f>
        <v>0</v>
      </c>
      <c r="M58" s="47"/>
      <c r="Z58" s="10">
        <f>IF(AQ58="5",BJ58,0)</f>
        <v>0</v>
      </c>
      <c r="AB58" s="10">
        <f>IF(AQ58="1",BH58,0)</f>
        <v>0</v>
      </c>
      <c r="AC58" s="10">
        <f>IF(AQ58="1",BI58,0)</f>
        <v>0</v>
      </c>
      <c r="AD58" s="10">
        <f>IF(AQ58="7",BH58,0)</f>
        <v>0</v>
      </c>
      <c r="AE58" s="10">
        <f>IF(AQ58="7",BI58,0)</f>
        <v>0</v>
      </c>
      <c r="AF58" s="10">
        <f>IF(AQ58="2",BH58,0)</f>
        <v>0</v>
      </c>
      <c r="AG58" s="10">
        <f>IF(AQ58="2",BI58,0)</f>
        <v>0</v>
      </c>
      <c r="AH58" s="10">
        <f>IF(AQ58="0",BJ58,0)</f>
        <v>0</v>
      </c>
      <c r="AI58" s="43" t="s">
        <v>44</v>
      </c>
      <c r="AJ58" s="10">
        <f>IF(AN58=0,L58,0)</f>
        <v>0</v>
      </c>
      <c r="AK58" s="10">
        <f>IF(AN58=15,L58,0)</f>
        <v>0</v>
      </c>
      <c r="AL58" s="10">
        <f>IF(AN58=21,L58,0)</f>
        <v>0</v>
      </c>
      <c r="AN58" s="10">
        <v>21</v>
      </c>
      <c r="AO58" s="10">
        <f>I58*0.0616964285714286</f>
        <v>0</v>
      </c>
      <c r="AP58" s="10">
        <f>I58*(1-0.0616964285714286)</f>
        <v>0</v>
      </c>
      <c r="AQ58" s="41" t="s">
        <v>68</v>
      </c>
      <c r="AV58" s="10">
        <f>AW58+AX58</f>
        <v>0</v>
      </c>
      <c r="AW58" s="10">
        <f>H58*AO58</f>
        <v>0</v>
      </c>
      <c r="AX58" s="10">
        <f>H58*AP58</f>
        <v>0</v>
      </c>
      <c r="AY58" s="41" t="s">
        <v>148</v>
      </c>
      <c r="AZ58" s="41" t="s">
        <v>136</v>
      </c>
      <c r="BA58" s="43" t="s">
        <v>51</v>
      </c>
      <c r="BC58" s="10">
        <f>AW58+AX58</f>
        <v>0</v>
      </c>
      <c r="BD58" s="10">
        <f>I58/(100-BE58)*100</f>
        <v>0</v>
      </c>
      <c r="BE58" s="10">
        <v>0</v>
      </c>
      <c r="BF58" s="10">
        <f>58</f>
        <v>58</v>
      </c>
      <c r="BH58" s="10">
        <f>H58*AO58</f>
        <v>0</v>
      </c>
      <c r="BI58" s="10">
        <f>H58*AP58</f>
        <v>0</v>
      </c>
      <c r="BJ58" s="10">
        <f>H58*I58</f>
        <v>0</v>
      </c>
      <c r="BK58" s="10"/>
      <c r="BL58" s="10">
        <v>713</v>
      </c>
    </row>
    <row r="59" spans="2:47" ht="15" customHeight="1">
      <c r="B59" s="14" t="s">
        <v>44</v>
      </c>
      <c r="C59" s="78" t="s">
        <v>149</v>
      </c>
      <c r="D59" s="78"/>
      <c r="E59" s="78"/>
      <c r="F59" s="78"/>
      <c r="G59" s="19" t="s">
        <v>4</v>
      </c>
      <c r="H59" s="19" t="s">
        <v>4</v>
      </c>
      <c r="I59" s="19" t="s">
        <v>4</v>
      </c>
      <c r="J59" s="28">
        <f>SUM(J60:J74)</f>
        <v>0</v>
      </c>
      <c r="K59" s="28">
        <f>SUM(K60:K74)</f>
        <v>0</v>
      </c>
      <c r="L59" s="28">
        <f>SUM(L60:L74)</f>
        <v>0</v>
      </c>
      <c r="M59" s="2"/>
      <c r="AI59" s="43" t="s">
        <v>44</v>
      </c>
      <c r="AS59" s="28">
        <f>SUM(AJ60:AJ74)</f>
        <v>0</v>
      </c>
      <c r="AT59" s="28">
        <f>SUM(AK60:AK74)</f>
        <v>0</v>
      </c>
      <c r="AU59" s="28">
        <f>SUM(AL60:AL74)</f>
        <v>0</v>
      </c>
    </row>
    <row r="60" spans="2:64" ht="15" customHeight="1">
      <c r="B60" s="25" t="s">
        <v>150</v>
      </c>
      <c r="C60" s="62" t="s">
        <v>151</v>
      </c>
      <c r="D60" s="62"/>
      <c r="E60" s="62"/>
      <c r="F60" s="62"/>
      <c r="G60" s="23" t="s">
        <v>55</v>
      </c>
      <c r="H60" s="10">
        <v>62</v>
      </c>
      <c r="I60" s="53">
        <v>0</v>
      </c>
      <c r="J60" s="10">
        <f aca="true" t="shared" si="44" ref="J60:J74">H60*AO60</f>
        <v>0</v>
      </c>
      <c r="K60" s="10">
        <f aca="true" t="shared" si="45" ref="K60:K74">H60*AP60</f>
        <v>0</v>
      </c>
      <c r="L60" s="10">
        <f aca="true" t="shared" si="46" ref="L60:L74">H60*I60</f>
        <v>0</v>
      </c>
      <c r="M60" s="47"/>
      <c r="Z60" s="10">
        <f aca="true" t="shared" si="47" ref="Z60:Z74">IF(AQ60="5",BJ60,0)</f>
        <v>0</v>
      </c>
      <c r="AB60" s="10">
        <f aca="true" t="shared" si="48" ref="AB60:AB74">IF(AQ60="1",BH60,0)</f>
        <v>0</v>
      </c>
      <c r="AC60" s="10">
        <f aca="true" t="shared" si="49" ref="AC60:AC74">IF(AQ60="1",BI60,0)</f>
        <v>0</v>
      </c>
      <c r="AD60" s="10">
        <f aca="true" t="shared" si="50" ref="AD60:AD74">IF(AQ60="7",BH60,0)</f>
        <v>0</v>
      </c>
      <c r="AE60" s="10">
        <f aca="true" t="shared" si="51" ref="AE60:AE74">IF(AQ60="7",BI60,0)</f>
        <v>0</v>
      </c>
      <c r="AF60" s="10">
        <f aca="true" t="shared" si="52" ref="AF60:AF74">IF(AQ60="2",BH60,0)</f>
        <v>0</v>
      </c>
      <c r="AG60" s="10">
        <f aca="true" t="shared" si="53" ref="AG60:AG74">IF(AQ60="2",BI60,0)</f>
        <v>0</v>
      </c>
      <c r="AH60" s="10">
        <f aca="true" t="shared" si="54" ref="AH60:AH74">IF(AQ60="0",BJ60,0)</f>
        <v>0</v>
      </c>
      <c r="AI60" s="43" t="s">
        <v>44</v>
      </c>
      <c r="AJ60" s="10">
        <f aca="true" t="shared" si="55" ref="AJ60:AJ74">IF(AN60=0,L60,0)</f>
        <v>0</v>
      </c>
      <c r="AK60" s="10">
        <f aca="true" t="shared" si="56" ref="AK60:AK74">IF(AN60=15,L60,0)</f>
        <v>0</v>
      </c>
      <c r="AL60" s="10">
        <f aca="true" t="shared" si="57" ref="AL60:AL74">IF(AN60=21,L60,0)</f>
        <v>0</v>
      </c>
      <c r="AN60" s="10">
        <v>21</v>
      </c>
      <c r="AO60" s="10">
        <f>I60*0.0264913519237557</f>
        <v>0</v>
      </c>
      <c r="AP60" s="10">
        <f>I60*(1-0.0264913519237557)</f>
        <v>0</v>
      </c>
      <c r="AQ60" s="41" t="s">
        <v>68</v>
      </c>
      <c r="AV60" s="10">
        <f aca="true" t="shared" si="58" ref="AV60:AV74">AW60+AX60</f>
        <v>0</v>
      </c>
      <c r="AW60" s="10">
        <f aca="true" t="shared" si="59" ref="AW60:AW74">H60*AO60</f>
        <v>0</v>
      </c>
      <c r="AX60" s="10">
        <f aca="true" t="shared" si="60" ref="AX60:AX74">H60*AP60</f>
        <v>0</v>
      </c>
      <c r="AY60" s="41" t="s">
        <v>152</v>
      </c>
      <c r="AZ60" s="41" t="s">
        <v>153</v>
      </c>
      <c r="BA60" s="43" t="s">
        <v>51</v>
      </c>
      <c r="BC60" s="10">
        <f aca="true" t="shared" si="61" ref="BC60:BC74">AW60+AX60</f>
        <v>0</v>
      </c>
      <c r="BD60" s="10">
        <f aca="true" t="shared" si="62" ref="BD60:BD74">I60/(100-BE60)*100</f>
        <v>0</v>
      </c>
      <c r="BE60" s="10">
        <v>0</v>
      </c>
      <c r="BF60" s="10">
        <f>60</f>
        <v>60</v>
      </c>
      <c r="BH60" s="10">
        <f aca="true" t="shared" si="63" ref="BH60:BH74">H60*AO60</f>
        <v>0</v>
      </c>
      <c r="BI60" s="10">
        <f aca="true" t="shared" si="64" ref="BI60:BI74">H60*AP60</f>
        <v>0</v>
      </c>
      <c r="BJ60" s="10">
        <f aca="true" t="shared" si="65" ref="BJ60:BJ74">H60*I60</f>
        <v>0</v>
      </c>
      <c r="BK60" s="10"/>
      <c r="BL60" s="10">
        <v>721</v>
      </c>
    </row>
    <row r="61" spans="2:64" ht="15" customHeight="1">
      <c r="B61" s="25" t="s">
        <v>154</v>
      </c>
      <c r="C61" s="62" t="s">
        <v>155</v>
      </c>
      <c r="D61" s="62"/>
      <c r="E61" s="62"/>
      <c r="F61" s="62"/>
      <c r="G61" s="23" t="s">
        <v>55</v>
      </c>
      <c r="H61" s="10">
        <v>90</v>
      </c>
      <c r="I61" s="53">
        <v>0</v>
      </c>
      <c r="J61" s="10">
        <f t="shared" si="44"/>
        <v>0</v>
      </c>
      <c r="K61" s="10">
        <f t="shared" si="45"/>
        <v>0</v>
      </c>
      <c r="L61" s="10">
        <f t="shared" si="46"/>
        <v>0</v>
      </c>
      <c r="M61" s="47"/>
      <c r="Z61" s="10">
        <f t="shared" si="47"/>
        <v>0</v>
      </c>
      <c r="AB61" s="10">
        <f t="shared" si="48"/>
        <v>0</v>
      </c>
      <c r="AC61" s="10">
        <f t="shared" si="49"/>
        <v>0</v>
      </c>
      <c r="AD61" s="10">
        <f t="shared" si="50"/>
        <v>0</v>
      </c>
      <c r="AE61" s="10">
        <f t="shared" si="51"/>
        <v>0</v>
      </c>
      <c r="AF61" s="10">
        <f t="shared" si="52"/>
        <v>0</v>
      </c>
      <c r="AG61" s="10">
        <f t="shared" si="53"/>
        <v>0</v>
      </c>
      <c r="AH61" s="10">
        <f t="shared" si="54"/>
        <v>0</v>
      </c>
      <c r="AI61" s="43" t="s">
        <v>44</v>
      </c>
      <c r="AJ61" s="10">
        <f t="shared" si="55"/>
        <v>0</v>
      </c>
      <c r="AK61" s="10">
        <f t="shared" si="56"/>
        <v>0</v>
      </c>
      <c r="AL61" s="10">
        <f t="shared" si="57"/>
        <v>0</v>
      </c>
      <c r="AN61" s="10">
        <v>21</v>
      </c>
      <c r="AO61" s="10">
        <f>I61*0</f>
        <v>0</v>
      </c>
      <c r="AP61" s="10">
        <f>I61*(1-0)</f>
        <v>0</v>
      </c>
      <c r="AQ61" s="41" t="s">
        <v>68</v>
      </c>
      <c r="AV61" s="10">
        <f t="shared" si="58"/>
        <v>0</v>
      </c>
      <c r="AW61" s="10">
        <f t="shared" si="59"/>
        <v>0</v>
      </c>
      <c r="AX61" s="10">
        <f t="shared" si="60"/>
        <v>0</v>
      </c>
      <c r="AY61" s="41" t="s">
        <v>152</v>
      </c>
      <c r="AZ61" s="41" t="s">
        <v>153</v>
      </c>
      <c r="BA61" s="43" t="s">
        <v>51</v>
      </c>
      <c r="BC61" s="10">
        <f t="shared" si="61"/>
        <v>0</v>
      </c>
      <c r="BD61" s="10">
        <f t="shared" si="62"/>
        <v>0</v>
      </c>
      <c r="BE61" s="10">
        <v>0</v>
      </c>
      <c r="BF61" s="10">
        <f>61</f>
        <v>61</v>
      </c>
      <c r="BH61" s="10">
        <f t="shared" si="63"/>
        <v>0</v>
      </c>
      <c r="BI61" s="10">
        <f t="shared" si="64"/>
        <v>0</v>
      </c>
      <c r="BJ61" s="10">
        <f t="shared" si="65"/>
        <v>0</v>
      </c>
      <c r="BK61" s="10"/>
      <c r="BL61" s="10">
        <v>721</v>
      </c>
    </row>
    <row r="62" spans="2:64" ht="15" customHeight="1">
      <c r="B62" s="25" t="s">
        <v>156</v>
      </c>
      <c r="C62" s="62" t="s">
        <v>157</v>
      </c>
      <c r="D62" s="62"/>
      <c r="E62" s="62"/>
      <c r="F62" s="62"/>
      <c r="G62" s="23" t="s">
        <v>55</v>
      </c>
      <c r="H62" s="10">
        <v>45</v>
      </c>
      <c r="I62" s="53">
        <v>0</v>
      </c>
      <c r="J62" s="10">
        <f t="shared" si="44"/>
        <v>0</v>
      </c>
      <c r="K62" s="10">
        <f t="shared" si="45"/>
        <v>0</v>
      </c>
      <c r="L62" s="10">
        <f t="shared" si="46"/>
        <v>0</v>
      </c>
      <c r="M62" s="47"/>
      <c r="Z62" s="10">
        <f t="shared" si="47"/>
        <v>0</v>
      </c>
      <c r="AB62" s="10">
        <f t="shared" si="48"/>
        <v>0</v>
      </c>
      <c r="AC62" s="10">
        <f t="shared" si="49"/>
        <v>0</v>
      </c>
      <c r="AD62" s="10">
        <f t="shared" si="50"/>
        <v>0</v>
      </c>
      <c r="AE62" s="10">
        <f t="shared" si="51"/>
        <v>0</v>
      </c>
      <c r="AF62" s="10">
        <f t="shared" si="52"/>
        <v>0</v>
      </c>
      <c r="AG62" s="10">
        <f t="shared" si="53"/>
        <v>0</v>
      </c>
      <c r="AH62" s="10">
        <f t="shared" si="54"/>
        <v>0</v>
      </c>
      <c r="AI62" s="43" t="s">
        <v>44</v>
      </c>
      <c r="AJ62" s="10">
        <f t="shared" si="55"/>
        <v>0</v>
      </c>
      <c r="AK62" s="10">
        <f t="shared" si="56"/>
        <v>0</v>
      </c>
      <c r="AL62" s="10">
        <f t="shared" si="57"/>
        <v>0</v>
      </c>
      <c r="AN62" s="10">
        <v>21</v>
      </c>
      <c r="AO62" s="10">
        <f>I62*0.445256166982922</f>
        <v>0</v>
      </c>
      <c r="AP62" s="10">
        <f>I62*(1-0.445256166982922)</f>
        <v>0</v>
      </c>
      <c r="AQ62" s="41" t="s">
        <v>68</v>
      </c>
      <c r="AV62" s="10">
        <f t="shared" si="58"/>
        <v>0</v>
      </c>
      <c r="AW62" s="10">
        <f t="shared" si="59"/>
        <v>0</v>
      </c>
      <c r="AX62" s="10">
        <f t="shared" si="60"/>
        <v>0</v>
      </c>
      <c r="AY62" s="41" t="s">
        <v>152</v>
      </c>
      <c r="AZ62" s="41" t="s">
        <v>153</v>
      </c>
      <c r="BA62" s="43" t="s">
        <v>51</v>
      </c>
      <c r="BC62" s="10">
        <f t="shared" si="61"/>
        <v>0</v>
      </c>
      <c r="BD62" s="10">
        <f t="shared" si="62"/>
        <v>0</v>
      </c>
      <c r="BE62" s="10">
        <v>0</v>
      </c>
      <c r="BF62" s="10">
        <f>62</f>
        <v>62</v>
      </c>
      <c r="BH62" s="10">
        <f t="shared" si="63"/>
        <v>0</v>
      </c>
      <c r="BI62" s="10">
        <f t="shared" si="64"/>
        <v>0</v>
      </c>
      <c r="BJ62" s="10">
        <f t="shared" si="65"/>
        <v>0</v>
      </c>
      <c r="BK62" s="10"/>
      <c r="BL62" s="10">
        <v>721</v>
      </c>
    </row>
    <row r="63" spans="2:64" ht="15" customHeight="1">
      <c r="B63" s="25" t="s">
        <v>158</v>
      </c>
      <c r="C63" s="62" t="s">
        <v>159</v>
      </c>
      <c r="D63" s="62"/>
      <c r="E63" s="62"/>
      <c r="F63" s="62"/>
      <c r="G63" s="23" t="s">
        <v>55</v>
      </c>
      <c r="H63" s="10">
        <v>45</v>
      </c>
      <c r="I63" s="53">
        <v>0</v>
      </c>
      <c r="J63" s="10">
        <f t="shared" si="44"/>
        <v>0</v>
      </c>
      <c r="K63" s="10">
        <f t="shared" si="45"/>
        <v>0</v>
      </c>
      <c r="L63" s="10">
        <f t="shared" si="46"/>
        <v>0</v>
      </c>
      <c r="M63" s="47"/>
      <c r="Z63" s="10">
        <f t="shared" si="47"/>
        <v>0</v>
      </c>
      <c r="AB63" s="10">
        <f t="shared" si="48"/>
        <v>0</v>
      </c>
      <c r="AC63" s="10">
        <f t="shared" si="49"/>
        <v>0</v>
      </c>
      <c r="AD63" s="10">
        <f t="shared" si="50"/>
        <v>0</v>
      </c>
      <c r="AE63" s="10">
        <f t="shared" si="51"/>
        <v>0</v>
      </c>
      <c r="AF63" s="10">
        <f t="shared" si="52"/>
        <v>0</v>
      </c>
      <c r="AG63" s="10">
        <f t="shared" si="53"/>
        <v>0</v>
      </c>
      <c r="AH63" s="10">
        <f t="shared" si="54"/>
        <v>0</v>
      </c>
      <c r="AI63" s="43" t="s">
        <v>44</v>
      </c>
      <c r="AJ63" s="10">
        <f t="shared" si="55"/>
        <v>0</v>
      </c>
      <c r="AK63" s="10">
        <f t="shared" si="56"/>
        <v>0</v>
      </c>
      <c r="AL63" s="10">
        <f t="shared" si="57"/>
        <v>0</v>
      </c>
      <c r="AN63" s="10">
        <v>21</v>
      </c>
      <c r="AO63" s="10">
        <f>I63*0.399320388349515</f>
        <v>0</v>
      </c>
      <c r="AP63" s="10">
        <f>I63*(1-0.399320388349515)</f>
        <v>0</v>
      </c>
      <c r="AQ63" s="41" t="s">
        <v>68</v>
      </c>
      <c r="AV63" s="10">
        <f t="shared" si="58"/>
        <v>0</v>
      </c>
      <c r="AW63" s="10">
        <f t="shared" si="59"/>
        <v>0</v>
      </c>
      <c r="AX63" s="10">
        <f t="shared" si="60"/>
        <v>0</v>
      </c>
      <c r="AY63" s="41" t="s">
        <v>152</v>
      </c>
      <c r="AZ63" s="41" t="s">
        <v>153</v>
      </c>
      <c r="BA63" s="43" t="s">
        <v>51</v>
      </c>
      <c r="BC63" s="10">
        <f t="shared" si="61"/>
        <v>0</v>
      </c>
      <c r="BD63" s="10">
        <f t="shared" si="62"/>
        <v>0</v>
      </c>
      <c r="BE63" s="10">
        <v>0</v>
      </c>
      <c r="BF63" s="10">
        <f>63</f>
        <v>63</v>
      </c>
      <c r="BH63" s="10">
        <f t="shared" si="63"/>
        <v>0</v>
      </c>
      <c r="BI63" s="10">
        <f t="shared" si="64"/>
        <v>0</v>
      </c>
      <c r="BJ63" s="10">
        <f t="shared" si="65"/>
        <v>0</v>
      </c>
      <c r="BK63" s="10"/>
      <c r="BL63" s="10">
        <v>721</v>
      </c>
    </row>
    <row r="64" spans="2:64" ht="15" customHeight="1">
      <c r="B64" s="25" t="s">
        <v>160</v>
      </c>
      <c r="C64" s="62" t="s">
        <v>161</v>
      </c>
      <c r="D64" s="62"/>
      <c r="E64" s="62"/>
      <c r="F64" s="62"/>
      <c r="G64" s="23" t="s">
        <v>55</v>
      </c>
      <c r="H64" s="10">
        <v>32</v>
      </c>
      <c r="I64" s="53">
        <v>0</v>
      </c>
      <c r="J64" s="10">
        <f t="shared" si="44"/>
        <v>0</v>
      </c>
      <c r="K64" s="10">
        <f t="shared" si="45"/>
        <v>0</v>
      </c>
      <c r="L64" s="10">
        <f t="shared" si="46"/>
        <v>0</v>
      </c>
      <c r="M64" s="47"/>
      <c r="Z64" s="10">
        <f t="shared" si="47"/>
        <v>0</v>
      </c>
      <c r="AB64" s="10">
        <f t="shared" si="48"/>
        <v>0</v>
      </c>
      <c r="AC64" s="10">
        <f t="shared" si="49"/>
        <v>0</v>
      </c>
      <c r="AD64" s="10">
        <f t="shared" si="50"/>
        <v>0</v>
      </c>
      <c r="AE64" s="10">
        <f t="shared" si="51"/>
        <v>0</v>
      </c>
      <c r="AF64" s="10">
        <f t="shared" si="52"/>
        <v>0</v>
      </c>
      <c r="AG64" s="10">
        <f t="shared" si="53"/>
        <v>0</v>
      </c>
      <c r="AH64" s="10">
        <f t="shared" si="54"/>
        <v>0</v>
      </c>
      <c r="AI64" s="43" t="s">
        <v>44</v>
      </c>
      <c r="AJ64" s="10">
        <f t="shared" si="55"/>
        <v>0</v>
      </c>
      <c r="AK64" s="10">
        <f t="shared" si="56"/>
        <v>0</v>
      </c>
      <c r="AL64" s="10">
        <f t="shared" si="57"/>
        <v>0</v>
      </c>
      <c r="AN64" s="10">
        <v>21</v>
      </c>
      <c r="AO64" s="10">
        <f>I64*0.671836575875486</f>
        <v>0</v>
      </c>
      <c r="AP64" s="10">
        <f>I64*(1-0.671836575875486)</f>
        <v>0</v>
      </c>
      <c r="AQ64" s="41" t="s">
        <v>68</v>
      </c>
      <c r="AV64" s="10">
        <f t="shared" si="58"/>
        <v>0</v>
      </c>
      <c r="AW64" s="10">
        <f t="shared" si="59"/>
        <v>0</v>
      </c>
      <c r="AX64" s="10">
        <f t="shared" si="60"/>
        <v>0</v>
      </c>
      <c r="AY64" s="41" t="s">
        <v>152</v>
      </c>
      <c r="AZ64" s="41" t="s">
        <v>153</v>
      </c>
      <c r="BA64" s="43" t="s">
        <v>51</v>
      </c>
      <c r="BC64" s="10">
        <f t="shared" si="61"/>
        <v>0</v>
      </c>
      <c r="BD64" s="10">
        <f t="shared" si="62"/>
        <v>0</v>
      </c>
      <c r="BE64" s="10">
        <v>0</v>
      </c>
      <c r="BF64" s="10">
        <f>64</f>
        <v>64</v>
      </c>
      <c r="BH64" s="10">
        <f t="shared" si="63"/>
        <v>0</v>
      </c>
      <c r="BI64" s="10">
        <f t="shared" si="64"/>
        <v>0</v>
      </c>
      <c r="BJ64" s="10">
        <f t="shared" si="65"/>
        <v>0</v>
      </c>
      <c r="BK64" s="10"/>
      <c r="BL64" s="10">
        <v>721</v>
      </c>
    </row>
    <row r="65" spans="2:64" ht="15" customHeight="1">
      <c r="B65" s="25" t="s">
        <v>162</v>
      </c>
      <c r="C65" s="62" t="s">
        <v>163</v>
      </c>
      <c r="D65" s="62"/>
      <c r="E65" s="62"/>
      <c r="F65" s="62"/>
      <c r="G65" s="23" t="s">
        <v>55</v>
      </c>
      <c r="H65" s="10">
        <v>30</v>
      </c>
      <c r="I65" s="53">
        <v>0</v>
      </c>
      <c r="J65" s="10">
        <f t="shared" si="44"/>
        <v>0</v>
      </c>
      <c r="K65" s="10">
        <f t="shared" si="45"/>
        <v>0</v>
      </c>
      <c r="L65" s="10">
        <f t="shared" si="46"/>
        <v>0</v>
      </c>
      <c r="M65" s="47"/>
      <c r="Z65" s="10">
        <f t="shared" si="47"/>
        <v>0</v>
      </c>
      <c r="AB65" s="10">
        <f t="shared" si="48"/>
        <v>0</v>
      </c>
      <c r="AC65" s="10">
        <f t="shared" si="49"/>
        <v>0</v>
      </c>
      <c r="AD65" s="10">
        <f t="shared" si="50"/>
        <v>0</v>
      </c>
      <c r="AE65" s="10">
        <f t="shared" si="51"/>
        <v>0</v>
      </c>
      <c r="AF65" s="10">
        <f t="shared" si="52"/>
        <v>0</v>
      </c>
      <c r="AG65" s="10">
        <f t="shared" si="53"/>
        <v>0</v>
      </c>
      <c r="AH65" s="10">
        <f t="shared" si="54"/>
        <v>0</v>
      </c>
      <c r="AI65" s="43" t="s">
        <v>44</v>
      </c>
      <c r="AJ65" s="10">
        <f t="shared" si="55"/>
        <v>0</v>
      </c>
      <c r="AK65" s="10">
        <f t="shared" si="56"/>
        <v>0</v>
      </c>
      <c r="AL65" s="10">
        <f t="shared" si="57"/>
        <v>0</v>
      </c>
      <c r="AN65" s="10">
        <v>21</v>
      </c>
      <c r="AO65" s="10">
        <f>I65*0.535972413793103</f>
        <v>0</v>
      </c>
      <c r="AP65" s="10">
        <f>I65*(1-0.535972413793103)</f>
        <v>0</v>
      </c>
      <c r="AQ65" s="41" t="s">
        <v>68</v>
      </c>
      <c r="AV65" s="10">
        <f t="shared" si="58"/>
        <v>0</v>
      </c>
      <c r="AW65" s="10">
        <f t="shared" si="59"/>
        <v>0</v>
      </c>
      <c r="AX65" s="10">
        <f t="shared" si="60"/>
        <v>0</v>
      </c>
      <c r="AY65" s="41" t="s">
        <v>152</v>
      </c>
      <c r="AZ65" s="41" t="s">
        <v>153</v>
      </c>
      <c r="BA65" s="43" t="s">
        <v>51</v>
      </c>
      <c r="BC65" s="10">
        <f t="shared" si="61"/>
        <v>0</v>
      </c>
      <c r="BD65" s="10">
        <f t="shared" si="62"/>
        <v>0</v>
      </c>
      <c r="BE65" s="10">
        <v>0</v>
      </c>
      <c r="BF65" s="10">
        <f>65</f>
        <v>65</v>
      </c>
      <c r="BH65" s="10">
        <f t="shared" si="63"/>
        <v>0</v>
      </c>
      <c r="BI65" s="10">
        <f t="shared" si="64"/>
        <v>0</v>
      </c>
      <c r="BJ65" s="10">
        <f t="shared" si="65"/>
        <v>0</v>
      </c>
      <c r="BK65" s="10"/>
      <c r="BL65" s="10">
        <v>721</v>
      </c>
    </row>
    <row r="66" spans="2:64" ht="15" customHeight="1">
      <c r="B66" s="25" t="s">
        <v>164</v>
      </c>
      <c r="C66" s="62" t="s">
        <v>165</v>
      </c>
      <c r="D66" s="62"/>
      <c r="E66" s="62"/>
      <c r="F66" s="62"/>
      <c r="G66" s="23" t="s">
        <v>60</v>
      </c>
      <c r="H66" s="10">
        <v>1</v>
      </c>
      <c r="I66" s="53">
        <v>0</v>
      </c>
      <c r="J66" s="10">
        <f t="shared" si="44"/>
        <v>0</v>
      </c>
      <c r="K66" s="10">
        <f t="shared" si="45"/>
        <v>0</v>
      </c>
      <c r="L66" s="10">
        <f t="shared" si="46"/>
        <v>0</v>
      </c>
      <c r="M66" s="47"/>
      <c r="Z66" s="10">
        <f t="shared" si="47"/>
        <v>0</v>
      </c>
      <c r="AB66" s="10">
        <f t="shared" si="48"/>
        <v>0</v>
      </c>
      <c r="AC66" s="10">
        <f t="shared" si="49"/>
        <v>0</v>
      </c>
      <c r="AD66" s="10">
        <f t="shared" si="50"/>
        <v>0</v>
      </c>
      <c r="AE66" s="10">
        <f t="shared" si="51"/>
        <v>0</v>
      </c>
      <c r="AF66" s="10">
        <f t="shared" si="52"/>
        <v>0</v>
      </c>
      <c r="AG66" s="10">
        <f t="shared" si="53"/>
        <v>0</v>
      </c>
      <c r="AH66" s="10">
        <f t="shared" si="54"/>
        <v>0</v>
      </c>
      <c r="AI66" s="43" t="s">
        <v>44</v>
      </c>
      <c r="AJ66" s="10">
        <f t="shared" si="55"/>
        <v>0</v>
      </c>
      <c r="AK66" s="10">
        <f t="shared" si="56"/>
        <v>0</v>
      </c>
      <c r="AL66" s="10">
        <f t="shared" si="57"/>
        <v>0</v>
      </c>
      <c r="AN66" s="10">
        <v>21</v>
      </c>
      <c r="AO66" s="10">
        <f>I66*0.699973821989529</f>
        <v>0</v>
      </c>
      <c r="AP66" s="10">
        <f>I66*(1-0.699973821989529)</f>
        <v>0</v>
      </c>
      <c r="AQ66" s="41" t="s">
        <v>68</v>
      </c>
      <c r="AV66" s="10">
        <f t="shared" si="58"/>
        <v>0</v>
      </c>
      <c r="AW66" s="10">
        <f t="shared" si="59"/>
        <v>0</v>
      </c>
      <c r="AX66" s="10">
        <f t="shared" si="60"/>
        <v>0</v>
      </c>
      <c r="AY66" s="41" t="s">
        <v>152</v>
      </c>
      <c r="AZ66" s="41" t="s">
        <v>153</v>
      </c>
      <c r="BA66" s="43" t="s">
        <v>51</v>
      </c>
      <c r="BC66" s="10">
        <f t="shared" si="61"/>
        <v>0</v>
      </c>
      <c r="BD66" s="10">
        <f t="shared" si="62"/>
        <v>0</v>
      </c>
      <c r="BE66" s="10">
        <v>0</v>
      </c>
      <c r="BF66" s="10">
        <f>66</f>
        <v>66</v>
      </c>
      <c r="BH66" s="10">
        <f t="shared" si="63"/>
        <v>0</v>
      </c>
      <c r="BI66" s="10">
        <f t="shared" si="64"/>
        <v>0</v>
      </c>
      <c r="BJ66" s="10">
        <f t="shared" si="65"/>
        <v>0</v>
      </c>
      <c r="BK66" s="10"/>
      <c r="BL66" s="10">
        <v>721</v>
      </c>
    </row>
    <row r="67" spans="2:64" ht="15" customHeight="1">
      <c r="B67" s="25" t="s">
        <v>166</v>
      </c>
      <c r="C67" s="62" t="s">
        <v>167</v>
      </c>
      <c r="D67" s="62"/>
      <c r="E67" s="62"/>
      <c r="F67" s="62"/>
      <c r="G67" s="23" t="s">
        <v>168</v>
      </c>
      <c r="H67" s="10">
        <v>18</v>
      </c>
      <c r="I67" s="53">
        <v>0</v>
      </c>
      <c r="J67" s="10">
        <f t="shared" si="44"/>
        <v>0</v>
      </c>
      <c r="K67" s="10">
        <f t="shared" si="45"/>
        <v>0</v>
      </c>
      <c r="L67" s="10">
        <f t="shared" si="46"/>
        <v>0</v>
      </c>
      <c r="M67" s="47"/>
      <c r="Z67" s="10">
        <f t="shared" si="47"/>
        <v>0</v>
      </c>
      <c r="AB67" s="10">
        <f t="shared" si="48"/>
        <v>0</v>
      </c>
      <c r="AC67" s="10">
        <f t="shared" si="49"/>
        <v>0</v>
      </c>
      <c r="AD67" s="10">
        <f t="shared" si="50"/>
        <v>0</v>
      </c>
      <c r="AE67" s="10">
        <f t="shared" si="51"/>
        <v>0</v>
      </c>
      <c r="AF67" s="10">
        <f t="shared" si="52"/>
        <v>0</v>
      </c>
      <c r="AG67" s="10">
        <f t="shared" si="53"/>
        <v>0</v>
      </c>
      <c r="AH67" s="10">
        <f t="shared" si="54"/>
        <v>0</v>
      </c>
      <c r="AI67" s="43" t="s">
        <v>44</v>
      </c>
      <c r="AJ67" s="10">
        <f t="shared" si="55"/>
        <v>0</v>
      </c>
      <c r="AK67" s="10">
        <f t="shared" si="56"/>
        <v>0</v>
      </c>
      <c r="AL67" s="10">
        <f t="shared" si="57"/>
        <v>0</v>
      </c>
      <c r="AN67" s="10">
        <v>21</v>
      </c>
      <c r="AO67" s="10">
        <f>I67*0</f>
        <v>0</v>
      </c>
      <c r="AP67" s="10">
        <f>I67*(1-0)</f>
        <v>0</v>
      </c>
      <c r="AQ67" s="41" t="s">
        <v>68</v>
      </c>
      <c r="AV67" s="10">
        <f t="shared" si="58"/>
        <v>0</v>
      </c>
      <c r="AW67" s="10">
        <f t="shared" si="59"/>
        <v>0</v>
      </c>
      <c r="AX67" s="10">
        <f t="shared" si="60"/>
        <v>0</v>
      </c>
      <c r="AY67" s="41" t="s">
        <v>152</v>
      </c>
      <c r="AZ67" s="41" t="s">
        <v>153</v>
      </c>
      <c r="BA67" s="43" t="s">
        <v>51</v>
      </c>
      <c r="BC67" s="10">
        <f t="shared" si="61"/>
        <v>0</v>
      </c>
      <c r="BD67" s="10">
        <f t="shared" si="62"/>
        <v>0</v>
      </c>
      <c r="BE67" s="10">
        <v>0</v>
      </c>
      <c r="BF67" s="10">
        <f>67</f>
        <v>67</v>
      </c>
      <c r="BH67" s="10">
        <f t="shared" si="63"/>
        <v>0</v>
      </c>
      <c r="BI67" s="10">
        <f t="shared" si="64"/>
        <v>0</v>
      </c>
      <c r="BJ67" s="10">
        <f t="shared" si="65"/>
        <v>0</v>
      </c>
      <c r="BK67" s="10"/>
      <c r="BL67" s="10">
        <v>721</v>
      </c>
    </row>
    <row r="68" spans="2:64" ht="15" customHeight="1">
      <c r="B68" s="25" t="s">
        <v>169</v>
      </c>
      <c r="C68" s="62" t="s">
        <v>170</v>
      </c>
      <c r="D68" s="62"/>
      <c r="E68" s="62"/>
      <c r="F68" s="62"/>
      <c r="G68" s="23" t="s">
        <v>168</v>
      </c>
      <c r="H68" s="10">
        <v>17</v>
      </c>
      <c r="I68" s="53">
        <v>0</v>
      </c>
      <c r="J68" s="10">
        <f t="shared" si="44"/>
        <v>0</v>
      </c>
      <c r="K68" s="10">
        <f t="shared" si="45"/>
        <v>0</v>
      </c>
      <c r="L68" s="10">
        <f t="shared" si="46"/>
        <v>0</v>
      </c>
      <c r="M68" s="47"/>
      <c r="Z68" s="10">
        <f t="shared" si="47"/>
        <v>0</v>
      </c>
      <c r="AB68" s="10">
        <f t="shared" si="48"/>
        <v>0</v>
      </c>
      <c r="AC68" s="10">
        <f t="shared" si="49"/>
        <v>0</v>
      </c>
      <c r="AD68" s="10">
        <f t="shared" si="50"/>
        <v>0</v>
      </c>
      <c r="AE68" s="10">
        <f t="shared" si="51"/>
        <v>0</v>
      </c>
      <c r="AF68" s="10">
        <f t="shared" si="52"/>
        <v>0</v>
      </c>
      <c r="AG68" s="10">
        <f t="shared" si="53"/>
        <v>0</v>
      </c>
      <c r="AH68" s="10">
        <f t="shared" si="54"/>
        <v>0</v>
      </c>
      <c r="AI68" s="43" t="s">
        <v>44</v>
      </c>
      <c r="AJ68" s="10">
        <f t="shared" si="55"/>
        <v>0</v>
      </c>
      <c r="AK68" s="10">
        <f t="shared" si="56"/>
        <v>0</v>
      </c>
      <c r="AL68" s="10">
        <f t="shared" si="57"/>
        <v>0</v>
      </c>
      <c r="AN68" s="10">
        <v>21</v>
      </c>
      <c r="AO68" s="10">
        <f>I68*0</f>
        <v>0</v>
      </c>
      <c r="AP68" s="10">
        <f>I68*(1-0)</f>
        <v>0</v>
      </c>
      <c r="AQ68" s="41" t="s">
        <v>68</v>
      </c>
      <c r="AV68" s="10">
        <f t="shared" si="58"/>
        <v>0</v>
      </c>
      <c r="AW68" s="10">
        <f t="shared" si="59"/>
        <v>0</v>
      </c>
      <c r="AX68" s="10">
        <f t="shared" si="60"/>
        <v>0</v>
      </c>
      <c r="AY68" s="41" t="s">
        <v>152</v>
      </c>
      <c r="AZ68" s="41" t="s">
        <v>153</v>
      </c>
      <c r="BA68" s="43" t="s">
        <v>51</v>
      </c>
      <c r="BC68" s="10">
        <f t="shared" si="61"/>
        <v>0</v>
      </c>
      <c r="BD68" s="10">
        <f t="shared" si="62"/>
        <v>0</v>
      </c>
      <c r="BE68" s="10">
        <v>0</v>
      </c>
      <c r="BF68" s="10">
        <f>68</f>
        <v>68</v>
      </c>
      <c r="BH68" s="10">
        <f t="shared" si="63"/>
        <v>0</v>
      </c>
      <c r="BI68" s="10">
        <f t="shared" si="64"/>
        <v>0</v>
      </c>
      <c r="BJ68" s="10">
        <f t="shared" si="65"/>
        <v>0</v>
      </c>
      <c r="BK68" s="10"/>
      <c r="BL68" s="10">
        <v>721</v>
      </c>
    </row>
    <row r="69" spans="2:64" ht="15" customHeight="1">
      <c r="B69" s="25" t="s">
        <v>171</v>
      </c>
      <c r="C69" s="62" t="s">
        <v>172</v>
      </c>
      <c r="D69" s="62"/>
      <c r="E69" s="62"/>
      <c r="F69" s="62"/>
      <c r="G69" s="23" t="s">
        <v>173</v>
      </c>
      <c r="H69" s="10">
        <v>2</v>
      </c>
      <c r="I69" s="53">
        <v>0</v>
      </c>
      <c r="J69" s="10">
        <f t="shared" si="44"/>
        <v>0</v>
      </c>
      <c r="K69" s="10">
        <f t="shared" si="45"/>
        <v>0</v>
      </c>
      <c r="L69" s="10">
        <f t="shared" si="46"/>
        <v>0</v>
      </c>
      <c r="M69" s="47"/>
      <c r="Z69" s="10">
        <f t="shared" si="47"/>
        <v>0</v>
      </c>
      <c r="AB69" s="10">
        <f t="shared" si="48"/>
        <v>0</v>
      </c>
      <c r="AC69" s="10">
        <f t="shared" si="49"/>
        <v>0</v>
      </c>
      <c r="AD69" s="10">
        <f t="shared" si="50"/>
        <v>0</v>
      </c>
      <c r="AE69" s="10">
        <f t="shared" si="51"/>
        <v>0</v>
      </c>
      <c r="AF69" s="10">
        <f t="shared" si="52"/>
        <v>0</v>
      </c>
      <c r="AG69" s="10">
        <f t="shared" si="53"/>
        <v>0</v>
      </c>
      <c r="AH69" s="10">
        <f t="shared" si="54"/>
        <v>0</v>
      </c>
      <c r="AI69" s="43" t="s">
        <v>44</v>
      </c>
      <c r="AJ69" s="10">
        <f t="shared" si="55"/>
        <v>0</v>
      </c>
      <c r="AK69" s="10">
        <f t="shared" si="56"/>
        <v>0</v>
      </c>
      <c r="AL69" s="10">
        <f t="shared" si="57"/>
        <v>0</v>
      </c>
      <c r="AN69" s="10">
        <v>21</v>
      </c>
      <c r="AO69" s="10">
        <f>I69*0</f>
        <v>0</v>
      </c>
      <c r="AP69" s="10">
        <f>I69*(1-0)</f>
        <v>0</v>
      </c>
      <c r="AQ69" s="41" t="s">
        <v>68</v>
      </c>
      <c r="AV69" s="10">
        <f t="shared" si="58"/>
        <v>0</v>
      </c>
      <c r="AW69" s="10">
        <f t="shared" si="59"/>
        <v>0</v>
      </c>
      <c r="AX69" s="10">
        <f t="shared" si="60"/>
        <v>0</v>
      </c>
      <c r="AY69" s="41" t="s">
        <v>152</v>
      </c>
      <c r="AZ69" s="41" t="s">
        <v>153</v>
      </c>
      <c r="BA69" s="43" t="s">
        <v>51</v>
      </c>
      <c r="BC69" s="10">
        <f t="shared" si="61"/>
        <v>0</v>
      </c>
      <c r="BD69" s="10">
        <f t="shared" si="62"/>
        <v>0</v>
      </c>
      <c r="BE69" s="10">
        <v>0</v>
      </c>
      <c r="BF69" s="10">
        <f>69</f>
        <v>69</v>
      </c>
      <c r="BH69" s="10">
        <f t="shared" si="63"/>
        <v>0</v>
      </c>
      <c r="BI69" s="10">
        <f t="shared" si="64"/>
        <v>0</v>
      </c>
      <c r="BJ69" s="10">
        <f t="shared" si="65"/>
        <v>0</v>
      </c>
      <c r="BK69" s="10"/>
      <c r="BL69" s="10">
        <v>721</v>
      </c>
    </row>
    <row r="70" spans="2:64" ht="15" customHeight="1">
      <c r="B70" s="25" t="s">
        <v>174</v>
      </c>
      <c r="C70" s="62" t="s">
        <v>175</v>
      </c>
      <c r="D70" s="62"/>
      <c r="E70" s="62"/>
      <c r="F70" s="62"/>
      <c r="G70" s="23" t="s">
        <v>173</v>
      </c>
      <c r="H70" s="10">
        <v>17</v>
      </c>
      <c r="I70" s="53">
        <v>0</v>
      </c>
      <c r="J70" s="10">
        <f t="shared" si="44"/>
        <v>0</v>
      </c>
      <c r="K70" s="10">
        <f t="shared" si="45"/>
        <v>0</v>
      </c>
      <c r="L70" s="10">
        <f t="shared" si="46"/>
        <v>0</v>
      </c>
      <c r="M70" s="47"/>
      <c r="Z70" s="10">
        <f t="shared" si="47"/>
        <v>0</v>
      </c>
      <c r="AB70" s="10">
        <f t="shared" si="48"/>
        <v>0</v>
      </c>
      <c r="AC70" s="10">
        <f t="shared" si="49"/>
        <v>0</v>
      </c>
      <c r="AD70" s="10">
        <f t="shared" si="50"/>
        <v>0</v>
      </c>
      <c r="AE70" s="10">
        <f t="shared" si="51"/>
        <v>0</v>
      </c>
      <c r="AF70" s="10">
        <f t="shared" si="52"/>
        <v>0</v>
      </c>
      <c r="AG70" s="10">
        <f t="shared" si="53"/>
        <v>0</v>
      </c>
      <c r="AH70" s="10">
        <f t="shared" si="54"/>
        <v>0</v>
      </c>
      <c r="AI70" s="43" t="s">
        <v>44</v>
      </c>
      <c r="AJ70" s="10">
        <f t="shared" si="55"/>
        <v>0</v>
      </c>
      <c r="AK70" s="10">
        <f t="shared" si="56"/>
        <v>0</v>
      </c>
      <c r="AL70" s="10">
        <f t="shared" si="57"/>
        <v>0</v>
      </c>
      <c r="AN70" s="10">
        <v>21</v>
      </c>
      <c r="AO70" s="10">
        <f>I70*0.764965034965035</f>
        <v>0</v>
      </c>
      <c r="AP70" s="10">
        <f>I70*(1-0.764965034965035)</f>
        <v>0</v>
      </c>
      <c r="AQ70" s="41" t="s">
        <v>68</v>
      </c>
      <c r="AV70" s="10">
        <f t="shared" si="58"/>
        <v>0</v>
      </c>
      <c r="AW70" s="10">
        <f t="shared" si="59"/>
        <v>0</v>
      </c>
      <c r="AX70" s="10">
        <f t="shared" si="60"/>
        <v>0</v>
      </c>
      <c r="AY70" s="41" t="s">
        <v>152</v>
      </c>
      <c r="AZ70" s="41" t="s">
        <v>153</v>
      </c>
      <c r="BA70" s="43" t="s">
        <v>51</v>
      </c>
      <c r="BC70" s="10">
        <f t="shared" si="61"/>
        <v>0</v>
      </c>
      <c r="BD70" s="10">
        <f t="shared" si="62"/>
        <v>0</v>
      </c>
      <c r="BE70" s="10">
        <v>0</v>
      </c>
      <c r="BF70" s="10">
        <f>70</f>
        <v>70</v>
      </c>
      <c r="BH70" s="10">
        <f t="shared" si="63"/>
        <v>0</v>
      </c>
      <c r="BI70" s="10">
        <f t="shared" si="64"/>
        <v>0</v>
      </c>
      <c r="BJ70" s="10">
        <f t="shared" si="65"/>
        <v>0</v>
      </c>
      <c r="BK70" s="10"/>
      <c r="BL70" s="10">
        <v>721</v>
      </c>
    </row>
    <row r="71" spans="2:64" ht="15" customHeight="1">
      <c r="B71" s="25" t="s">
        <v>176</v>
      </c>
      <c r="C71" s="62" t="s">
        <v>177</v>
      </c>
      <c r="D71" s="62"/>
      <c r="E71" s="62"/>
      <c r="F71" s="62"/>
      <c r="G71" s="23" t="s">
        <v>178</v>
      </c>
      <c r="H71" s="10">
        <v>1</v>
      </c>
      <c r="I71" s="53">
        <v>0</v>
      </c>
      <c r="J71" s="10">
        <f t="shared" si="44"/>
        <v>0</v>
      </c>
      <c r="K71" s="10">
        <f t="shared" si="45"/>
        <v>0</v>
      </c>
      <c r="L71" s="10">
        <f t="shared" si="46"/>
        <v>0</v>
      </c>
      <c r="M71" s="47"/>
      <c r="Z71" s="10">
        <f t="shared" si="47"/>
        <v>0</v>
      </c>
      <c r="AB71" s="10">
        <f t="shared" si="48"/>
        <v>0</v>
      </c>
      <c r="AC71" s="10">
        <f t="shared" si="49"/>
        <v>0</v>
      </c>
      <c r="AD71" s="10">
        <f t="shared" si="50"/>
        <v>0</v>
      </c>
      <c r="AE71" s="10">
        <f t="shared" si="51"/>
        <v>0</v>
      </c>
      <c r="AF71" s="10">
        <f t="shared" si="52"/>
        <v>0</v>
      </c>
      <c r="AG71" s="10">
        <f t="shared" si="53"/>
        <v>0</v>
      </c>
      <c r="AH71" s="10">
        <f t="shared" si="54"/>
        <v>0</v>
      </c>
      <c r="AI71" s="43" t="s">
        <v>44</v>
      </c>
      <c r="AJ71" s="10">
        <f t="shared" si="55"/>
        <v>0</v>
      </c>
      <c r="AK71" s="10">
        <f t="shared" si="56"/>
        <v>0</v>
      </c>
      <c r="AL71" s="10">
        <f t="shared" si="57"/>
        <v>0</v>
      </c>
      <c r="AN71" s="10">
        <v>21</v>
      </c>
      <c r="AO71" s="10">
        <f>I71*0.5</f>
        <v>0</v>
      </c>
      <c r="AP71" s="10">
        <f>I71*(1-0.5)</f>
        <v>0</v>
      </c>
      <c r="AQ71" s="41" t="s">
        <v>68</v>
      </c>
      <c r="AV71" s="10">
        <f t="shared" si="58"/>
        <v>0</v>
      </c>
      <c r="AW71" s="10">
        <f t="shared" si="59"/>
        <v>0</v>
      </c>
      <c r="AX71" s="10">
        <f t="shared" si="60"/>
        <v>0</v>
      </c>
      <c r="AY71" s="41" t="s">
        <v>152</v>
      </c>
      <c r="AZ71" s="41" t="s">
        <v>153</v>
      </c>
      <c r="BA71" s="43" t="s">
        <v>51</v>
      </c>
      <c r="BC71" s="10">
        <f t="shared" si="61"/>
        <v>0</v>
      </c>
      <c r="BD71" s="10">
        <f t="shared" si="62"/>
        <v>0</v>
      </c>
      <c r="BE71" s="10">
        <v>0</v>
      </c>
      <c r="BF71" s="10">
        <f>71</f>
        <v>71</v>
      </c>
      <c r="BH71" s="10">
        <f t="shared" si="63"/>
        <v>0</v>
      </c>
      <c r="BI71" s="10">
        <f t="shared" si="64"/>
        <v>0</v>
      </c>
      <c r="BJ71" s="10">
        <f t="shared" si="65"/>
        <v>0</v>
      </c>
      <c r="BK71" s="10"/>
      <c r="BL71" s="10">
        <v>721</v>
      </c>
    </row>
    <row r="72" spans="2:64" ht="15" customHeight="1">
      <c r="B72" s="25" t="s">
        <v>179</v>
      </c>
      <c r="C72" s="62" t="s">
        <v>180</v>
      </c>
      <c r="D72" s="62"/>
      <c r="E72" s="62"/>
      <c r="F72" s="62"/>
      <c r="G72" s="23" t="s">
        <v>181</v>
      </c>
      <c r="H72" s="10">
        <v>1</v>
      </c>
      <c r="I72" s="53">
        <v>0</v>
      </c>
      <c r="J72" s="10">
        <f t="shared" si="44"/>
        <v>0</v>
      </c>
      <c r="K72" s="10">
        <f t="shared" si="45"/>
        <v>0</v>
      </c>
      <c r="L72" s="10">
        <f t="shared" si="46"/>
        <v>0</v>
      </c>
      <c r="M72" s="47"/>
      <c r="Z72" s="10">
        <f t="shared" si="47"/>
        <v>0</v>
      </c>
      <c r="AB72" s="10">
        <f t="shared" si="48"/>
        <v>0</v>
      </c>
      <c r="AC72" s="10">
        <f t="shared" si="49"/>
        <v>0</v>
      </c>
      <c r="AD72" s="10">
        <f t="shared" si="50"/>
        <v>0</v>
      </c>
      <c r="AE72" s="10">
        <f t="shared" si="51"/>
        <v>0</v>
      </c>
      <c r="AF72" s="10">
        <f t="shared" si="52"/>
        <v>0</v>
      </c>
      <c r="AG72" s="10">
        <f t="shared" si="53"/>
        <v>0</v>
      </c>
      <c r="AH72" s="10">
        <f t="shared" si="54"/>
        <v>0</v>
      </c>
      <c r="AI72" s="43" t="s">
        <v>44</v>
      </c>
      <c r="AJ72" s="10">
        <f t="shared" si="55"/>
        <v>0</v>
      </c>
      <c r="AK72" s="10">
        <f t="shared" si="56"/>
        <v>0</v>
      </c>
      <c r="AL72" s="10">
        <f t="shared" si="57"/>
        <v>0</v>
      </c>
      <c r="AN72" s="10">
        <v>21</v>
      </c>
      <c r="AO72" s="10">
        <f>I72*0</f>
        <v>0</v>
      </c>
      <c r="AP72" s="10">
        <f>I72*(1-0)</f>
        <v>0</v>
      </c>
      <c r="AQ72" s="41" t="s">
        <v>68</v>
      </c>
      <c r="AV72" s="10">
        <f t="shared" si="58"/>
        <v>0</v>
      </c>
      <c r="AW72" s="10">
        <f t="shared" si="59"/>
        <v>0</v>
      </c>
      <c r="AX72" s="10">
        <f t="shared" si="60"/>
        <v>0</v>
      </c>
      <c r="AY72" s="41" t="s">
        <v>152</v>
      </c>
      <c r="AZ72" s="41" t="s">
        <v>153</v>
      </c>
      <c r="BA72" s="43" t="s">
        <v>51</v>
      </c>
      <c r="BC72" s="10">
        <f t="shared" si="61"/>
        <v>0</v>
      </c>
      <c r="BD72" s="10">
        <f t="shared" si="62"/>
        <v>0</v>
      </c>
      <c r="BE72" s="10">
        <v>0</v>
      </c>
      <c r="BF72" s="10">
        <f>72</f>
        <v>72</v>
      </c>
      <c r="BH72" s="10">
        <f t="shared" si="63"/>
        <v>0</v>
      </c>
      <c r="BI72" s="10">
        <f t="shared" si="64"/>
        <v>0</v>
      </c>
      <c r="BJ72" s="10">
        <f t="shared" si="65"/>
        <v>0</v>
      </c>
      <c r="BK72" s="10"/>
      <c r="BL72" s="10">
        <v>721</v>
      </c>
    </row>
    <row r="73" spans="2:64" ht="15" customHeight="1">
      <c r="B73" s="25" t="s">
        <v>182</v>
      </c>
      <c r="C73" s="62" t="s">
        <v>183</v>
      </c>
      <c r="D73" s="62"/>
      <c r="E73" s="62"/>
      <c r="F73" s="62"/>
      <c r="G73" s="23" t="s">
        <v>181</v>
      </c>
      <c r="H73" s="10">
        <v>1</v>
      </c>
      <c r="I73" s="53">
        <v>0</v>
      </c>
      <c r="J73" s="10">
        <f t="shared" si="44"/>
        <v>0</v>
      </c>
      <c r="K73" s="10">
        <f t="shared" si="45"/>
        <v>0</v>
      </c>
      <c r="L73" s="10">
        <f t="shared" si="46"/>
        <v>0</v>
      </c>
      <c r="M73" s="47"/>
      <c r="Z73" s="10">
        <f t="shared" si="47"/>
        <v>0</v>
      </c>
      <c r="AB73" s="10">
        <f t="shared" si="48"/>
        <v>0</v>
      </c>
      <c r="AC73" s="10">
        <f t="shared" si="49"/>
        <v>0</v>
      </c>
      <c r="AD73" s="10">
        <f t="shared" si="50"/>
        <v>0</v>
      </c>
      <c r="AE73" s="10">
        <f t="shared" si="51"/>
        <v>0</v>
      </c>
      <c r="AF73" s="10">
        <f t="shared" si="52"/>
        <v>0</v>
      </c>
      <c r="AG73" s="10">
        <f t="shared" si="53"/>
        <v>0</v>
      </c>
      <c r="AH73" s="10">
        <f t="shared" si="54"/>
        <v>0</v>
      </c>
      <c r="AI73" s="43" t="s">
        <v>44</v>
      </c>
      <c r="AJ73" s="10">
        <f t="shared" si="55"/>
        <v>0</v>
      </c>
      <c r="AK73" s="10">
        <f t="shared" si="56"/>
        <v>0</v>
      </c>
      <c r="AL73" s="10">
        <f t="shared" si="57"/>
        <v>0</v>
      </c>
      <c r="AN73" s="10">
        <v>21</v>
      </c>
      <c r="AO73" s="10">
        <f>I73*0</f>
        <v>0</v>
      </c>
      <c r="AP73" s="10">
        <f>I73*(1-0)</f>
        <v>0</v>
      </c>
      <c r="AQ73" s="41" t="s">
        <v>68</v>
      </c>
      <c r="AV73" s="10">
        <f t="shared" si="58"/>
        <v>0</v>
      </c>
      <c r="AW73" s="10">
        <f t="shared" si="59"/>
        <v>0</v>
      </c>
      <c r="AX73" s="10">
        <f t="shared" si="60"/>
        <v>0</v>
      </c>
      <c r="AY73" s="41" t="s">
        <v>152</v>
      </c>
      <c r="AZ73" s="41" t="s">
        <v>153</v>
      </c>
      <c r="BA73" s="43" t="s">
        <v>51</v>
      </c>
      <c r="BC73" s="10">
        <f t="shared" si="61"/>
        <v>0</v>
      </c>
      <c r="BD73" s="10">
        <f t="shared" si="62"/>
        <v>0</v>
      </c>
      <c r="BE73" s="10">
        <v>0</v>
      </c>
      <c r="BF73" s="10">
        <f>73</f>
        <v>73</v>
      </c>
      <c r="BH73" s="10">
        <f t="shared" si="63"/>
        <v>0</v>
      </c>
      <c r="BI73" s="10">
        <f t="shared" si="64"/>
        <v>0</v>
      </c>
      <c r="BJ73" s="10">
        <f t="shared" si="65"/>
        <v>0</v>
      </c>
      <c r="BK73" s="10"/>
      <c r="BL73" s="10">
        <v>721</v>
      </c>
    </row>
    <row r="74" spans="2:64" ht="15" customHeight="1">
      <c r="B74" s="25" t="s">
        <v>184</v>
      </c>
      <c r="C74" s="62" t="s">
        <v>185</v>
      </c>
      <c r="D74" s="62"/>
      <c r="E74" s="62"/>
      <c r="F74" s="62"/>
      <c r="G74" s="23" t="s">
        <v>181</v>
      </c>
      <c r="H74" s="10">
        <v>1</v>
      </c>
      <c r="I74" s="53">
        <v>0</v>
      </c>
      <c r="J74" s="10">
        <f t="shared" si="44"/>
        <v>0</v>
      </c>
      <c r="K74" s="10">
        <f t="shared" si="45"/>
        <v>0</v>
      </c>
      <c r="L74" s="10">
        <f t="shared" si="46"/>
        <v>0</v>
      </c>
      <c r="M74" s="47"/>
      <c r="Z74" s="10">
        <f t="shared" si="47"/>
        <v>0</v>
      </c>
      <c r="AB74" s="10">
        <f t="shared" si="48"/>
        <v>0</v>
      </c>
      <c r="AC74" s="10">
        <f t="shared" si="49"/>
        <v>0</v>
      </c>
      <c r="AD74" s="10">
        <f t="shared" si="50"/>
        <v>0</v>
      </c>
      <c r="AE74" s="10">
        <f t="shared" si="51"/>
        <v>0</v>
      </c>
      <c r="AF74" s="10">
        <f t="shared" si="52"/>
        <v>0</v>
      </c>
      <c r="AG74" s="10">
        <f t="shared" si="53"/>
        <v>0</v>
      </c>
      <c r="AH74" s="10">
        <f t="shared" si="54"/>
        <v>0</v>
      </c>
      <c r="AI74" s="43" t="s">
        <v>44</v>
      </c>
      <c r="AJ74" s="10">
        <f t="shared" si="55"/>
        <v>0</v>
      </c>
      <c r="AK74" s="10">
        <f t="shared" si="56"/>
        <v>0</v>
      </c>
      <c r="AL74" s="10">
        <f t="shared" si="57"/>
        <v>0</v>
      </c>
      <c r="AN74" s="10">
        <v>21</v>
      </c>
      <c r="AO74" s="10">
        <f>I74*0.4</f>
        <v>0</v>
      </c>
      <c r="AP74" s="10">
        <f>I74*(1-0.4)</f>
        <v>0</v>
      </c>
      <c r="AQ74" s="41" t="s">
        <v>68</v>
      </c>
      <c r="AV74" s="10">
        <f t="shared" si="58"/>
        <v>0</v>
      </c>
      <c r="AW74" s="10">
        <f t="shared" si="59"/>
        <v>0</v>
      </c>
      <c r="AX74" s="10">
        <f t="shared" si="60"/>
        <v>0</v>
      </c>
      <c r="AY74" s="41" t="s">
        <v>152</v>
      </c>
      <c r="AZ74" s="41" t="s">
        <v>153</v>
      </c>
      <c r="BA74" s="43" t="s">
        <v>51</v>
      </c>
      <c r="BC74" s="10">
        <f t="shared" si="61"/>
        <v>0</v>
      </c>
      <c r="BD74" s="10">
        <f t="shared" si="62"/>
        <v>0</v>
      </c>
      <c r="BE74" s="10">
        <v>0</v>
      </c>
      <c r="BF74" s="10">
        <f>74</f>
        <v>74</v>
      </c>
      <c r="BH74" s="10">
        <f t="shared" si="63"/>
        <v>0</v>
      </c>
      <c r="BI74" s="10">
        <f t="shared" si="64"/>
        <v>0</v>
      </c>
      <c r="BJ74" s="10">
        <f t="shared" si="65"/>
        <v>0</v>
      </c>
      <c r="BK74" s="10"/>
      <c r="BL74" s="10">
        <v>721</v>
      </c>
    </row>
    <row r="75" spans="2:47" ht="15" customHeight="1">
      <c r="B75" s="14" t="s">
        <v>44</v>
      </c>
      <c r="C75" s="78" t="s">
        <v>186</v>
      </c>
      <c r="D75" s="78"/>
      <c r="E75" s="78"/>
      <c r="F75" s="78"/>
      <c r="G75" s="19" t="s">
        <v>4</v>
      </c>
      <c r="H75" s="19" t="s">
        <v>4</v>
      </c>
      <c r="I75" s="19" t="s">
        <v>4</v>
      </c>
      <c r="J75" s="28">
        <f>SUM(J76:J99)</f>
        <v>0</v>
      </c>
      <c r="K75" s="28">
        <f>SUM(K76:K99)</f>
        <v>0</v>
      </c>
      <c r="L75" s="28">
        <f>SUM(L76:L99)</f>
        <v>0</v>
      </c>
      <c r="M75" s="2"/>
      <c r="AI75" s="43" t="s">
        <v>44</v>
      </c>
      <c r="AS75" s="28">
        <f>SUM(AJ76:AJ99)</f>
        <v>0</v>
      </c>
      <c r="AT75" s="28">
        <f>SUM(AK76:AK99)</f>
        <v>0</v>
      </c>
      <c r="AU75" s="28">
        <f>SUM(AL76:AL99)</f>
        <v>0</v>
      </c>
    </row>
    <row r="76" spans="2:64" ht="15" customHeight="1">
      <c r="B76" s="25" t="s">
        <v>187</v>
      </c>
      <c r="C76" s="62" t="s">
        <v>188</v>
      </c>
      <c r="D76" s="62"/>
      <c r="E76" s="62"/>
      <c r="F76" s="62"/>
      <c r="G76" s="23" t="s">
        <v>55</v>
      </c>
      <c r="H76" s="10">
        <v>285</v>
      </c>
      <c r="I76" s="53">
        <v>0</v>
      </c>
      <c r="J76" s="10">
        <f aca="true" t="shared" si="66" ref="J76:J99">H76*AO76</f>
        <v>0</v>
      </c>
      <c r="K76" s="10">
        <f aca="true" t="shared" si="67" ref="K76:K99">H76*AP76</f>
        <v>0</v>
      </c>
      <c r="L76" s="10">
        <f aca="true" t="shared" si="68" ref="L76:L99">H76*I76</f>
        <v>0</v>
      </c>
      <c r="M76" s="47"/>
      <c r="Z76" s="10">
        <f aca="true" t="shared" si="69" ref="Z76:Z99">IF(AQ76="5",BJ76,0)</f>
        <v>0</v>
      </c>
      <c r="AB76" s="10">
        <f aca="true" t="shared" si="70" ref="AB76:AB99">IF(AQ76="1",BH76,0)</f>
        <v>0</v>
      </c>
      <c r="AC76" s="10">
        <f aca="true" t="shared" si="71" ref="AC76:AC99">IF(AQ76="1",BI76,0)</f>
        <v>0</v>
      </c>
      <c r="AD76" s="10">
        <f aca="true" t="shared" si="72" ref="AD76:AD99">IF(AQ76="7",BH76,0)</f>
        <v>0</v>
      </c>
      <c r="AE76" s="10">
        <f aca="true" t="shared" si="73" ref="AE76:AE99">IF(AQ76="7",BI76,0)</f>
        <v>0</v>
      </c>
      <c r="AF76" s="10">
        <f aca="true" t="shared" si="74" ref="AF76:AF99">IF(AQ76="2",BH76,0)</f>
        <v>0</v>
      </c>
      <c r="AG76" s="10">
        <f aca="true" t="shared" si="75" ref="AG76:AG99">IF(AQ76="2",BI76,0)</f>
        <v>0</v>
      </c>
      <c r="AH76" s="10">
        <f aca="true" t="shared" si="76" ref="AH76:AH99">IF(AQ76="0",BJ76,0)</f>
        <v>0</v>
      </c>
      <c r="AI76" s="43" t="s">
        <v>44</v>
      </c>
      <c r="AJ76" s="10">
        <f aca="true" t="shared" si="77" ref="AJ76:AJ99">IF(AN76=0,L76,0)</f>
        <v>0</v>
      </c>
      <c r="AK76" s="10">
        <f aca="true" t="shared" si="78" ref="AK76:AK99">IF(AN76=15,L76,0)</f>
        <v>0</v>
      </c>
      <c r="AL76" s="10">
        <f aca="true" t="shared" si="79" ref="AL76:AL99">IF(AN76=21,L76,0)</f>
        <v>0</v>
      </c>
      <c r="AN76" s="10">
        <v>21</v>
      </c>
      <c r="AO76" s="10">
        <f>I76*0</f>
        <v>0</v>
      </c>
      <c r="AP76" s="10">
        <f>I76*(1-0)</f>
        <v>0</v>
      </c>
      <c r="AQ76" s="41" t="s">
        <v>68</v>
      </c>
      <c r="AV76" s="10">
        <f aca="true" t="shared" si="80" ref="AV76:AV99">AW76+AX76</f>
        <v>0</v>
      </c>
      <c r="AW76" s="10">
        <f aca="true" t="shared" si="81" ref="AW76:AW99">H76*AO76</f>
        <v>0</v>
      </c>
      <c r="AX76" s="10">
        <f aca="true" t="shared" si="82" ref="AX76:AX99">H76*AP76</f>
        <v>0</v>
      </c>
      <c r="AY76" s="41" t="s">
        <v>153</v>
      </c>
      <c r="AZ76" s="41" t="s">
        <v>153</v>
      </c>
      <c r="BA76" s="43" t="s">
        <v>51</v>
      </c>
      <c r="BC76" s="10">
        <f aca="true" t="shared" si="83" ref="BC76:BC99">AW76+AX76</f>
        <v>0</v>
      </c>
      <c r="BD76" s="10">
        <f aca="true" t="shared" si="84" ref="BD76:BD99">I76/(100-BE76)*100</f>
        <v>0</v>
      </c>
      <c r="BE76" s="10">
        <v>0</v>
      </c>
      <c r="BF76" s="10">
        <f>76</f>
        <v>76</v>
      </c>
      <c r="BH76" s="10">
        <f aca="true" t="shared" si="85" ref="BH76:BH99">H76*AO76</f>
        <v>0</v>
      </c>
      <c r="BI76" s="10">
        <f aca="true" t="shared" si="86" ref="BI76:BI99">H76*AP76</f>
        <v>0</v>
      </c>
      <c r="BJ76" s="10">
        <f aca="true" t="shared" si="87" ref="BJ76:BJ99">H76*I76</f>
        <v>0</v>
      </c>
      <c r="BK76" s="10"/>
      <c r="BL76" s="10">
        <v>72</v>
      </c>
    </row>
    <row r="77" spans="2:64" ht="15" customHeight="1">
      <c r="B77" s="25" t="s">
        <v>189</v>
      </c>
      <c r="C77" s="62" t="s">
        <v>190</v>
      </c>
      <c r="D77" s="62"/>
      <c r="E77" s="62"/>
      <c r="F77" s="62"/>
      <c r="G77" s="23" t="s">
        <v>55</v>
      </c>
      <c r="H77" s="10">
        <v>180</v>
      </c>
      <c r="I77" s="53">
        <v>0</v>
      </c>
      <c r="J77" s="10">
        <f t="shared" si="66"/>
        <v>0</v>
      </c>
      <c r="K77" s="10">
        <f t="shared" si="67"/>
        <v>0</v>
      </c>
      <c r="L77" s="10">
        <f t="shared" si="68"/>
        <v>0</v>
      </c>
      <c r="M77" s="47"/>
      <c r="Z77" s="10">
        <f t="shared" si="69"/>
        <v>0</v>
      </c>
      <c r="AB77" s="10">
        <f t="shared" si="70"/>
        <v>0</v>
      </c>
      <c r="AC77" s="10">
        <f t="shared" si="71"/>
        <v>0</v>
      </c>
      <c r="AD77" s="10">
        <f t="shared" si="72"/>
        <v>0</v>
      </c>
      <c r="AE77" s="10">
        <f t="shared" si="73"/>
        <v>0</v>
      </c>
      <c r="AF77" s="10">
        <f t="shared" si="74"/>
        <v>0</v>
      </c>
      <c r="AG77" s="10">
        <f t="shared" si="75"/>
        <v>0</v>
      </c>
      <c r="AH77" s="10">
        <f t="shared" si="76"/>
        <v>0</v>
      </c>
      <c r="AI77" s="43" t="s">
        <v>44</v>
      </c>
      <c r="AJ77" s="10">
        <f t="shared" si="77"/>
        <v>0</v>
      </c>
      <c r="AK77" s="10">
        <f t="shared" si="78"/>
        <v>0</v>
      </c>
      <c r="AL77" s="10">
        <f t="shared" si="79"/>
        <v>0</v>
      </c>
      <c r="AN77" s="10">
        <v>21</v>
      </c>
      <c r="AO77" s="10">
        <f>I77*0.380201342281879</f>
        <v>0</v>
      </c>
      <c r="AP77" s="10">
        <f>I77*(1-0.380201342281879)</f>
        <v>0</v>
      </c>
      <c r="AQ77" s="41" t="s">
        <v>68</v>
      </c>
      <c r="AV77" s="10">
        <f t="shared" si="80"/>
        <v>0</v>
      </c>
      <c r="AW77" s="10">
        <f t="shared" si="81"/>
        <v>0</v>
      </c>
      <c r="AX77" s="10">
        <f t="shared" si="82"/>
        <v>0</v>
      </c>
      <c r="AY77" s="41" t="s">
        <v>153</v>
      </c>
      <c r="AZ77" s="41" t="s">
        <v>153</v>
      </c>
      <c r="BA77" s="43" t="s">
        <v>51</v>
      </c>
      <c r="BC77" s="10">
        <f t="shared" si="83"/>
        <v>0</v>
      </c>
      <c r="BD77" s="10">
        <f t="shared" si="84"/>
        <v>0</v>
      </c>
      <c r="BE77" s="10">
        <v>0</v>
      </c>
      <c r="BF77" s="10">
        <f>77</f>
        <v>77</v>
      </c>
      <c r="BH77" s="10">
        <f t="shared" si="85"/>
        <v>0</v>
      </c>
      <c r="BI77" s="10">
        <f t="shared" si="86"/>
        <v>0</v>
      </c>
      <c r="BJ77" s="10">
        <f t="shared" si="87"/>
        <v>0</v>
      </c>
      <c r="BK77" s="10"/>
      <c r="BL77" s="10">
        <v>72</v>
      </c>
    </row>
    <row r="78" spans="2:64" ht="15" customHeight="1">
      <c r="B78" s="25" t="s">
        <v>191</v>
      </c>
      <c r="C78" s="62" t="s">
        <v>192</v>
      </c>
      <c r="D78" s="62"/>
      <c r="E78" s="62"/>
      <c r="F78" s="62"/>
      <c r="G78" s="23" t="s">
        <v>55</v>
      </c>
      <c r="H78" s="10">
        <v>41</v>
      </c>
      <c r="I78" s="53">
        <v>0</v>
      </c>
      <c r="J78" s="10">
        <f t="shared" si="66"/>
        <v>0</v>
      </c>
      <c r="K78" s="10">
        <f t="shared" si="67"/>
        <v>0</v>
      </c>
      <c r="L78" s="10">
        <f t="shared" si="68"/>
        <v>0</v>
      </c>
      <c r="M78" s="47"/>
      <c r="Z78" s="10">
        <f t="shared" si="69"/>
        <v>0</v>
      </c>
      <c r="AB78" s="10">
        <f t="shared" si="70"/>
        <v>0</v>
      </c>
      <c r="AC78" s="10">
        <f t="shared" si="71"/>
        <v>0</v>
      </c>
      <c r="AD78" s="10">
        <f t="shared" si="72"/>
        <v>0</v>
      </c>
      <c r="AE78" s="10">
        <f t="shared" si="73"/>
        <v>0</v>
      </c>
      <c r="AF78" s="10">
        <f t="shared" si="74"/>
        <v>0</v>
      </c>
      <c r="AG78" s="10">
        <f t="shared" si="75"/>
        <v>0</v>
      </c>
      <c r="AH78" s="10">
        <f t="shared" si="76"/>
        <v>0</v>
      </c>
      <c r="AI78" s="43" t="s">
        <v>44</v>
      </c>
      <c r="AJ78" s="10">
        <f t="shared" si="77"/>
        <v>0</v>
      </c>
      <c r="AK78" s="10">
        <f t="shared" si="78"/>
        <v>0</v>
      </c>
      <c r="AL78" s="10">
        <f t="shared" si="79"/>
        <v>0</v>
      </c>
      <c r="AN78" s="10">
        <v>21</v>
      </c>
      <c r="AO78" s="10">
        <f>I78*0.441977450130095</f>
        <v>0</v>
      </c>
      <c r="AP78" s="10">
        <f>I78*(1-0.441977450130095)</f>
        <v>0</v>
      </c>
      <c r="AQ78" s="41" t="s">
        <v>68</v>
      </c>
      <c r="AV78" s="10">
        <f t="shared" si="80"/>
        <v>0</v>
      </c>
      <c r="AW78" s="10">
        <f t="shared" si="81"/>
        <v>0</v>
      </c>
      <c r="AX78" s="10">
        <f t="shared" si="82"/>
        <v>0</v>
      </c>
      <c r="AY78" s="41" t="s">
        <v>153</v>
      </c>
      <c r="AZ78" s="41" t="s">
        <v>153</v>
      </c>
      <c r="BA78" s="43" t="s">
        <v>51</v>
      </c>
      <c r="BC78" s="10">
        <f t="shared" si="83"/>
        <v>0</v>
      </c>
      <c r="BD78" s="10">
        <f t="shared" si="84"/>
        <v>0</v>
      </c>
      <c r="BE78" s="10">
        <v>0</v>
      </c>
      <c r="BF78" s="10">
        <f>78</f>
        <v>78</v>
      </c>
      <c r="BH78" s="10">
        <f t="shared" si="85"/>
        <v>0</v>
      </c>
      <c r="BI78" s="10">
        <f t="shared" si="86"/>
        <v>0</v>
      </c>
      <c r="BJ78" s="10">
        <f t="shared" si="87"/>
        <v>0</v>
      </c>
      <c r="BK78" s="10"/>
      <c r="BL78" s="10">
        <v>72</v>
      </c>
    </row>
    <row r="79" spans="2:64" ht="15" customHeight="1">
      <c r="B79" s="25" t="s">
        <v>193</v>
      </c>
      <c r="C79" s="62" t="s">
        <v>194</v>
      </c>
      <c r="D79" s="62"/>
      <c r="E79" s="62"/>
      <c r="F79" s="62"/>
      <c r="G79" s="23" t="s">
        <v>55</v>
      </c>
      <c r="H79" s="10">
        <v>26</v>
      </c>
      <c r="I79" s="53">
        <v>0</v>
      </c>
      <c r="J79" s="10">
        <f t="shared" si="66"/>
        <v>0</v>
      </c>
      <c r="K79" s="10">
        <f t="shared" si="67"/>
        <v>0</v>
      </c>
      <c r="L79" s="10">
        <f t="shared" si="68"/>
        <v>0</v>
      </c>
      <c r="M79" s="47"/>
      <c r="Z79" s="10">
        <f t="shared" si="69"/>
        <v>0</v>
      </c>
      <c r="AB79" s="10">
        <f t="shared" si="70"/>
        <v>0</v>
      </c>
      <c r="AC79" s="10">
        <f t="shared" si="71"/>
        <v>0</v>
      </c>
      <c r="AD79" s="10">
        <f t="shared" si="72"/>
        <v>0</v>
      </c>
      <c r="AE79" s="10">
        <f t="shared" si="73"/>
        <v>0</v>
      </c>
      <c r="AF79" s="10">
        <f t="shared" si="74"/>
        <v>0</v>
      </c>
      <c r="AG79" s="10">
        <f t="shared" si="75"/>
        <v>0</v>
      </c>
      <c r="AH79" s="10">
        <f t="shared" si="76"/>
        <v>0</v>
      </c>
      <c r="AI79" s="43" t="s">
        <v>44</v>
      </c>
      <c r="AJ79" s="10">
        <f t="shared" si="77"/>
        <v>0</v>
      </c>
      <c r="AK79" s="10">
        <f t="shared" si="78"/>
        <v>0</v>
      </c>
      <c r="AL79" s="10">
        <f t="shared" si="79"/>
        <v>0</v>
      </c>
      <c r="AN79" s="10">
        <v>21</v>
      </c>
      <c r="AO79" s="10">
        <f>I79*0.538274241777018</f>
        <v>0</v>
      </c>
      <c r="AP79" s="10">
        <f>I79*(1-0.538274241777018)</f>
        <v>0</v>
      </c>
      <c r="AQ79" s="41" t="s">
        <v>68</v>
      </c>
      <c r="AV79" s="10">
        <f t="shared" si="80"/>
        <v>0</v>
      </c>
      <c r="AW79" s="10">
        <f t="shared" si="81"/>
        <v>0</v>
      </c>
      <c r="AX79" s="10">
        <f t="shared" si="82"/>
        <v>0</v>
      </c>
      <c r="AY79" s="41" t="s">
        <v>153</v>
      </c>
      <c r="AZ79" s="41" t="s">
        <v>153</v>
      </c>
      <c r="BA79" s="43" t="s">
        <v>51</v>
      </c>
      <c r="BC79" s="10">
        <f t="shared" si="83"/>
        <v>0</v>
      </c>
      <c r="BD79" s="10">
        <f t="shared" si="84"/>
        <v>0</v>
      </c>
      <c r="BE79" s="10">
        <v>0</v>
      </c>
      <c r="BF79" s="10">
        <f>79</f>
        <v>79</v>
      </c>
      <c r="BH79" s="10">
        <f t="shared" si="85"/>
        <v>0</v>
      </c>
      <c r="BI79" s="10">
        <f t="shared" si="86"/>
        <v>0</v>
      </c>
      <c r="BJ79" s="10">
        <f t="shared" si="87"/>
        <v>0</v>
      </c>
      <c r="BK79" s="10"/>
      <c r="BL79" s="10">
        <v>72</v>
      </c>
    </row>
    <row r="80" spans="2:64" ht="15" customHeight="1">
      <c r="B80" s="25" t="s">
        <v>195</v>
      </c>
      <c r="C80" s="62" t="s">
        <v>196</v>
      </c>
      <c r="D80" s="62"/>
      <c r="E80" s="62"/>
      <c r="F80" s="62"/>
      <c r="G80" s="23" t="s">
        <v>55</v>
      </c>
      <c r="H80" s="10">
        <v>38</v>
      </c>
      <c r="I80" s="53">
        <v>0</v>
      </c>
      <c r="J80" s="10">
        <f t="shared" si="66"/>
        <v>0</v>
      </c>
      <c r="K80" s="10">
        <f t="shared" si="67"/>
        <v>0</v>
      </c>
      <c r="L80" s="10">
        <f t="shared" si="68"/>
        <v>0</v>
      </c>
      <c r="M80" s="47"/>
      <c r="Z80" s="10">
        <f t="shared" si="69"/>
        <v>0</v>
      </c>
      <c r="AB80" s="10">
        <f t="shared" si="70"/>
        <v>0</v>
      </c>
      <c r="AC80" s="10">
        <f t="shared" si="71"/>
        <v>0</v>
      </c>
      <c r="AD80" s="10">
        <f t="shared" si="72"/>
        <v>0</v>
      </c>
      <c r="AE80" s="10">
        <f t="shared" si="73"/>
        <v>0</v>
      </c>
      <c r="AF80" s="10">
        <f t="shared" si="74"/>
        <v>0</v>
      </c>
      <c r="AG80" s="10">
        <f t="shared" si="75"/>
        <v>0</v>
      </c>
      <c r="AH80" s="10">
        <f t="shared" si="76"/>
        <v>0</v>
      </c>
      <c r="AI80" s="43" t="s">
        <v>44</v>
      </c>
      <c r="AJ80" s="10">
        <f t="shared" si="77"/>
        <v>0</v>
      </c>
      <c r="AK80" s="10">
        <f t="shared" si="78"/>
        <v>0</v>
      </c>
      <c r="AL80" s="10">
        <f t="shared" si="79"/>
        <v>0</v>
      </c>
      <c r="AN80" s="10">
        <v>21</v>
      </c>
      <c r="AO80" s="10">
        <f>I80*0.654088422297797</f>
        <v>0</v>
      </c>
      <c r="AP80" s="10">
        <f>I80*(1-0.654088422297797)</f>
        <v>0</v>
      </c>
      <c r="AQ80" s="41" t="s">
        <v>68</v>
      </c>
      <c r="AV80" s="10">
        <f t="shared" si="80"/>
        <v>0</v>
      </c>
      <c r="AW80" s="10">
        <f t="shared" si="81"/>
        <v>0</v>
      </c>
      <c r="AX80" s="10">
        <f t="shared" si="82"/>
        <v>0</v>
      </c>
      <c r="AY80" s="41" t="s">
        <v>153</v>
      </c>
      <c r="AZ80" s="41" t="s">
        <v>153</v>
      </c>
      <c r="BA80" s="43" t="s">
        <v>51</v>
      </c>
      <c r="BC80" s="10">
        <f t="shared" si="83"/>
        <v>0</v>
      </c>
      <c r="BD80" s="10">
        <f t="shared" si="84"/>
        <v>0</v>
      </c>
      <c r="BE80" s="10">
        <v>0</v>
      </c>
      <c r="BF80" s="10">
        <f>80</f>
        <v>80</v>
      </c>
      <c r="BH80" s="10">
        <f t="shared" si="85"/>
        <v>0</v>
      </c>
      <c r="BI80" s="10">
        <f t="shared" si="86"/>
        <v>0</v>
      </c>
      <c r="BJ80" s="10">
        <f t="shared" si="87"/>
        <v>0</v>
      </c>
      <c r="BK80" s="10"/>
      <c r="BL80" s="10">
        <v>72</v>
      </c>
    </row>
    <row r="81" spans="2:64" ht="15" customHeight="1">
      <c r="B81" s="25" t="s">
        <v>197</v>
      </c>
      <c r="C81" s="62" t="s">
        <v>198</v>
      </c>
      <c r="D81" s="62"/>
      <c r="E81" s="62"/>
      <c r="F81" s="62"/>
      <c r="G81" s="23" t="s">
        <v>60</v>
      </c>
      <c r="H81" s="10">
        <v>1</v>
      </c>
      <c r="I81" s="53">
        <v>0</v>
      </c>
      <c r="J81" s="10">
        <f t="shared" si="66"/>
        <v>0</v>
      </c>
      <c r="K81" s="10">
        <f t="shared" si="67"/>
        <v>0</v>
      </c>
      <c r="L81" s="10">
        <f t="shared" si="68"/>
        <v>0</v>
      </c>
      <c r="M81" s="47"/>
      <c r="Z81" s="10">
        <f t="shared" si="69"/>
        <v>0</v>
      </c>
      <c r="AB81" s="10">
        <f t="shared" si="70"/>
        <v>0</v>
      </c>
      <c r="AC81" s="10">
        <f t="shared" si="71"/>
        <v>0</v>
      </c>
      <c r="AD81" s="10">
        <f t="shared" si="72"/>
        <v>0</v>
      </c>
      <c r="AE81" s="10">
        <f t="shared" si="73"/>
        <v>0</v>
      </c>
      <c r="AF81" s="10">
        <f t="shared" si="74"/>
        <v>0</v>
      </c>
      <c r="AG81" s="10">
        <f t="shared" si="75"/>
        <v>0</v>
      </c>
      <c r="AH81" s="10">
        <f t="shared" si="76"/>
        <v>0</v>
      </c>
      <c r="AI81" s="43" t="s">
        <v>44</v>
      </c>
      <c r="AJ81" s="10">
        <f t="shared" si="77"/>
        <v>0</v>
      </c>
      <c r="AK81" s="10">
        <f t="shared" si="78"/>
        <v>0</v>
      </c>
      <c r="AL81" s="10">
        <f t="shared" si="79"/>
        <v>0</v>
      </c>
      <c r="AN81" s="10">
        <v>21</v>
      </c>
      <c r="AO81" s="10">
        <f>I81*0.555102584598988</f>
        <v>0</v>
      </c>
      <c r="AP81" s="10">
        <f>I81*(1-0.555102584598988)</f>
        <v>0</v>
      </c>
      <c r="AQ81" s="41" t="s">
        <v>68</v>
      </c>
      <c r="AV81" s="10">
        <f t="shared" si="80"/>
        <v>0</v>
      </c>
      <c r="AW81" s="10">
        <f t="shared" si="81"/>
        <v>0</v>
      </c>
      <c r="AX81" s="10">
        <f t="shared" si="82"/>
        <v>0</v>
      </c>
      <c r="AY81" s="41" t="s">
        <v>153</v>
      </c>
      <c r="AZ81" s="41" t="s">
        <v>153</v>
      </c>
      <c r="BA81" s="43" t="s">
        <v>51</v>
      </c>
      <c r="BC81" s="10">
        <f t="shared" si="83"/>
        <v>0</v>
      </c>
      <c r="BD81" s="10">
        <f t="shared" si="84"/>
        <v>0</v>
      </c>
      <c r="BE81" s="10">
        <v>0</v>
      </c>
      <c r="BF81" s="10">
        <f>81</f>
        <v>81</v>
      </c>
      <c r="BH81" s="10">
        <f t="shared" si="85"/>
        <v>0</v>
      </c>
      <c r="BI81" s="10">
        <f t="shared" si="86"/>
        <v>0</v>
      </c>
      <c r="BJ81" s="10">
        <f t="shared" si="87"/>
        <v>0</v>
      </c>
      <c r="BK81" s="10"/>
      <c r="BL81" s="10">
        <v>72</v>
      </c>
    </row>
    <row r="82" spans="2:64" ht="15" customHeight="1">
      <c r="B82" s="25" t="s">
        <v>199</v>
      </c>
      <c r="C82" s="62" t="s">
        <v>200</v>
      </c>
      <c r="D82" s="62"/>
      <c r="E82" s="62"/>
      <c r="F82" s="62"/>
      <c r="G82" s="23" t="s">
        <v>60</v>
      </c>
      <c r="H82" s="10">
        <v>1</v>
      </c>
      <c r="I82" s="53">
        <v>0</v>
      </c>
      <c r="J82" s="10">
        <f t="shared" si="66"/>
        <v>0</v>
      </c>
      <c r="K82" s="10">
        <f t="shared" si="67"/>
        <v>0</v>
      </c>
      <c r="L82" s="10">
        <f t="shared" si="68"/>
        <v>0</v>
      </c>
      <c r="M82" s="47"/>
      <c r="Z82" s="10">
        <f t="shared" si="69"/>
        <v>0</v>
      </c>
      <c r="AB82" s="10">
        <f t="shared" si="70"/>
        <v>0</v>
      </c>
      <c r="AC82" s="10">
        <f t="shared" si="71"/>
        <v>0</v>
      </c>
      <c r="AD82" s="10">
        <f t="shared" si="72"/>
        <v>0</v>
      </c>
      <c r="AE82" s="10">
        <f t="shared" si="73"/>
        <v>0</v>
      </c>
      <c r="AF82" s="10">
        <f t="shared" si="74"/>
        <v>0</v>
      </c>
      <c r="AG82" s="10">
        <f t="shared" si="75"/>
        <v>0</v>
      </c>
      <c r="AH82" s="10">
        <f t="shared" si="76"/>
        <v>0</v>
      </c>
      <c r="AI82" s="43" t="s">
        <v>44</v>
      </c>
      <c r="AJ82" s="10">
        <f t="shared" si="77"/>
        <v>0</v>
      </c>
      <c r="AK82" s="10">
        <f t="shared" si="78"/>
        <v>0</v>
      </c>
      <c r="AL82" s="10">
        <f t="shared" si="79"/>
        <v>0</v>
      </c>
      <c r="AN82" s="10">
        <v>21</v>
      </c>
      <c r="AO82" s="10">
        <f>I82*0.485234042553191</f>
        <v>0</v>
      </c>
      <c r="AP82" s="10">
        <f>I82*(1-0.485234042553191)</f>
        <v>0</v>
      </c>
      <c r="AQ82" s="41" t="s">
        <v>68</v>
      </c>
      <c r="AV82" s="10">
        <f t="shared" si="80"/>
        <v>0</v>
      </c>
      <c r="AW82" s="10">
        <f t="shared" si="81"/>
        <v>0</v>
      </c>
      <c r="AX82" s="10">
        <f t="shared" si="82"/>
        <v>0</v>
      </c>
      <c r="AY82" s="41" t="s">
        <v>153</v>
      </c>
      <c r="AZ82" s="41" t="s">
        <v>153</v>
      </c>
      <c r="BA82" s="43" t="s">
        <v>51</v>
      </c>
      <c r="BC82" s="10">
        <f t="shared" si="83"/>
        <v>0</v>
      </c>
      <c r="BD82" s="10">
        <f t="shared" si="84"/>
        <v>0</v>
      </c>
      <c r="BE82" s="10">
        <v>0</v>
      </c>
      <c r="BF82" s="10">
        <f>82</f>
        <v>82</v>
      </c>
      <c r="BH82" s="10">
        <f t="shared" si="85"/>
        <v>0</v>
      </c>
      <c r="BI82" s="10">
        <f t="shared" si="86"/>
        <v>0</v>
      </c>
      <c r="BJ82" s="10">
        <f t="shared" si="87"/>
        <v>0</v>
      </c>
      <c r="BK82" s="10"/>
      <c r="BL82" s="10">
        <v>72</v>
      </c>
    </row>
    <row r="83" spans="2:64" ht="15" customHeight="1">
      <c r="B83" s="25" t="s">
        <v>201</v>
      </c>
      <c r="C83" s="62" t="s">
        <v>202</v>
      </c>
      <c r="D83" s="62"/>
      <c r="E83" s="62"/>
      <c r="F83" s="62"/>
      <c r="G83" s="23" t="s">
        <v>60</v>
      </c>
      <c r="H83" s="10">
        <v>2</v>
      </c>
      <c r="I83" s="53">
        <v>0</v>
      </c>
      <c r="J83" s="10">
        <f t="shared" si="66"/>
        <v>0</v>
      </c>
      <c r="K83" s="10">
        <f t="shared" si="67"/>
        <v>0</v>
      </c>
      <c r="L83" s="10">
        <f t="shared" si="68"/>
        <v>0</v>
      </c>
      <c r="M83" s="47"/>
      <c r="Z83" s="10">
        <f t="shared" si="69"/>
        <v>0</v>
      </c>
      <c r="AB83" s="10">
        <f t="shared" si="70"/>
        <v>0</v>
      </c>
      <c r="AC83" s="10">
        <f t="shared" si="71"/>
        <v>0</v>
      </c>
      <c r="AD83" s="10">
        <f t="shared" si="72"/>
        <v>0</v>
      </c>
      <c r="AE83" s="10">
        <f t="shared" si="73"/>
        <v>0</v>
      </c>
      <c r="AF83" s="10">
        <f t="shared" si="74"/>
        <v>0</v>
      </c>
      <c r="AG83" s="10">
        <f t="shared" si="75"/>
        <v>0</v>
      </c>
      <c r="AH83" s="10">
        <f t="shared" si="76"/>
        <v>0</v>
      </c>
      <c r="AI83" s="43" t="s">
        <v>44</v>
      </c>
      <c r="AJ83" s="10">
        <f t="shared" si="77"/>
        <v>0</v>
      </c>
      <c r="AK83" s="10">
        <f t="shared" si="78"/>
        <v>0</v>
      </c>
      <c r="AL83" s="10">
        <f t="shared" si="79"/>
        <v>0</v>
      </c>
      <c r="AN83" s="10">
        <v>21</v>
      </c>
      <c r="AO83" s="10">
        <f>I83*0.42360201511335</f>
        <v>0</v>
      </c>
      <c r="AP83" s="10">
        <f>I83*(1-0.42360201511335)</f>
        <v>0</v>
      </c>
      <c r="AQ83" s="41" t="s">
        <v>68</v>
      </c>
      <c r="AV83" s="10">
        <f t="shared" si="80"/>
        <v>0</v>
      </c>
      <c r="AW83" s="10">
        <f t="shared" si="81"/>
        <v>0</v>
      </c>
      <c r="AX83" s="10">
        <f t="shared" si="82"/>
        <v>0</v>
      </c>
      <c r="AY83" s="41" t="s">
        <v>153</v>
      </c>
      <c r="AZ83" s="41" t="s">
        <v>153</v>
      </c>
      <c r="BA83" s="43" t="s">
        <v>51</v>
      </c>
      <c r="BC83" s="10">
        <f t="shared" si="83"/>
        <v>0</v>
      </c>
      <c r="BD83" s="10">
        <f t="shared" si="84"/>
        <v>0</v>
      </c>
      <c r="BE83" s="10">
        <v>0</v>
      </c>
      <c r="BF83" s="10">
        <f>83</f>
        <v>83</v>
      </c>
      <c r="BH83" s="10">
        <f t="shared" si="85"/>
        <v>0</v>
      </c>
      <c r="BI83" s="10">
        <f t="shared" si="86"/>
        <v>0</v>
      </c>
      <c r="BJ83" s="10">
        <f t="shared" si="87"/>
        <v>0</v>
      </c>
      <c r="BK83" s="10"/>
      <c r="BL83" s="10">
        <v>72</v>
      </c>
    </row>
    <row r="84" spans="2:64" ht="15" customHeight="1">
      <c r="B84" s="25" t="s">
        <v>203</v>
      </c>
      <c r="C84" s="62" t="s">
        <v>204</v>
      </c>
      <c r="D84" s="62"/>
      <c r="E84" s="62"/>
      <c r="F84" s="62"/>
      <c r="G84" s="23" t="s">
        <v>55</v>
      </c>
      <c r="H84" s="10">
        <v>180</v>
      </c>
      <c r="I84" s="53">
        <v>0</v>
      </c>
      <c r="J84" s="10">
        <f t="shared" si="66"/>
        <v>0</v>
      </c>
      <c r="K84" s="10">
        <f t="shared" si="67"/>
        <v>0</v>
      </c>
      <c r="L84" s="10">
        <f t="shared" si="68"/>
        <v>0</v>
      </c>
      <c r="M84" s="47"/>
      <c r="Z84" s="10">
        <f t="shared" si="69"/>
        <v>0</v>
      </c>
      <c r="AB84" s="10">
        <f t="shared" si="70"/>
        <v>0</v>
      </c>
      <c r="AC84" s="10">
        <f t="shared" si="71"/>
        <v>0</v>
      </c>
      <c r="AD84" s="10">
        <f t="shared" si="72"/>
        <v>0</v>
      </c>
      <c r="AE84" s="10">
        <f t="shared" si="73"/>
        <v>0</v>
      </c>
      <c r="AF84" s="10">
        <f t="shared" si="74"/>
        <v>0</v>
      </c>
      <c r="AG84" s="10">
        <f t="shared" si="75"/>
        <v>0</v>
      </c>
      <c r="AH84" s="10">
        <f t="shared" si="76"/>
        <v>0</v>
      </c>
      <c r="AI84" s="43" t="s">
        <v>44</v>
      </c>
      <c r="AJ84" s="10">
        <f t="shared" si="77"/>
        <v>0</v>
      </c>
      <c r="AK84" s="10">
        <f t="shared" si="78"/>
        <v>0</v>
      </c>
      <c r="AL84" s="10">
        <f t="shared" si="79"/>
        <v>0</v>
      </c>
      <c r="AN84" s="10">
        <v>21</v>
      </c>
      <c r="AO84" s="10">
        <f>I84*0.188939051918736</f>
        <v>0</v>
      </c>
      <c r="AP84" s="10">
        <f>I84*(1-0.188939051918736)</f>
        <v>0</v>
      </c>
      <c r="AQ84" s="41" t="s">
        <v>68</v>
      </c>
      <c r="AV84" s="10">
        <f t="shared" si="80"/>
        <v>0</v>
      </c>
      <c r="AW84" s="10">
        <f t="shared" si="81"/>
        <v>0</v>
      </c>
      <c r="AX84" s="10">
        <f t="shared" si="82"/>
        <v>0</v>
      </c>
      <c r="AY84" s="41" t="s">
        <v>153</v>
      </c>
      <c r="AZ84" s="41" t="s">
        <v>153</v>
      </c>
      <c r="BA84" s="43" t="s">
        <v>51</v>
      </c>
      <c r="BC84" s="10">
        <f t="shared" si="83"/>
        <v>0</v>
      </c>
      <c r="BD84" s="10">
        <f t="shared" si="84"/>
        <v>0</v>
      </c>
      <c r="BE84" s="10">
        <v>0</v>
      </c>
      <c r="BF84" s="10">
        <f>84</f>
        <v>84</v>
      </c>
      <c r="BH84" s="10">
        <f t="shared" si="85"/>
        <v>0</v>
      </c>
      <c r="BI84" s="10">
        <f t="shared" si="86"/>
        <v>0</v>
      </c>
      <c r="BJ84" s="10">
        <f t="shared" si="87"/>
        <v>0</v>
      </c>
      <c r="BK84" s="10"/>
      <c r="BL84" s="10">
        <v>72</v>
      </c>
    </row>
    <row r="85" spans="2:64" ht="15" customHeight="1">
      <c r="B85" s="25" t="s">
        <v>205</v>
      </c>
      <c r="C85" s="62" t="s">
        <v>204</v>
      </c>
      <c r="D85" s="62"/>
      <c r="E85" s="62"/>
      <c r="F85" s="62"/>
      <c r="G85" s="23" t="s">
        <v>55</v>
      </c>
      <c r="H85" s="10">
        <v>41</v>
      </c>
      <c r="I85" s="53">
        <v>0</v>
      </c>
      <c r="J85" s="10">
        <f t="shared" si="66"/>
        <v>0</v>
      </c>
      <c r="K85" s="10">
        <f t="shared" si="67"/>
        <v>0</v>
      </c>
      <c r="L85" s="10">
        <f t="shared" si="68"/>
        <v>0</v>
      </c>
      <c r="M85" s="47"/>
      <c r="Z85" s="10">
        <f t="shared" si="69"/>
        <v>0</v>
      </c>
      <c r="AB85" s="10">
        <f t="shared" si="70"/>
        <v>0</v>
      </c>
      <c r="AC85" s="10">
        <f t="shared" si="71"/>
        <v>0</v>
      </c>
      <c r="AD85" s="10">
        <f t="shared" si="72"/>
        <v>0</v>
      </c>
      <c r="AE85" s="10">
        <f t="shared" si="73"/>
        <v>0</v>
      </c>
      <c r="AF85" s="10">
        <f t="shared" si="74"/>
        <v>0</v>
      </c>
      <c r="AG85" s="10">
        <f t="shared" si="75"/>
        <v>0</v>
      </c>
      <c r="AH85" s="10">
        <f t="shared" si="76"/>
        <v>0</v>
      </c>
      <c r="AI85" s="43" t="s">
        <v>44</v>
      </c>
      <c r="AJ85" s="10">
        <f t="shared" si="77"/>
        <v>0</v>
      </c>
      <c r="AK85" s="10">
        <f t="shared" si="78"/>
        <v>0</v>
      </c>
      <c r="AL85" s="10">
        <f t="shared" si="79"/>
        <v>0</v>
      </c>
      <c r="AN85" s="10">
        <v>21</v>
      </c>
      <c r="AO85" s="10">
        <f>I85*0.212685714285714</f>
        <v>0</v>
      </c>
      <c r="AP85" s="10">
        <f>I85*(1-0.212685714285714)</f>
        <v>0</v>
      </c>
      <c r="AQ85" s="41" t="s">
        <v>68</v>
      </c>
      <c r="AV85" s="10">
        <f t="shared" si="80"/>
        <v>0</v>
      </c>
      <c r="AW85" s="10">
        <f t="shared" si="81"/>
        <v>0</v>
      </c>
      <c r="AX85" s="10">
        <f t="shared" si="82"/>
        <v>0</v>
      </c>
      <c r="AY85" s="41" t="s">
        <v>153</v>
      </c>
      <c r="AZ85" s="41" t="s">
        <v>153</v>
      </c>
      <c r="BA85" s="43" t="s">
        <v>51</v>
      </c>
      <c r="BC85" s="10">
        <f t="shared" si="83"/>
        <v>0</v>
      </c>
      <c r="BD85" s="10">
        <f t="shared" si="84"/>
        <v>0</v>
      </c>
      <c r="BE85" s="10">
        <v>0</v>
      </c>
      <c r="BF85" s="10">
        <f>85</f>
        <v>85</v>
      </c>
      <c r="BH85" s="10">
        <f t="shared" si="85"/>
        <v>0</v>
      </c>
      <c r="BI85" s="10">
        <f t="shared" si="86"/>
        <v>0</v>
      </c>
      <c r="BJ85" s="10">
        <f t="shared" si="87"/>
        <v>0</v>
      </c>
      <c r="BK85" s="10"/>
      <c r="BL85" s="10">
        <v>72</v>
      </c>
    </row>
    <row r="86" spans="2:64" ht="15" customHeight="1">
      <c r="B86" s="25" t="s">
        <v>206</v>
      </c>
      <c r="C86" s="62" t="s">
        <v>204</v>
      </c>
      <c r="D86" s="62"/>
      <c r="E86" s="62"/>
      <c r="F86" s="62"/>
      <c r="G86" s="23" t="s">
        <v>55</v>
      </c>
      <c r="H86" s="10">
        <v>25</v>
      </c>
      <c r="I86" s="53">
        <v>0</v>
      </c>
      <c r="J86" s="10">
        <f t="shared" si="66"/>
        <v>0</v>
      </c>
      <c r="K86" s="10">
        <f t="shared" si="67"/>
        <v>0</v>
      </c>
      <c r="L86" s="10">
        <f t="shared" si="68"/>
        <v>0</v>
      </c>
      <c r="M86" s="47"/>
      <c r="Z86" s="10">
        <f t="shared" si="69"/>
        <v>0</v>
      </c>
      <c r="AB86" s="10">
        <f t="shared" si="70"/>
        <v>0</v>
      </c>
      <c r="AC86" s="10">
        <f t="shared" si="71"/>
        <v>0</v>
      </c>
      <c r="AD86" s="10">
        <f t="shared" si="72"/>
        <v>0</v>
      </c>
      <c r="AE86" s="10">
        <f t="shared" si="73"/>
        <v>0</v>
      </c>
      <c r="AF86" s="10">
        <f t="shared" si="74"/>
        <v>0</v>
      </c>
      <c r="AG86" s="10">
        <f t="shared" si="75"/>
        <v>0</v>
      </c>
      <c r="AH86" s="10">
        <f t="shared" si="76"/>
        <v>0</v>
      </c>
      <c r="AI86" s="43" t="s">
        <v>44</v>
      </c>
      <c r="AJ86" s="10">
        <f t="shared" si="77"/>
        <v>0</v>
      </c>
      <c r="AK86" s="10">
        <f t="shared" si="78"/>
        <v>0</v>
      </c>
      <c r="AL86" s="10">
        <f t="shared" si="79"/>
        <v>0</v>
      </c>
      <c r="AN86" s="10">
        <v>21</v>
      </c>
      <c r="AO86" s="10">
        <f>I86*0.218151815181518</f>
        <v>0</v>
      </c>
      <c r="AP86" s="10">
        <f>I86*(1-0.218151815181518)</f>
        <v>0</v>
      </c>
      <c r="AQ86" s="41" t="s">
        <v>68</v>
      </c>
      <c r="AV86" s="10">
        <f t="shared" si="80"/>
        <v>0</v>
      </c>
      <c r="AW86" s="10">
        <f t="shared" si="81"/>
        <v>0</v>
      </c>
      <c r="AX86" s="10">
        <f t="shared" si="82"/>
        <v>0</v>
      </c>
      <c r="AY86" s="41" t="s">
        <v>153</v>
      </c>
      <c r="AZ86" s="41" t="s">
        <v>153</v>
      </c>
      <c r="BA86" s="43" t="s">
        <v>51</v>
      </c>
      <c r="BC86" s="10">
        <f t="shared" si="83"/>
        <v>0</v>
      </c>
      <c r="BD86" s="10">
        <f t="shared" si="84"/>
        <v>0</v>
      </c>
      <c r="BE86" s="10">
        <v>0</v>
      </c>
      <c r="BF86" s="10">
        <f>86</f>
        <v>86</v>
      </c>
      <c r="BH86" s="10">
        <f t="shared" si="85"/>
        <v>0</v>
      </c>
      <c r="BI86" s="10">
        <f t="shared" si="86"/>
        <v>0</v>
      </c>
      <c r="BJ86" s="10">
        <f t="shared" si="87"/>
        <v>0</v>
      </c>
      <c r="BK86" s="10"/>
      <c r="BL86" s="10">
        <v>72</v>
      </c>
    </row>
    <row r="87" spans="2:64" ht="15" customHeight="1">
      <c r="B87" s="25" t="s">
        <v>207</v>
      </c>
      <c r="C87" s="62" t="s">
        <v>204</v>
      </c>
      <c r="D87" s="62"/>
      <c r="E87" s="62"/>
      <c r="F87" s="62"/>
      <c r="G87" s="23" t="s">
        <v>55</v>
      </c>
      <c r="H87" s="10">
        <v>38</v>
      </c>
      <c r="I87" s="53">
        <v>0</v>
      </c>
      <c r="J87" s="10">
        <f t="shared" si="66"/>
        <v>0</v>
      </c>
      <c r="K87" s="10">
        <f t="shared" si="67"/>
        <v>0</v>
      </c>
      <c r="L87" s="10">
        <f t="shared" si="68"/>
        <v>0</v>
      </c>
      <c r="M87" s="47"/>
      <c r="Z87" s="10">
        <f t="shared" si="69"/>
        <v>0</v>
      </c>
      <c r="AB87" s="10">
        <f t="shared" si="70"/>
        <v>0</v>
      </c>
      <c r="AC87" s="10">
        <f t="shared" si="71"/>
        <v>0</v>
      </c>
      <c r="AD87" s="10">
        <f t="shared" si="72"/>
        <v>0</v>
      </c>
      <c r="AE87" s="10">
        <f t="shared" si="73"/>
        <v>0</v>
      </c>
      <c r="AF87" s="10">
        <f t="shared" si="74"/>
        <v>0</v>
      </c>
      <c r="AG87" s="10">
        <f t="shared" si="75"/>
        <v>0</v>
      </c>
      <c r="AH87" s="10">
        <f t="shared" si="76"/>
        <v>0</v>
      </c>
      <c r="AI87" s="43" t="s">
        <v>44</v>
      </c>
      <c r="AJ87" s="10">
        <f t="shared" si="77"/>
        <v>0</v>
      </c>
      <c r="AK87" s="10">
        <f t="shared" si="78"/>
        <v>0</v>
      </c>
      <c r="AL87" s="10">
        <f t="shared" si="79"/>
        <v>0</v>
      </c>
      <c r="AN87" s="10">
        <v>21</v>
      </c>
      <c r="AO87" s="10">
        <f>I87*0.276867816091954</f>
        <v>0</v>
      </c>
      <c r="AP87" s="10">
        <f>I87*(1-0.276867816091954)</f>
        <v>0</v>
      </c>
      <c r="AQ87" s="41" t="s">
        <v>68</v>
      </c>
      <c r="AV87" s="10">
        <f t="shared" si="80"/>
        <v>0</v>
      </c>
      <c r="AW87" s="10">
        <f t="shared" si="81"/>
        <v>0</v>
      </c>
      <c r="AX87" s="10">
        <f t="shared" si="82"/>
        <v>0</v>
      </c>
      <c r="AY87" s="41" t="s">
        <v>153</v>
      </c>
      <c r="AZ87" s="41" t="s">
        <v>153</v>
      </c>
      <c r="BA87" s="43" t="s">
        <v>51</v>
      </c>
      <c r="BC87" s="10">
        <f t="shared" si="83"/>
        <v>0</v>
      </c>
      <c r="BD87" s="10">
        <f t="shared" si="84"/>
        <v>0</v>
      </c>
      <c r="BE87" s="10">
        <v>0</v>
      </c>
      <c r="BF87" s="10">
        <f>87</f>
        <v>87</v>
      </c>
      <c r="BH87" s="10">
        <f t="shared" si="85"/>
        <v>0</v>
      </c>
      <c r="BI87" s="10">
        <f t="shared" si="86"/>
        <v>0</v>
      </c>
      <c r="BJ87" s="10">
        <f t="shared" si="87"/>
        <v>0</v>
      </c>
      <c r="BK87" s="10"/>
      <c r="BL87" s="10">
        <v>72</v>
      </c>
    </row>
    <row r="88" spans="2:64" ht="15" customHeight="1">
      <c r="B88" s="25" t="s">
        <v>208</v>
      </c>
      <c r="C88" s="62" t="s">
        <v>209</v>
      </c>
      <c r="D88" s="62"/>
      <c r="E88" s="62"/>
      <c r="F88" s="62"/>
      <c r="G88" s="23" t="s">
        <v>60</v>
      </c>
      <c r="H88" s="10">
        <v>18</v>
      </c>
      <c r="I88" s="53">
        <v>0</v>
      </c>
      <c r="J88" s="10">
        <f t="shared" si="66"/>
        <v>0</v>
      </c>
      <c r="K88" s="10">
        <f t="shared" si="67"/>
        <v>0</v>
      </c>
      <c r="L88" s="10">
        <f t="shared" si="68"/>
        <v>0</v>
      </c>
      <c r="M88" s="47"/>
      <c r="Z88" s="10">
        <f t="shared" si="69"/>
        <v>0</v>
      </c>
      <c r="AB88" s="10">
        <f t="shared" si="70"/>
        <v>0</v>
      </c>
      <c r="AC88" s="10">
        <f t="shared" si="71"/>
        <v>0</v>
      </c>
      <c r="AD88" s="10">
        <f t="shared" si="72"/>
        <v>0</v>
      </c>
      <c r="AE88" s="10">
        <f t="shared" si="73"/>
        <v>0</v>
      </c>
      <c r="AF88" s="10">
        <f t="shared" si="74"/>
        <v>0</v>
      </c>
      <c r="AG88" s="10">
        <f t="shared" si="75"/>
        <v>0</v>
      </c>
      <c r="AH88" s="10">
        <f t="shared" si="76"/>
        <v>0</v>
      </c>
      <c r="AI88" s="43" t="s">
        <v>44</v>
      </c>
      <c r="AJ88" s="10">
        <f t="shared" si="77"/>
        <v>0</v>
      </c>
      <c r="AK88" s="10">
        <f t="shared" si="78"/>
        <v>0</v>
      </c>
      <c r="AL88" s="10">
        <f t="shared" si="79"/>
        <v>0</v>
      </c>
      <c r="AN88" s="10">
        <v>21</v>
      </c>
      <c r="AO88" s="10">
        <f>I88*0.813046021840874</f>
        <v>0</v>
      </c>
      <c r="AP88" s="10">
        <f>I88*(1-0.813046021840874)</f>
        <v>0</v>
      </c>
      <c r="AQ88" s="41" t="s">
        <v>68</v>
      </c>
      <c r="AV88" s="10">
        <f t="shared" si="80"/>
        <v>0</v>
      </c>
      <c r="AW88" s="10">
        <f t="shared" si="81"/>
        <v>0</v>
      </c>
      <c r="AX88" s="10">
        <f t="shared" si="82"/>
        <v>0</v>
      </c>
      <c r="AY88" s="41" t="s">
        <v>153</v>
      </c>
      <c r="AZ88" s="41" t="s">
        <v>153</v>
      </c>
      <c r="BA88" s="43" t="s">
        <v>51</v>
      </c>
      <c r="BC88" s="10">
        <f t="shared" si="83"/>
        <v>0</v>
      </c>
      <c r="BD88" s="10">
        <f t="shared" si="84"/>
        <v>0</v>
      </c>
      <c r="BE88" s="10">
        <v>0</v>
      </c>
      <c r="BF88" s="10">
        <f>88</f>
        <v>88</v>
      </c>
      <c r="BH88" s="10">
        <f t="shared" si="85"/>
        <v>0</v>
      </c>
      <c r="BI88" s="10">
        <f t="shared" si="86"/>
        <v>0</v>
      </c>
      <c r="BJ88" s="10">
        <f t="shared" si="87"/>
        <v>0</v>
      </c>
      <c r="BK88" s="10"/>
      <c r="BL88" s="10">
        <v>72</v>
      </c>
    </row>
    <row r="89" spans="2:64" ht="15" customHeight="1">
      <c r="B89" s="25" t="s">
        <v>210</v>
      </c>
      <c r="C89" s="62" t="s">
        <v>211</v>
      </c>
      <c r="D89" s="62"/>
      <c r="E89" s="62"/>
      <c r="F89" s="62"/>
      <c r="G89" s="23" t="s">
        <v>60</v>
      </c>
      <c r="H89" s="10">
        <v>1</v>
      </c>
      <c r="I89" s="53">
        <v>0</v>
      </c>
      <c r="J89" s="10">
        <f t="shared" si="66"/>
        <v>0</v>
      </c>
      <c r="K89" s="10">
        <f t="shared" si="67"/>
        <v>0</v>
      </c>
      <c r="L89" s="10">
        <f t="shared" si="68"/>
        <v>0</v>
      </c>
      <c r="M89" s="47"/>
      <c r="Z89" s="10">
        <f t="shared" si="69"/>
        <v>0</v>
      </c>
      <c r="AB89" s="10">
        <f t="shared" si="70"/>
        <v>0</v>
      </c>
      <c r="AC89" s="10">
        <f t="shared" si="71"/>
        <v>0</v>
      </c>
      <c r="AD89" s="10">
        <f t="shared" si="72"/>
        <v>0</v>
      </c>
      <c r="AE89" s="10">
        <f t="shared" si="73"/>
        <v>0</v>
      </c>
      <c r="AF89" s="10">
        <f t="shared" si="74"/>
        <v>0</v>
      </c>
      <c r="AG89" s="10">
        <f t="shared" si="75"/>
        <v>0</v>
      </c>
      <c r="AH89" s="10">
        <f t="shared" si="76"/>
        <v>0</v>
      </c>
      <c r="AI89" s="43" t="s">
        <v>44</v>
      </c>
      <c r="AJ89" s="10">
        <f t="shared" si="77"/>
        <v>0</v>
      </c>
      <c r="AK89" s="10">
        <f t="shared" si="78"/>
        <v>0</v>
      </c>
      <c r="AL89" s="10">
        <f t="shared" si="79"/>
        <v>0</v>
      </c>
      <c r="AN89" s="10">
        <v>21</v>
      </c>
      <c r="AO89" s="10">
        <f>I89*0.827706422018349</f>
        <v>0</v>
      </c>
      <c r="AP89" s="10">
        <f>I89*(1-0.827706422018349)</f>
        <v>0</v>
      </c>
      <c r="AQ89" s="41" t="s">
        <v>68</v>
      </c>
      <c r="AV89" s="10">
        <f t="shared" si="80"/>
        <v>0</v>
      </c>
      <c r="AW89" s="10">
        <f t="shared" si="81"/>
        <v>0</v>
      </c>
      <c r="AX89" s="10">
        <f t="shared" si="82"/>
        <v>0</v>
      </c>
      <c r="AY89" s="41" t="s">
        <v>153</v>
      </c>
      <c r="AZ89" s="41" t="s">
        <v>153</v>
      </c>
      <c r="BA89" s="43" t="s">
        <v>51</v>
      </c>
      <c r="BC89" s="10">
        <f t="shared" si="83"/>
        <v>0</v>
      </c>
      <c r="BD89" s="10">
        <f t="shared" si="84"/>
        <v>0</v>
      </c>
      <c r="BE89" s="10">
        <v>0</v>
      </c>
      <c r="BF89" s="10">
        <f>89</f>
        <v>89</v>
      </c>
      <c r="BH89" s="10">
        <f t="shared" si="85"/>
        <v>0</v>
      </c>
      <c r="BI89" s="10">
        <f t="shared" si="86"/>
        <v>0</v>
      </c>
      <c r="BJ89" s="10">
        <f t="shared" si="87"/>
        <v>0</v>
      </c>
      <c r="BK89" s="10"/>
      <c r="BL89" s="10">
        <v>72</v>
      </c>
    </row>
    <row r="90" spans="2:64" ht="15" customHeight="1">
      <c r="B90" s="25" t="s">
        <v>212</v>
      </c>
      <c r="C90" s="62" t="s">
        <v>213</v>
      </c>
      <c r="D90" s="62"/>
      <c r="E90" s="62"/>
      <c r="F90" s="62"/>
      <c r="G90" s="23" t="s">
        <v>60</v>
      </c>
      <c r="H90" s="10">
        <v>2</v>
      </c>
      <c r="I90" s="53">
        <v>0</v>
      </c>
      <c r="J90" s="10">
        <f t="shared" si="66"/>
        <v>0</v>
      </c>
      <c r="K90" s="10">
        <f t="shared" si="67"/>
        <v>0</v>
      </c>
      <c r="L90" s="10">
        <f t="shared" si="68"/>
        <v>0</v>
      </c>
      <c r="M90" s="47"/>
      <c r="Z90" s="10">
        <f t="shared" si="69"/>
        <v>0</v>
      </c>
      <c r="AB90" s="10">
        <f t="shared" si="70"/>
        <v>0</v>
      </c>
      <c r="AC90" s="10">
        <f t="shared" si="71"/>
        <v>0</v>
      </c>
      <c r="AD90" s="10">
        <f t="shared" si="72"/>
        <v>0</v>
      </c>
      <c r="AE90" s="10">
        <f t="shared" si="73"/>
        <v>0</v>
      </c>
      <c r="AF90" s="10">
        <f t="shared" si="74"/>
        <v>0</v>
      </c>
      <c r="AG90" s="10">
        <f t="shared" si="75"/>
        <v>0</v>
      </c>
      <c r="AH90" s="10">
        <f t="shared" si="76"/>
        <v>0</v>
      </c>
      <c r="AI90" s="43" t="s">
        <v>44</v>
      </c>
      <c r="AJ90" s="10">
        <f t="shared" si="77"/>
        <v>0</v>
      </c>
      <c r="AK90" s="10">
        <f t="shared" si="78"/>
        <v>0</v>
      </c>
      <c r="AL90" s="10">
        <f t="shared" si="79"/>
        <v>0</v>
      </c>
      <c r="AN90" s="10">
        <v>21</v>
      </c>
      <c r="AO90" s="10">
        <f>I90*0.909673041332511</f>
        <v>0</v>
      </c>
      <c r="AP90" s="10">
        <f>I90*(1-0.909673041332511)</f>
        <v>0</v>
      </c>
      <c r="AQ90" s="41" t="s">
        <v>68</v>
      </c>
      <c r="AV90" s="10">
        <f t="shared" si="80"/>
        <v>0</v>
      </c>
      <c r="AW90" s="10">
        <f t="shared" si="81"/>
        <v>0</v>
      </c>
      <c r="AX90" s="10">
        <f t="shared" si="82"/>
        <v>0</v>
      </c>
      <c r="AY90" s="41" t="s">
        <v>153</v>
      </c>
      <c r="AZ90" s="41" t="s">
        <v>153</v>
      </c>
      <c r="BA90" s="43" t="s">
        <v>51</v>
      </c>
      <c r="BC90" s="10">
        <f t="shared" si="83"/>
        <v>0</v>
      </c>
      <c r="BD90" s="10">
        <f t="shared" si="84"/>
        <v>0</v>
      </c>
      <c r="BE90" s="10">
        <v>0</v>
      </c>
      <c r="BF90" s="10">
        <f>90</f>
        <v>90</v>
      </c>
      <c r="BH90" s="10">
        <f t="shared" si="85"/>
        <v>0</v>
      </c>
      <c r="BI90" s="10">
        <f t="shared" si="86"/>
        <v>0</v>
      </c>
      <c r="BJ90" s="10">
        <f t="shared" si="87"/>
        <v>0</v>
      </c>
      <c r="BK90" s="10"/>
      <c r="BL90" s="10">
        <v>72</v>
      </c>
    </row>
    <row r="91" spans="2:64" ht="15" customHeight="1">
      <c r="B91" s="25" t="s">
        <v>214</v>
      </c>
      <c r="C91" s="62" t="s">
        <v>215</v>
      </c>
      <c r="D91" s="62"/>
      <c r="E91" s="62"/>
      <c r="F91" s="62"/>
      <c r="G91" s="23" t="s">
        <v>60</v>
      </c>
      <c r="H91" s="10">
        <v>3</v>
      </c>
      <c r="I91" s="53">
        <v>0</v>
      </c>
      <c r="J91" s="10">
        <f t="shared" si="66"/>
        <v>0</v>
      </c>
      <c r="K91" s="10">
        <f t="shared" si="67"/>
        <v>0</v>
      </c>
      <c r="L91" s="10">
        <f t="shared" si="68"/>
        <v>0</v>
      </c>
      <c r="M91" s="47"/>
      <c r="Z91" s="10">
        <f t="shared" si="69"/>
        <v>0</v>
      </c>
      <c r="AB91" s="10">
        <f t="shared" si="70"/>
        <v>0</v>
      </c>
      <c r="AC91" s="10">
        <f t="shared" si="71"/>
        <v>0</v>
      </c>
      <c r="AD91" s="10">
        <f t="shared" si="72"/>
        <v>0</v>
      </c>
      <c r="AE91" s="10">
        <f t="shared" si="73"/>
        <v>0</v>
      </c>
      <c r="AF91" s="10">
        <f t="shared" si="74"/>
        <v>0</v>
      </c>
      <c r="AG91" s="10">
        <f t="shared" si="75"/>
        <v>0</v>
      </c>
      <c r="AH91" s="10">
        <f t="shared" si="76"/>
        <v>0</v>
      </c>
      <c r="AI91" s="43" t="s">
        <v>44</v>
      </c>
      <c r="AJ91" s="10">
        <f t="shared" si="77"/>
        <v>0</v>
      </c>
      <c r="AK91" s="10">
        <f t="shared" si="78"/>
        <v>0</v>
      </c>
      <c r="AL91" s="10">
        <f t="shared" si="79"/>
        <v>0</v>
      </c>
      <c r="AN91" s="10">
        <v>21</v>
      </c>
      <c r="AO91" s="10">
        <f>I91*0.827921120530778</f>
        <v>0</v>
      </c>
      <c r="AP91" s="10">
        <f>I91*(1-0.827921120530778)</f>
        <v>0</v>
      </c>
      <c r="AQ91" s="41" t="s">
        <v>68</v>
      </c>
      <c r="AV91" s="10">
        <f t="shared" si="80"/>
        <v>0</v>
      </c>
      <c r="AW91" s="10">
        <f t="shared" si="81"/>
        <v>0</v>
      </c>
      <c r="AX91" s="10">
        <f t="shared" si="82"/>
        <v>0</v>
      </c>
      <c r="AY91" s="41" t="s">
        <v>153</v>
      </c>
      <c r="AZ91" s="41" t="s">
        <v>153</v>
      </c>
      <c r="BA91" s="43" t="s">
        <v>51</v>
      </c>
      <c r="BC91" s="10">
        <f t="shared" si="83"/>
        <v>0</v>
      </c>
      <c r="BD91" s="10">
        <f t="shared" si="84"/>
        <v>0</v>
      </c>
      <c r="BE91" s="10">
        <v>0</v>
      </c>
      <c r="BF91" s="10">
        <f>91</f>
        <v>91</v>
      </c>
      <c r="BH91" s="10">
        <f t="shared" si="85"/>
        <v>0</v>
      </c>
      <c r="BI91" s="10">
        <f t="shared" si="86"/>
        <v>0</v>
      </c>
      <c r="BJ91" s="10">
        <f t="shared" si="87"/>
        <v>0</v>
      </c>
      <c r="BK91" s="10"/>
      <c r="BL91" s="10">
        <v>72</v>
      </c>
    </row>
    <row r="92" spans="2:64" ht="15" customHeight="1">
      <c r="B92" s="25" t="s">
        <v>216</v>
      </c>
      <c r="C92" s="62" t="s">
        <v>217</v>
      </c>
      <c r="D92" s="62"/>
      <c r="E92" s="62"/>
      <c r="F92" s="62"/>
      <c r="G92" s="23" t="s">
        <v>60</v>
      </c>
      <c r="H92" s="10">
        <v>18</v>
      </c>
      <c r="I92" s="53">
        <v>0</v>
      </c>
      <c r="J92" s="10">
        <f t="shared" si="66"/>
        <v>0</v>
      </c>
      <c r="K92" s="10">
        <f t="shared" si="67"/>
        <v>0</v>
      </c>
      <c r="L92" s="10">
        <f t="shared" si="68"/>
        <v>0</v>
      </c>
      <c r="M92" s="47"/>
      <c r="Z92" s="10">
        <f t="shared" si="69"/>
        <v>0</v>
      </c>
      <c r="AB92" s="10">
        <f t="shared" si="70"/>
        <v>0</v>
      </c>
      <c r="AC92" s="10">
        <f t="shared" si="71"/>
        <v>0</v>
      </c>
      <c r="AD92" s="10">
        <f t="shared" si="72"/>
        <v>0</v>
      </c>
      <c r="AE92" s="10">
        <f t="shared" si="73"/>
        <v>0</v>
      </c>
      <c r="AF92" s="10">
        <f t="shared" si="74"/>
        <v>0</v>
      </c>
      <c r="AG92" s="10">
        <f t="shared" si="75"/>
        <v>0</v>
      </c>
      <c r="AH92" s="10">
        <f t="shared" si="76"/>
        <v>0</v>
      </c>
      <c r="AI92" s="43" t="s">
        <v>44</v>
      </c>
      <c r="AJ92" s="10">
        <f t="shared" si="77"/>
        <v>0</v>
      </c>
      <c r="AK92" s="10">
        <f t="shared" si="78"/>
        <v>0</v>
      </c>
      <c r="AL92" s="10">
        <f t="shared" si="79"/>
        <v>0</v>
      </c>
      <c r="AN92" s="10">
        <v>21</v>
      </c>
      <c r="AO92" s="10">
        <f>I92*0.441135531135531</f>
        <v>0</v>
      </c>
      <c r="AP92" s="10">
        <f>I92*(1-0.441135531135531)</f>
        <v>0</v>
      </c>
      <c r="AQ92" s="41" t="s">
        <v>68</v>
      </c>
      <c r="AV92" s="10">
        <f t="shared" si="80"/>
        <v>0</v>
      </c>
      <c r="AW92" s="10">
        <f t="shared" si="81"/>
        <v>0</v>
      </c>
      <c r="AX92" s="10">
        <f t="shared" si="82"/>
        <v>0</v>
      </c>
      <c r="AY92" s="41" t="s">
        <v>153</v>
      </c>
      <c r="AZ92" s="41" t="s">
        <v>153</v>
      </c>
      <c r="BA92" s="43" t="s">
        <v>51</v>
      </c>
      <c r="BC92" s="10">
        <f t="shared" si="83"/>
        <v>0</v>
      </c>
      <c r="BD92" s="10">
        <f t="shared" si="84"/>
        <v>0</v>
      </c>
      <c r="BE92" s="10">
        <v>0</v>
      </c>
      <c r="BF92" s="10">
        <f>92</f>
        <v>92</v>
      </c>
      <c r="BH92" s="10">
        <f t="shared" si="85"/>
        <v>0</v>
      </c>
      <c r="BI92" s="10">
        <f t="shared" si="86"/>
        <v>0</v>
      </c>
      <c r="BJ92" s="10">
        <f t="shared" si="87"/>
        <v>0</v>
      </c>
      <c r="BK92" s="10"/>
      <c r="BL92" s="10">
        <v>72</v>
      </c>
    </row>
    <row r="93" spans="2:64" ht="15" customHeight="1">
      <c r="B93" s="25" t="s">
        <v>218</v>
      </c>
      <c r="C93" s="62" t="s">
        <v>219</v>
      </c>
      <c r="D93" s="62"/>
      <c r="E93" s="62"/>
      <c r="F93" s="62"/>
      <c r="G93" s="23" t="s">
        <v>55</v>
      </c>
      <c r="H93" s="10">
        <v>285</v>
      </c>
      <c r="I93" s="53">
        <v>0</v>
      </c>
      <c r="J93" s="10">
        <f t="shared" si="66"/>
        <v>0</v>
      </c>
      <c r="K93" s="10">
        <f t="shared" si="67"/>
        <v>0</v>
      </c>
      <c r="L93" s="10">
        <f t="shared" si="68"/>
        <v>0</v>
      </c>
      <c r="M93" s="47"/>
      <c r="Z93" s="10">
        <f t="shared" si="69"/>
        <v>0</v>
      </c>
      <c r="AB93" s="10">
        <f t="shared" si="70"/>
        <v>0</v>
      </c>
      <c r="AC93" s="10">
        <f t="shared" si="71"/>
        <v>0</v>
      </c>
      <c r="AD93" s="10">
        <f t="shared" si="72"/>
        <v>0</v>
      </c>
      <c r="AE93" s="10">
        <f t="shared" si="73"/>
        <v>0</v>
      </c>
      <c r="AF93" s="10">
        <f t="shared" si="74"/>
        <v>0</v>
      </c>
      <c r="AG93" s="10">
        <f t="shared" si="75"/>
        <v>0</v>
      </c>
      <c r="AH93" s="10">
        <f t="shared" si="76"/>
        <v>0</v>
      </c>
      <c r="AI93" s="43" t="s">
        <v>44</v>
      </c>
      <c r="AJ93" s="10">
        <f t="shared" si="77"/>
        <v>0</v>
      </c>
      <c r="AK93" s="10">
        <f t="shared" si="78"/>
        <v>0</v>
      </c>
      <c r="AL93" s="10">
        <f t="shared" si="79"/>
        <v>0</v>
      </c>
      <c r="AN93" s="10">
        <v>21</v>
      </c>
      <c r="AO93" s="10">
        <f>I93*0.0524050632911392</f>
        <v>0</v>
      </c>
      <c r="AP93" s="10">
        <f>I93*(1-0.0524050632911392)</f>
        <v>0</v>
      </c>
      <c r="AQ93" s="41" t="s">
        <v>68</v>
      </c>
      <c r="AV93" s="10">
        <f t="shared" si="80"/>
        <v>0</v>
      </c>
      <c r="AW93" s="10">
        <f t="shared" si="81"/>
        <v>0</v>
      </c>
      <c r="AX93" s="10">
        <f t="shared" si="82"/>
        <v>0</v>
      </c>
      <c r="AY93" s="41" t="s">
        <v>153</v>
      </c>
      <c r="AZ93" s="41" t="s">
        <v>153</v>
      </c>
      <c r="BA93" s="43" t="s">
        <v>51</v>
      </c>
      <c r="BC93" s="10">
        <f t="shared" si="83"/>
        <v>0</v>
      </c>
      <c r="BD93" s="10">
        <f t="shared" si="84"/>
        <v>0</v>
      </c>
      <c r="BE93" s="10">
        <v>0</v>
      </c>
      <c r="BF93" s="10">
        <f>93</f>
        <v>93</v>
      </c>
      <c r="BH93" s="10">
        <f t="shared" si="85"/>
        <v>0</v>
      </c>
      <c r="BI93" s="10">
        <f t="shared" si="86"/>
        <v>0</v>
      </c>
      <c r="BJ93" s="10">
        <f t="shared" si="87"/>
        <v>0</v>
      </c>
      <c r="BK93" s="10"/>
      <c r="BL93" s="10">
        <v>72</v>
      </c>
    </row>
    <row r="94" spans="2:64" ht="15" customHeight="1">
      <c r="B94" s="25" t="s">
        <v>220</v>
      </c>
      <c r="C94" s="62" t="s">
        <v>221</v>
      </c>
      <c r="D94" s="62"/>
      <c r="E94" s="62"/>
      <c r="F94" s="62"/>
      <c r="G94" s="23" t="s">
        <v>63</v>
      </c>
      <c r="H94" s="10">
        <v>173.87</v>
      </c>
      <c r="I94" s="53">
        <v>0</v>
      </c>
      <c r="J94" s="10">
        <f t="shared" si="66"/>
        <v>0</v>
      </c>
      <c r="K94" s="10">
        <f t="shared" si="67"/>
        <v>0</v>
      </c>
      <c r="L94" s="10">
        <f t="shared" si="68"/>
        <v>0</v>
      </c>
      <c r="M94" s="47"/>
      <c r="Z94" s="10">
        <f t="shared" si="69"/>
        <v>0</v>
      </c>
      <c r="AB94" s="10">
        <f t="shared" si="70"/>
        <v>0</v>
      </c>
      <c r="AC94" s="10">
        <f t="shared" si="71"/>
        <v>0</v>
      </c>
      <c r="AD94" s="10">
        <f t="shared" si="72"/>
        <v>0</v>
      </c>
      <c r="AE94" s="10">
        <f t="shared" si="73"/>
        <v>0</v>
      </c>
      <c r="AF94" s="10">
        <f t="shared" si="74"/>
        <v>0</v>
      </c>
      <c r="AG94" s="10">
        <f t="shared" si="75"/>
        <v>0</v>
      </c>
      <c r="AH94" s="10">
        <f t="shared" si="76"/>
        <v>0</v>
      </c>
      <c r="AI94" s="43" t="s">
        <v>44</v>
      </c>
      <c r="AJ94" s="10">
        <f t="shared" si="77"/>
        <v>0</v>
      </c>
      <c r="AK94" s="10">
        <f t="shared" si="78"/>
        <v>0</v>
      </c>
      <c r="AL94" s="10">
        <f t="shared" si="79"/>
        <v>0</v>
      </c>
      <c r="AN94" s="10">
        <v>21</v>
      </c>
      <c r="AO94" s="10">
        <f>I94*0</f>
        <v>0</v>
      </c>
      <c r="AP94" s="10">
        <f>I94*(1-0)</f>
        <v>0</v>
      </c>
      <c r="AQ94" s="41" t="s">
        <v>68</v>
      </c>
      <c r="AV94" s="10">
        <f t="shared" si="80"/>
        <v>0</v>
      </c>
      <c r="AW94" s="10">
        <f t="shared" si="81"/>
        <v>0</v>
      </c>
      <c r="AX94" s="10">
        <f t="shared" si="82"/>
        <v>0</v>
      </c>
      <c r="AY94" s="41" t="s">
        <v>153</v>
      </c>
      <c r="AZ94" s="41" t="s">
        <v>153</v>
      </c>
      <c r="BA94" s="43" t="s">
        <v>51</v>
      </c>
      <c r="BC94" s="10">
        <f t="shared" si="83"/>
        <v>0</v>
      </c>
      <c r="BD94" s="10">
        <f t="shared" si="84"/>
        <v>0</v>
      </c>
      <c r="BE94" s="10">
        <v>0</v>
      </c>
      <c r="BF94" s="10">
        <f>94</f>
        <v>94</v>
      </c>
      <c r="BH94" s="10">
        <f t="shared" si="85"/>
        <v>0</v>
      </c>
      <c r="BI94" s="10">
        <f t="shared" si="86"/>
        <v>0</v>
      </c>
      <c r="BJ94" s="10">
        <f t="shared" si="87"/>
        <v>0</v>
      </c>
      <c r="BK94" s="10"/>
      <c r="BL94" s="10">
        <v>72</v>
      </c>
    </row>
    <row r="95" spans="2:64" ht="15" customHeight="1">
      <c r="B95" s="25" t="s">
        <v>222</v>
      </c>
      <c r="C95" s="62" t="s">
        <v>223</v>
      </c>
      <c r="D95" s="62"/>
      <c r="E95" s="62"/>
      <c r="F95" s="62"/>
      <c r="G95" s="23" t="s">
        <v>173</v>
      </c>
      <c r="H95" s="10">
        <v>9</v>
      </c>
      <c r="I95" s="53">
        <v>0</v>
      </c>
      <c r="J95" s="10">
        <f t="shared" si="66"/>
        <v>0</v>
      </c>
      <c r="K95" s="10">
        <f t="shared" si="67"/>
        <v>0</v>
      </c>
      <c r="L95" s="10">
        <f t="shared" si="68"/>
        <v>0</v>
      </c>
      <c r="M95" s="47"/>
      <c r="Z95" s="10">
        <f t="shared" si="69"/>
        <v>0</v>
      </c>
      <c r="AB95" s="10">
        <f t="shared" si="70"/>
        <v>0</v>
      </c>
      <c r="AC95" s="10">
        <f t="shared" si="71"/>
        <v>0</v>
      </c>
      <c r="AD95" s="10">
        <f t="shared" si="72"/>
        <v>0</v>
      </c>
      <c r="AE95" s="10">
        <f t="shared" si="73"/>
        <v>0</v>
      </c>
      <c r="AF95" s="10">
        <f t="shared" si="74"/>
        <v>0</v>
      </c>
      <c r="AG95" s="10">
        <f t="shared" si="75"/>
        <v>0</v>
      </c>
      <c r="AH95" s="10">
        <f t="shared" si="76"/>
        <v>0</v>
      </c>
      <c r="AI95" s="43" t="s">
        <v>44</v>
      </c>
      <c r="AJ95" s="10">
        <f t="shared" si="77"/>
        <v>0</v>
      </c>
      <c r="AK95" s="10">
        <f t="shared" si="78"/>
        <v>0</v>
      </c>
      <c r="AL95" s="10">
        <f t="shared" si="79"/>
        <v>0</v>
      </c>
      <c r="AN95" s="10">
        <v>21</v>
      </c>
      <c r="AO95" s="10">
        <f>I95*0</f>
        <v>0</v>
      </c>
      <c r="AP95" s="10">
        <f>I95*(1-0)</f>
        <v>0</v>
      </c>
      <c r="AQ95" s="41" t="s">
        <v>68</v>
      </c>
      <c r="AV95" s="10">
        <f t="shared" si="80"/>
        <v>0</v>
      </c>
      <c r="AW95" s="10">
        <f t="shared" si="81"/>
        <v>0</v>
      </c>
      <c r="AX95" s="10">
        <f t="shared" si="82"/>
        <v>0</v>
      </c>
      <c r="AY95" s="41" t="s">
        <v>153</v>
      </c>
      <c r="AZ95" s="41" t="s">
        <v>153</v>
      </c>
      <c r="BA95" s="43" t="s">
        <v>51</v>
      </c>
      <c r="BC95" s="10">
        <f t="shared" si="83"/>
        <v>0</v>
      </c>
      <c r="BD95" s="10">
        <f t="shared" si="84"/>
        <v>0</v>
      </c>
      <c r="BE95" s="10">
        <v>0</v>
      </c>
      <c r="BF95" s="10">
        <f>95</f>
        <v>95</v>
      </c>
      <c r="BH95" s="10">
        <f t="shared" si="85"/>
        <v>0</v>
      </c>
      <c r="BI95" s="10">
        <f t="shared" si="86"/>
        <v>0</v>
      </c>
      <c r="BJ95" s="10">
        <f t="shared" si="87"/>
        <v>0</v>
      </c>
      <c r="BK95" s="10"/>
      <c r="BL95" s="10">
        <v>72</v>
      </c>
    </row>
    <row r="96" spans="2:64" ht="15" customHeight="1">
      <c r="B96" s="25" t="s">
        <v>224</v>
      </c>
      <c r="C96" s="62" t="s">
        <v>225</v>
      </c>
      <c r="D96" s="62"/>
      <c r="E96" s="62"/>
      <c r="F96" s="62"/>
      <c r="G96" s="23" t="s">
        <v>168</v>
      </c>
      <c r="H96" s="10">
        <v>9</v>
      </c>
      <c r="I96" s="53">
        <v>0</v>
      </c>
      <c r="J96" s="10">
        <f t="shared" si="66"/>
        <v>0</v>
      </c>
      <c r="K96" s="10">
        <f t="shared" si="67"/>
        <v>0</v>
      </c>
      <c r="L96" s="10">
        <f t="shared" si="68"/>
        <v>0</v>
      </c>
      <c r="M96" s="47"/>
      <c r="Z96" s="10">
        <f t="shared" si="69"/>
        <v>0</v>
      </c>
      <c r="AB96" s="10">
        <f t="shared" si="70"/>
        <v>0</v>
      </c>
      <c r="AC96" s="10">
        <f t="shared" si="71"/>
        <v>0</v>
      </c>
      <c r="AD96" s="10">
        <f t="shared" si="72"/>
        <v>0</v>
      </c>
      <c r="AE96" s="10">
        <f t="shared" si="73"/>
        <v>0</v>
      </c>
      <c r="AF96" s="10">
        <f t="shared" si="74"/>
        <v>0</v>
      </c>
      <c r="AG96" s="10">
        <f t="shared" si="75"/>
        <v>0</v>
      </c>
      <c r="AH96" s="10">
        <f t="shared" si="76"/>
        <v>0</v>
      </c>
      <c r="AI96" s="43" t="s">
        <v>44</v>
      </c>
      <c r="AJ96" s="10">
        <f t="shared" si="77"/>
        <v>0</v>
      </c>
      <c r="AK96" s="10">
        <f t="shared" si="78"/>
        <v>0</v>
      </c>
      <c r="AL96" s="10">
        <f t="shared" si="79"/>
        <v>0</v>
      </c>
      <c r="AN96" s="10">
        <v>21</v>
      </c>
      <c r="AO96" s="10">
        <f>I96*0.666372</f>
        <v>0</v>
      </c>
      <c r="AP96" s="10">
        <f>I96*(1-0.666372)</f>
        <v>0</v>
      </c>
      <c r="AQ96" s="41" t="s">
        <v>68</v>
      </c>
      <c r="AV96" s="10">
        <f t="shared" si="80"/>
        <v>0</v>
      </c>
      <c r="AW96" s="10">
        <f t="shared" si="81"/>
        <v>0</v>
      </c>
      <c r="AX96" s="10">
        <f t="shared" si="82"/>
        <v>0</v>
      </c>
      <c r="AY96" s="41" t="s">
        <v>153</v>
      </c>
      <c r="AZ96" s="41" t="s">
        <v>153</v>
      </c>
      <c r="BA96" s="43" t="s">
        <v>51</v>
      </c>
      <c r="BC96" s="10">
        <f t="shared" si="83"/>
        <v>0</v>
      </c>
      <c r="BD96" s="10">
        <f t="shared" si="84"/>
        <v>0</v>
      </c>
      <c r="BE96" s="10">
        <v>0</v>
      </c>
      <c r="BF96" s="10">
        <f>96</f>
        <v>96</v>
      </c>
      <c r="BH96" s="10">
        <f t="shared" si="85"/>
        <v>0</v>
      </c>
      <c r="BI96" s="10">
        <f t="shared" si="86"/>
        <v>0</v>
      </c>
      <c r="BJ96" s="10">
        <f t="shared" si="87"/>
        <v>0</v>
      </c>
      <c r="BK96" s="10"/>
      <c r="BL96" s="10">
        <v>72</v>
      </c>
    </row>
    <row r="97" spans="2:64" ht="15" customHeight="1">
      <c r="B97" s="25" t="s">
        <v>226</v>
      </c>
      <c r="C97" s="62" t="s">
        <v>227</v>
      </c>
      <c r="D97" s="62"/>
      <c r="E97" s="62"/>
      <c r="F97" s="62"/>
      <c r="G97" s="23" t="s">
        <v>181</v>
      </c>
      <c r="H97" s="10">
        <v>1</v>
      </c>
      <c r="I97" s="53">
        <v>0</v>
      </c>
      <c r="J97" s="10">
        <f t="shared" si="66"/>
        <v>0</v>
      </c>
      <c r="K97" s="10">
        <f t="shared" si="67"/>
        <v>0</v>
      </c>
      <c r="L97" s="10">
        <f t="shared" si="68"/>
        <v>0</v>
      </c>
      <c r="M97" s="47"/>
      <c r="Z97" s="10">
        <f t="shared" si="69"/>
        <v>0</v>
      </c>
      <c r="AB97" s="10">
        <f t="shared" si="70"/>
        <v>0</v>
      </c>
      <c r="AC97" s="10">
        <f t="shared" si="71"/>
        <v>0</v>
      </c>
      <c r="AD97" s="10">
        <f t="shared" si="72"/>
        <v>0</v>
      </c>
      <c r="AE97" s="10">
        <f t="shared" si="73"/>
        <v>0</v>
      </c>
      <c r="AF97" s="10">
        <f t="shared" si="74"/>
        <v>0</v>
      </c>
      <c r="AG97" s="10">
        <f t="shared" si="75"/>
        <v>0</v>
      </c>
      <c r="AH97" s="10">
        <f t="shared" si="76"/>
        <v>0</v>
      </c>
      <c r="AI97" s="43" t="s">
        <v>44</v>
      </c>
      <c r="AJ97" s="10">
        <f t="shared" si="77"/>
        <v>0</v>
      </c>
      <c r="AK97" s="10">
        <f t="shared" si="78"/>
        <v>0</v>
      </c>
      <c r="AL97" s="10">
        <f t="shared" si="79"/>
        <v>0</v>
      </c>
      <c r="AN97" s="10">
        <v>21</v>
      </c>
      <c r="AO97" s="10">
        <f>I97*0</f>
        <v>0</v>
      </c>
      <c r="AP97" s="10">
        <f>I97*(1-0)</f>
        <v>0</v>
      </c>
      <c r="AQ97" s="41" t="s">
        <v>68</v>
      </c>
      <c r="AV97" s="10">
        <f t="shared" si="80"/>
        <v>0</v>
      </c>
      <c r="AW97" s="10">
        <f t="shared" si="81"/>
        <v>0</v>
      </c>
      <c r="AX97" s="10">
        <f t="shared" si="82"/>
        <v>0</v>
      </c>
      <c r="AY97" s="41" t="s">
        <v>153</v>
      </c>
      <c r="AZ97" s="41" t="s">
        <v>153</v>
      </c>
      <c r="BA97" s="43" t="s">
        <v>51</v>
      </c>
      <c r="BC97" s="10">
        <f t="shared" si="83"/>
        <v>0</v>
      </c>
      <c r="BD97" s="10">
        <f t="shared" si="84"/>
        <v>0</v>
      </c>
      <c r="BE97" s="10">
        <v>0</v>
      </c>
      <c r="BF97" s="10">
        <f>97</f>
        <v>97</v>
      </c>
      <c r="BH97" s="10">
        <f t="shared" si="85"/>
        <v>0</v>
      </c>
      <c r="BI97" s="10">
        <f t="shared" si="86"/>
        <v>0</v>
      </c>
      <c r="BJ97" s="10">
        <f t="shared" si="87"/>
        <v>0</v>
      </c>
      <c r="BK97" s="10"/>
      <c r="BL97" s="10">
        <v>72</v>
      </c>
    </row>
    <row r="98" spans="2:64" ht="15" customHeight="1">
      <c r="B98" s="25" t="s">
        <v>228</v>
      </c>
      <c r="C98" s="62" t="s">
        <v>229</v>
      </c>
      <c r="D98" s="62"/>
      <c r="E98" s="62"/>
      <c r="F98" s="62"/>
      <c r="G98" s="23" t="s">
        <v>181</v>
      </c>
      <c r="H98" s="10">
        <v>1</v>
      </c>
      <c r="I98" s="53">
        <v>0</v>
      </c>
      <c r="J98" s="10">
        <f t="shared" si="66"/>
        <v>0</v>
      </c>
      <c r="K98" s="10">
        <f t="shared" si="67"/>
        <v>0</v>
      </c>
      <c r="L98" s="10">
        <f t="shared" si="68"/>
        <v>0</v>
      </c>
      <c r="M98" s="47"/>
      <c r="Z98" s="10">
        <f t="shared" si="69"/>
        <v>0</v>
      </c>
      <c r="AB98" s="10">
        <f t="shared" si="70"/>
        <v>0</v>
      </c>
      <c r="AC98" s="10">
        <f t="shared" si="71"/>
        <v>0</v>
      </c>
      <c r="AD98" s="10">
        <f t="shared" si="72"/>
        <v>0</v>
      </c>
      <c r="AE98" s="10">
        <f t="shared" si="73"/>
        <v>0</v>
      </c>
      <c r="AF98" s="10">
        <f t="shared" si="74"/>
        <v>0</v>
      </c>
      <c r="AG98" s="10">
        <f t="shared" si="75"/>
        <v>0</v>
      </c>
      <c r="AH98" s="10">
        <f t="shared" si="76"/>
        <v>0</v>
      </c>
      <c r="AI98" s="43" t="s">
        <v>44</v>
      </c>
      <c r="AJ98" s="10">
        <f t="shared" si="77"/>
        <v>0</v>
      </c>
      <c r="AK98" s="10">
        <f t="shared" si="78"/>
        <v>0</v>
      </c>
      <c r="AL98" s="10">
        <f t="shared" si="79"/>
        <v>0</v>
      </c>
      <c r="AN98" s="10">
        <v>21</v>
      </c>
      <c r="AO98" s="10">
        <f>I98*0.333333333333333</f>
        <v>0</v>
      </c>
      <c r="AP98" s="10">
        <f>I98*(1-0.333333333333333)</f>
        <v>0</v>
      </c>
      <c r="AQ98" s="41" t="s">
        <v>68</v>
      </c>
      <c r="AV98" s="10">
        <f t="shared" si="80"/>
        <v>0</v>
      </c>
      <c r="AW98" s="10">
        <f t="shared" si="81"/>
        <v>0</v>
      </c>
      <c r="AX98" s="10">
        <f t="shared" si="82"/>
        <v>0</v>
      </c>
      <c r="AY98" s="41" t="s">
        <v>153</v>
      </c>
      <c r="AZ98" s="41" t="s">
        <v>153</v>
      </c>
      <c r="BA98" s="43" t="s">
        <v>51</v>
      </c>
      <c r="BC98" s="10">
        <f t="shared" si="83"/>
        <v>0</v>
      </c>
      <c r="BD98" s="10">
        <f t="shared" si="84"/>
        <v>0</v>
      </c>
      <c r="BE98" s="10">
        <v>0</v>
      </c>
      <c r="BF98" s="10">
        <f>98</f>
        <v>98</v>
      </c>
      <c r="BH98" s="10">
        <f t="shared" si="85"/>
        <v>0</v>
      </c>
      <c r="BI98" s="10">
        <f t="shared" si="86"/>
        <v>0</v>
      </c>
      <c r="BJ98" s="10">
        <f t="shared" si="87"/>
        <v>0</v>
      </c>
      <c r="BK98" s="10"/>
      <c r="BL98" s="10">
        <v>72</v>
      </c>
    </row>
    <row r="99" spans="2:64" ht="15" customHeight="1">
      <c r="B99" s="25" t="s">
        <v>230</v>
      </c>
      <c r="C99" s="62" t="s">
        <v>231</v>
      </c>
      <c r="D99" s="62"/>
      <c r="E99" s="62"/>
      <c r="F99" s="62"/>
      <c r="G99" s="23" t="s">
        <v>181</v>
      </c>
      <c r="H99" s="10">
        <v>1</v>
      </c>
      <c r="I99" s="53">
        <v>0</v>
      </c>
      <c r="J99" s="10">
        <f t="shared" si="66"/>
        <v>0</v>
      </c>
      <c r="K99" s="10">
        <f t="shared" si="67"/>
        <v>0</v>
      </c>
      <c r="L99" s="10">
        <f t="shared" si="68"/>
        <v>0</v>
      </c>
      <c r="M99" s="47"/>
      <c r="Z99" s="10">
        <f t="shared" si="69"/>
        <v>0</v>
      </c>
      <c r="AB99" s="10">
        <f t="shared" si="70"/>
        <v>0</v>
      </c>
      <c r="AC99" s="10">
        <f t="shared" si="71"/>
        <v>0</v>
      </c>
      <c r="AD99" s="10">
        <f t="shared" si="72"/>
        <v>0</v>
      </c>
      <c r="AE99" s="10">
        <f t="shared" si="73"/>
        <v>0</v>
      </c>
      <c r="AF99" s="10">
        <f t="shared" si="74"/>
        <v>0</v>
      </c>
      <c r="AG99" s="10">
        <f t="shared" si="75"/>
        <v>0</v>
      </c>
      <c r="AH99" s="10">
        <f t="shared" si="76"/>
        <v>0</v>
      </c>
      <c r="AI99" s="43" t="s">
        <v>44</v>
      </c>
      <c r="AJ99" s="10">
        <f t="shared" si="77"/>
        <v>0</v>
      </c>
      <c r="AK99" s="10">
        <f t="shared" si="78"/>
        <v>0</v>
      </c>
      <c r="AL99" s="10">
        <f t="shared" si="79"/>
        <v>0</v>
      </c>
      <c r="AN99" s="10">
        <v>21</v>
      </c>
      <c r="AO99" s="10">
        <f>I99*0.4</f>
        <v>0</v>
      </c>
      <c r="AP99" s="10">
        <f>I99*(1-0.4)</f>
        <v>0</v>
      </c>
      <c r="AQ99" s="41" t="s">
        <v>68</v>
      </c>
      <c r="AV99" s="10">
        <f t="shared" si="80"/>
        <v>0</v>
      </c>
      <c r="AW99" s="10">
        <f t="shared" si="81"/>
        <v>0</v>
      </c>
      <c r="AX99" s="10">
        <f t="shared" si="82"/>
        <v>0</v>
      </c>
      <c r="AY99" s="41" t="s">
        <v>153</v>
      </c>
      <c r="AZ99" s="41" t="s">
        <v>153</v>
      </c>
      <c r="BA99" s="43" t="s">
        <v>51</v>
      </c>
      <c r="BC99" s="10">
        <f t="shared" si="83"/>
        <v>0</v>
      </c>
      <c r="BD99" s="10">
        <f t="shared" si="84"/>
        <v>0</v>
      </c>
      <c r="BE99" s="10">
        <v>0</v>
      </c>
      <c r="BF99" s="10">
        <f>99</f>
        <v>99</v>
      </c>
      <c r="BH99" s="10">
        <f t="shared" si="85"/>
        <v>0</v>
      </c>
      <c r="BI99" s="10">
        <f t="shared" si="86"/>
        <v>0</v>
      </c>
      <c r="BJ99" s="10">
        <f t="shared" si="87"/>
        <v>0</v>
      </c>
      <c r="BK99" s="10"/>
      <c r="BL99" s="10">
        <v>72</v>
      </c>
    </row>
    <row r="100" spans="2:47" ht="15" customHeight="1">
      <c r="B100" s="14" t="s">
        <v>44</v>
      </c>
      <c r="C100" s="78" t="s">
        <v>232</v>
      </c>
      <c r="D100" s="78"/>
      <c r="E100" s="78"/>
      <c r="F100" s="78"/>
      <c r="G100" s="19" t="s">
        <v>4</v>
      </c>
      <c r="H100" s="19" t="s">
        <v>4</v>
      </c>
      <c r="I100" s="19" t="s">
        <v>4</v>
      </c>
      <c r="J100" s="28">
        <f>SUM(J101:J114)</f>
        <v>0</v>
      </c>
      <c r="K100" s="28">
        <f>SUM(K101:K114)</f>
        <v>0</v>
      </c>
      <c r="L100" s="28">
        <f>SUM(L101:L114)</f>
        <v>0</v>
      </c>
      <c r="M100" s="2"/>
      <c r="AI100" s="43" t="s">
        <v>44</v>
      </c>
      <c r="AS100" s="28">
        <f>SUM(AJ101:AJ114)</f>
        <v>0</v>
      </c>
      <c r="AT100" s="28">
        <f>SUM(AK101:AK114)</f>
        <v>0</v>
      </c>
      <c r="AU100" s="28">
        <f>SUM(AL101:AL114)</f>
        <v>0</v>
      </c>
    </row>
    <row r="101" spans="2:64" ht="15" customHeight="1">
      <c r="B101" s="25" t="s">
        <v>233</v>
      </c>
      <c r="C101" s="62" t="s">
        <v>234</v>
      </c>
      <c r="D101" s="62"/>
      <c r="E101" s="62"/>
      <c r="F101" s="62"/>
      <c r="G101" s="23" t="s">
        <v>60</v>
      </c>
      <c r="H101" s="10">
        <v>9</v>
      </c>
      <c r="I101" s="53">
        <v>0</v>
      </c>
      <c r="J101" s="10">
        <f aca="true" t="shared" si="88" ref="J101:J114">H101*AO101</f>
        <v>0</v>
      </c>
      <c r="K101" s="10">
        <f aca="true" t="shared" si="89" ref="K101:K114">H101*AP101</f>
        <v>0</v>
      </c>
      <c r="L101" s="10">
        <f aca="true" t="shared" si="90" ref="L101:L114">H101*I101</f>
        <v>0</v>
      </c>
      <c r="M101" s="47"/>
      <c r="Z101" s="10">
        <f aca="true" t="shared" si="91" ref="Z101:Z114">IF(AQ101="5",BJ101,0)</f>
        <v>0</v>
      </c>
      <c r="AB101" s="10">
        <f aca="true" t="shared" si="92" ref="AB101:AB114">IF(AQ101="1",BH101,0)</f>
        <v>0</v>
      </c>
      <c r="AC101" s="10">
        <f aca="true" t="shared" si="93" ref="AC101:AC114">IF(AQ101="1",BI101,0)</f>
        <v>0</v>
      </c>
      <c r="AD101" s="10">
        <f aca="true" t="shared" si="94" ref="AD101:AD114">IF(AQ101="7",BH101,0)</f>
        <v>0</v>
      </c>
      <c r="AE101" s="10">
        <f aca="true" t="shared" si="95" ref="AE101:AE114">IF(AQ101="7",BI101,0)</f>
        <v>0</v>
      </c>
      <c r="AF101" s="10">
        <f aca="true" t="shared" si="96" ref="AF101:AF114">IF(AQ101="2",BH101,0)</f>
        <v>0</v>
      </c>
      <c r="AG101" s="10">
        <f aca="true" t="shared" si="97" ref="AG101:AG114">IF(AQ101="2",BI101,0)</f>
        <v>0</v>
      </c>
      <c r="AH101" s="10">
        <f aca="true" t="shared" si="98" ref="AH101:AH114">IF(AQ101="0",BJ101,0)</f>
        <v>0</v>
      </c>
      <c r="AI101" s="43" t="s">
        <v>44</v>
      </c>
      <c r="AJ101" s="10">
        <f aca="true" t="shared" si="99" ref="AJ101:AJ114">IF(AN101=0,L101,0)</f>
        <v>0</v>
      </c>
      <c r="AK101" s="10">
        <f aca="true" t="shared" si="100" ref="AK101:AK114">IF(AN101=15,L101,0)</f>
        <v>0</v>
      </c>
      <c r="AL101" s="10">
        <f aca="true" t="shared" si="101" ref="AL101:AL114">IF(AN101=21,L101,0)</f>
        <v>0</v>
      </c>
      <c r="AN101" s="10">
        <v>21</v>
      </c>
      <c r="AO101" s="10">
        <f>I101*0</f>
        <v>0</v>
      </c>
      <c r="AP101" s="10">
        <f>I101*(1-0)</f>
        <v>0</v>
      </c>
      <c r="AQ101" s="41" t="s">
        <v>68</v>
      </c>
      <c r="AV101" s="10">
        <f aca="true" t="shared" si="102" ref="AV101:AV114">AW101+AX101</f>
        <v>0</v>
      </c>
      <c r="AW101" s="10">
        <f aca="true" t="shared" si="103" ref="AW101:AW114">H101*AO101</f>
        <v>0</v>
      </c>
      <c r="AX101" s="10">
        <f aca="true" t="shared" si="104" ref="AX101:AX114">H101*AP101</f>
        <v>0</v>
      </c>
      <c r="AY101" s="41" t="s">
        <v>235</v>
      </c>
      <c r="AZ101" s="41" t="s">
        <v>153</v>
      </c>
      <c r="BA101" s="43" t="s">
        <v>51</v>
      </c>
      <c r="BC101" s="10">
        <f aca="true" t="shared" si="105" ref="BC101:BC114">AW101+AX101</f>
        <v>0</v>
      </c>
      <c r="BD101" s="10">
        <f aca="true" t="shared" si="106" ref="BD101:BD114">I101/(100-BE101)*100</f>
        <v>0</v>
      </c>
      <c r="BE101" s="10">
        <v>0</v>
      </c>
      <c r="BF101" s="10">
        <f>101</f>
        <v>101</v>
      </c>
      <c r="BH101" s="10">
        <f aca="true" t="shared" si="107" ref="BH101:BH114">H101*AO101</f>
        <v>0</v>
      </c>
      <c r="BI101" s="10">
        <f aca="true" t="shared" si="108" ref="BI101:BI114">H101*AP101</f>
        <v>0</v>
      </c>
      <c r="BJ101" s="10">
        <f aca="true" t="shared" si="109" ref="BJ101:BJ114">H101*I101</f>
        <v>0</v>
      </c>
      <c r="BK101" s="10"/>
      <c r="BL101" s="10">
        <v>725</v>
      </c>
    </row>
    <row r="102" spans="2:64" ht="15" customHeight="1">
      <c r="B102" s="25" t="s">
        <v>236</v>
      </c>
      <c r="C102" s="62" t="s">
        <v>237</v>
      </c>
      <c r="D102" s="62"/>
      <c r="E102" s="62"/>
      <c r="F102" s="62"/>
      <c r="G102" s="23" t="s">
        <v>60</v>
      </c>
      <c r="H102" s="10">
        <v>18</v>
      </c>
      <c r="I102" s="53">
        <v>0</v>
      </c>
      <c r="J102" s="10">
        <f t="shared" si="88"/>
        <v>0</v>
      </c>
      <c r="K102" s="10">
        <f t="shared" si="89"/>
        <v>0</v>
      </c>
      <c r="L102" s="10">
        <f t="shared" si="90"/>
        <v>0</v>
      </c>
      <c r="M102" s="47"/>
      <c r="Z102" s="10">
        <f t="shared" si="91"/>
        <v>0</v>
      </c>
      <c r="AB102" s="10">
        <f t="shared" si="92"/>
        <v>0</v>
      </c>
      <c r="AC102" s="10">
        <f t="shared" si="93"/>
        <v>0</v>
      </c>
      <c r="AD102" s="10">
        <f t="shared" si="94"/>
        <v>0</v>
      </c>
      <c r="AE102" s="10">
        <f t="shared" si="95"/>
        <v>0</v>
      </c>
      <c r="AF102" s="10">
        <f t="shared" si="96"/>
        <v>0</v>
      </c>
      <c r="AG102" s="10">
        <f t="shared" si="97"/>
        <v>0</v>
      </c>
      <c r="AH102" s="10">
        <f t="shared" si="98"/>
        <v>0</v>
      </c>
      <c r="AI102" s="43" t="s">
        <v>44</v>
      </c>
      <c r="AJ102" s="10">
        <f t="shared" si="99"/>
        <v>0</v>
      </c>
      <c r="AK102" s="10">
        <f t="shared" si="100"/>
        <v>0</v>
      </c>
      <c r="AL102" s="10">
        <f t="shared" si="101"/>
        <v>0</v>
      </c>
      <c r="AN102" s="10">
        <v>21</v>
      </c>
      <c r="AO102" s="10">
        <f>I102*0</f>
        <v>0</v>
      </c>
      <c r="AP102" s="10">
        <f>I102*(1-0)</f>
        <v>0</v>
      </c>
      <c r="AQ102" s="41" t="s">
        <v>68</v>
      </c>
      <c r="AV102" s="10">
        <f t="shared" si="102"/>
        <v>0</v>
      </c>
      <c r="AW102" s="10">
        <f t="shared" si="103"/>
        <v>0</v>
      </c>
      <c r="AX102" s="10">
        <f t="shared" si="104"/>
        <v>0</v>
      </c>
      <c r="AY102" s="41" t="s">
        <v>235</v>
      </c>
      <c r="AZ102" s="41" t="s">
        <v>153</v>
      </c>
      <c r="BA102" s="43" t="s">
        <v>51</v>
      </c>
      <c r="BC102" s="10">
        <f t="shared" si="105"/>
        <v>0</v>
      </c>
      <c r="BD102" s="10">
        <f t="shared" si="106"/>
        <v>0</v>
      </c>
      <c r="BE102" s="10">
        <v>0</v>
      </c>
      <c r="BF102" s="10">
        <f>102</f>
        <v>102</v>
      </c>
      <c r="BH102" s="10">
        <f t="shared" si="107"/>
        <v>0</v>
      </c>
      <c r="BI102" s="10">
        <f t="shared" si="108"/>
        <v>0</v>
      </c>
      <c r="BJ102" s="10">
        <f t="shared" si="109"/>
        <v>0</v>
      </c>
      <c r="BK102" s="10"/>
      <c r="BL102" s="10">
        <v>725</v>
      </c>
    </row>
    <row r="103" spans="2:64" ht="15" customHeight="1">
      <c r="B103" s="25" t="s">
        <v>238</v>
      </c>
      <c r="C103" s="62" t="s">
        <v>239</v>
      </c>
      <c r="D103" s="62"/>
      <c r="E103" s="62"/>
      <c r="F103" s="62"/>
      <c r="G103" s="23" t="s">
        <v>60</v>
      </c>
      <c r="H103" s="10">
        <v>8</v>
      </c>
      <c r="I103" s="53">
        <v>0</v>
      </c>
      <c r="J103" s="10">
        <f t="shared" si="88"/>
        <v>0</v>
      </c>
      <c r="K103" s="10">
        <f t="shared" si="89"/>
        <v>0</v>
      </c>
      <c r="L103" s="10">
        <f t="shared" si="90"/>
        <v>0</v>
      </c>
      <c r="M103" s="47"/>
      <c r="Z103" s="10">
        <f t="shared" si="91"/>
        <v>0</v>
      </c>
      <c r="AB103" s="10">
        <f t="shared" si="92"/>
        <v>0</v>
      </c>
      <c r="AC103" s="10">
        <f t="shared" si="93"/>
        <v>0</v>
      </c>
      <c r="AD103" s="10">
        <f t="shared" si="94"/>
        <v>0</v>
      </c>
      <c r="AE103" s="10">
        <f t="shared" si="95"/>
        <v>0</v>
      </c>
      <c r="AF103" s="10">
        <f t="shared" si="96"/>
        <v>0</v>
      </c>
      <c r="AG103" s="10">
        <f t="shared" si="97"/>
        <v>0</v>
      </c>
      <c r="AH103" s="10">
        <f t="shared" si="98"/>
        <v>0</v>
      </c>
      <c r="AI103" s="43" t="s">
        <v>44</v>
      </c>
      <c r="AJ103" s="10">
        <f t="shared" si="99"/>
        <v>0</v>
      </c>
      <c r="AK103" s="10">
        <f t="shared" si="100"/>
        <v>0</v>
      </c>
      <c r="AL103" s="10">
        <f t="shared" si="101"/>
        <v>0</v>
      </c>
      <c r="AN103" s="10">
        <v>21</v>
      </c>
      <c r="AO103" s="10">
        <f>I103*0.0205959553779156</f>
        <v>0</v>
      </c>
      <c r="AP103" s="10">
        <f>I103*(1-0.0205959553779156)</f>
        <v>0</v>
      </c>
      <c r="AQ103" s="41" t="s">
        <v>68</v>
      </c>
      <c r="AV103" s="10">
        <f t="shared" si="102"/>
        <v>0</v>
      </c>
      <c r="AW103" s="10">
        <f t="shared" si="103"/>
        <v>0</v>
      </c>
      <c r="AX103" s="10">
        <f t="shared" si="104"/>
        <v>0</v>
      </c>
      <c r="AY103" s="41" t="s">
        <v>235</v>
      </c>
      <c r="AZ103" s="41" t="s">
        <v>153</v>
      </c>
      <c r="BA103" s="43" t="s">
        <v>51</v>
      </c>
      <c r="BC103" s="10">
        <f t="shared" si="105"/>
        <v>0</v>
      </c>
      <c r="BD103" s="10">
        <f t="shared" si="106"/>
        <v>0</v>
      </c>
      <c r="BE103" s="10">
        <v>0</v>
      </c>
      <c r="BF103" s="10">
        <f>103</f>
        <v>103</v>
      </c>
      <c r="BH103" s="10">
        <f t="shared" si="107"/>
        <v>0</v>
      </c>
      <c r="BI103" s="10">
        <f t="shared" si="108"/>
        <v>0</v>
      </c>
      <c r="BJ103" s="10">
        <f t="shared" si="109"/>
        <v>0</v>
      </c>
      <c r="BK103" s="10"/>
      <c r="BL103" s="10">
        <v>725</v>
      </c>
    </row>
    <row r="104" spans="2:64" ht="15" customHeight="1">
      <c r="B104" s="25" t="s">
        <v>240</v>
      </c>
      <c r="C104" s="62" t="s">
        <v>241</v>
      </c>
      <c r="D104" s="62"/>
      <c r="E104" s="62"/>
      <c r="F104" s="62"/>
      <c r="G104" s="23" t="s">
        <v>181</v>
      </c>
      <c r="H104" s="10">
        <v>9</v>
      </c>
      <c r="I104" s="53">
        <v>0</v>
      </c>
      <c r="J104" s="10">
        <f t="shared" si="88"/>
        <v>0</v>
      </c>
      <c r="K104" s="10">
        <f t="shared" si="89"/>
        <v>0</v>
      </c>
      <c r="L104" s="10">
        <f t="shared" si="90"/>
        <v>0</v>
      </c>
      <c r="M104" s="47"/>
      <c r="Z104" s="10">
        <f t="shared" si="91"/>
        <v>0</v>
      </c>
      <c r="AB104" s="10">
        <f t="shared" si="92"/>
        <v>0</v>
      </c>
      <c r="AC104" s="10">
        <f t="shared" si="93"/>
        <v>0</v>
      </c>
      <c r="AD104" s="10">
        <f t="shared" si="94"/>
        <v>0</v>
      </c>
      <c r="AE104" s="10">
        <f t="shared" si="95"/>
        <v>0</v>
      </c>
      <c r="AF104" s="10">
        <f t="shared" si="96"/>
        <v>0</v>
      </c>
      <c r="AG104" s="10">
        <f t="shared" si="97"/>
        <v>0</v>
      </c>
      <c r="AH104" s="10">
        <f t="shared" si="98"/>
        <v>0</v>
      </c>
      <c r="AI104" s="43" t="s">
        <v>44</v>
      </c>
      <c r="AJ104" s="10">
        <f t="shared" si="99"/>
        <v>0</v>
      </c>
      <c r="AK104" s="10">
        <f t="shared" si="100"/>
        <v>0</v>
      </c>
      <c r="AL104" s="10">
        <f t="shared" si="101"/>
        <v>0</v>
      </c>
      <c r="AN104" s="10">
        <v>21</v>
      </c>
      <c r="AO104" s="10">
        <f>I104*0.0582789473684211</f>
        <v>0</v>
      </c>
      <c r="AP104" s="10">
        <f>I104*(1-0.0582789473684211)</f>
        <v>0</v>
      </c>
      <c r="AQ104" s="41" t="s">
        <v>68</v>
      </c>
      <c r="AV104" s="10">
        <f t="shared" si="102"/>
        <v>0</v>
      </c>
      <c r="AW104" s="10">
        <f t="shared" si="103"/>
        <v>0</v>
      </c>
      <c r="AX104" s="10">
        <f t="shared" si="104"/>
        <v>0</v>
      </c>
      <c r="AY104" s="41" t="s">
        <v>235</v>
      </c>
      <c r="AZ104" s="41" t="s">
        <v>153</v>
      </c>
      <c r="BA104" s="43" t="s">
        <v>51</v>
      </c>
      <c r="BC104" s="10">
        <f t="shared" si="105"/>
        <v>0</v>
      </c>
      <c r="BD104" s="10">
        <f t="shared" si="106"/>
        <v>0</v>
      </c>
      <c r="BE104" s="10">
        <v>0</v>
      </c>
      <c r="BF104" s="10">
        <f>104</f>
        <v>104</v>
      </c>
      <c r="BH104" s="10">
        <f t="shared" si="107"/>
        <v>0</v>
      </c>
      <c r="BI104" s="10">
        <f t="shared" si="108"/>
        <v>0</v>
      </c>
      <c r="BJ104" s="10">
        <f t="shared" si="109"/>
        <v>0</v>
      </c>
      <c r="BK104" s="10"/>
      <c r="BL104" s="10">
        <v>725</v>
      </c>
    </row>
    <row r="105" spans="2:64" ht="15" customHeight="1">
      <c r="B105" s="25" t="s">
        <v>242</v>
      </c>
      <c r="C105" s="62" t="s">
        <v>243</v>
      </c>
      <c r="D105" s="62"/>
      <c r="E105" s="62"/>
      <c r="F105" s="62"/>
      <c r="G105" s="23" t="s">
        <v>244</v>
      </c>
      <c r="H105" s="10">
        <v>4.5759</v>
      </c>
      <c r="I105" s="53">
        <v>0</v>
      </c>
      <c r="J105" s="10">
        <f t="shared" si="88"/>
        <v>0</v>
      </c>
      <c r="K105" s="10">
        <f t="shared" si="89"/>
        <v>0</v>
      </c>
      <c r="L105" s="10">
        <f t="shared" si="90"/>
        <v>0</v>
      </c>
      <c r="M105" s="47"/>
      <c r="Z105" s="10">
        <f t="shared" si="91"/>
        <v>0</v>
      </c>
      <c r="AB105" s="10">
        <f t="shared" si="92"/>
        <v>0</v>
      </c>
      <c r="AC105" s="10">
        <f t="shared" si="93"/>
        <v>0</v>
      </c>
      <c r="AD105" s="10">
        <f t="shared" si="94"/>
        <v>0</v>
      </c>
      <c r="AE105" s="10">
        <f t="shared" si="95"/>
        <v>0</v>
      </c>
      <c r="AF105" s="10">
        <f t="shared" si="96"/>
        <v>0</v>
      </c>
      <c r="AG105" s="10">
        <f t="shared" si="97"/>
        <v>0</v>
      </c>
      <c r="AH105" s="10">
        <f t="shared" si="98"/>
        <v>0</v>
      </c>
      <c r="AI105" s="43" t="s">
        <v>44</v>
      </c>
      <c r="AJ105" s="10">
        <f t="shared" si="99"/>
        <v>0</v>
      </c>
      <c r="AK105" s="10">
        <f t="shared" si="100"/>
        <v>0</v>
      </c>
      <c r="AL105" s="10">
        <f t="shared" si="101"/>
        <v>0</v>
      </c>
      <c r="AN105" s="10">
        <v>21</v>
      </c>
      <c r="AO105" s="10">
        <f>I105*0</f>
        <v>0</v>
      </c>
      <c r="AP105" s="10">
        <f>I105*(1-0)</f>
        <v>0</v>
      </c>
      <c r="AQ105" s="41" t="s">
        <v>68</v>
      </c>
      <c r="AV105" s="10">
        <f t="shared" si="102"/>
        <v>0</v>
      </c>
      <c r="AW105" s="10">
        <f t="shared" si="103"/>
        <v>0</v>
      </c>
      <c r="AX105" s="10">
        <f t="shared" si="104"/>
        <v>0</v>
      </c>
      <c r="AY105" s="41" t="s">
        <v>235</v>
      </c>
      <c r="AZ105" s="41" t="s">
        <v>153</v>
      </c>
      <c r="BA105" s="43" t="s">
        <v>51</v>
      </c>
      <c r="BC105" s="10">
        <f t="shared" si="105"/>
        <v>0</v>
      </c>
      <c r="BD105" s="10">
        <f t="shared" si="106"/>
        <v>0</v>
      </c>
      <c r="BE105" s="10">
        <v>0</v>
      </c>
      <c r="BF105" s="10">
        <f>105</f>
        <v>105</v>
      </c>
      <c r="BH105" s="10">
        <f t="shared" si="107"/>
        <v>0</v>
      </c>
      <c r="BI105" s="10">
        <f t="shared" si="108"/>
        <v>0</v>
      </c>
      <c r="BJ105" s="10">
        <f t="shared" si="109"/>
        <v>0</v>
      </c>
      <c r="BK105" s="10"/>
      <c r="BL105" s="10">
        <v>725</v>
      </c>
    </row>
    <row r="106" spans="2:64" ht="15" customHeight="1">
      <c r="B106" s="25" t="s">
        <v>245</v>
      </c>
      <c r="C106" s="62" t="s">
        <v>246</v>
      </c>
      <c r="D106" s="62"/>
      <c r="E106" s="62"/>
      <c r="F106" s="62"/>
      <c r="G106" s="23" t="s">
        <v>181</v>
      </c>
      <c r="H106" s="10">
        <v>9</v>
      </c>
      <c r="I106" s="53">
        <v>0</v>
      </c>
      <c r="J106" s="10">
        <f t="shared" si="88"/>
        <v>0</v>
      </c>
      <c r="K106" s="10">
        <f t="shared" si="89"/>
        <v>0</v>
      </c>
      <c r="L106" s="10">
        <f t="shared" si="90"/>
        <v>0</v>
      </c>
      <c r="M106" s="47"/>
      <c r="Z106" s="10">
        <f t="shared" si="91"/>
        <v>0</v>
      </c>
      <c r="AB106" s="10">
        <f t="shared" si="92"/>
        <v>0</v>
      </c>
      <c r="AC106" s="10">
        <f t="shared" si="93"/>
        <v>0</v>
      </c>
      <c r="AD106" s="10">
        <f t="shared" si="94"/>
        <v>0</v>
      </c>
      <c r="AE106" s="10">
        <f t="shared" si="95"/>
        <v>0</v>
      </c>
      <c r="AF106" s="10">
        <f t="shared" si="96"/>
        <v>0</v>
      </c>
      <c r="AG106" s="10">
        <f t="shared" si="97"/>
        <v>0</v>
      </c>
      <c r="AH106" s="10">
        <f t="shared" si="98"/>
        <v>0</v>
      </c>
      <c r="AI106" s="43" t="s">
        <v>44</v>
      </c>
      <c r="AJ106" s="10">
        <f t="shared" si="99"/>
        <v>0</v>
      </c>
      <c r="AK106" s="10">
        <f t="shared" si="100"/>
        <v>0</v>
      </c>
      <c r="AL106" s="10">
        <f t="shared" si="101"/>
        <v>0</v>
      </c>
      <c r="AN106" s="10">
        <v>21</v>
      </c>
      <c r="AO106" s="10">
        <f>I106*0.7774005278745</f>
        <v>0</v>
      </c>
      <c r="AP106" s="10">
        <f>I106*(1-0.7774005278745)</f>
        <v>0</v>
      </c>
      <c r="AQ106" s="41" t="s">
        <v>68</v>
      </c>
      <c r="AV106" s="10">
        <f t="shared" si="102"/>
        <v>0</v>
      </c>
      <c r="AW106" s="10">
        <f t="shared" si="103"/>
        <v>0</v>
      </c>
      <c r="AX106" s="10">
        <f t="shared" si="104"/>
        <v>0</v>
      </c>
      <c r="AY106" s="41" t="s">
        <v>235</v>
      </c>
      <c r="AZ106" s="41" t="s">
        <v>153</v>
      </c>
      <c r="BA106" s="43" t="s">
        <v>51</v>
      </c>
      <c r="BC106" s="10">
        <f t="shared" si="105"/>
        <v>0</v>
      </c>
      <c r="BD106" s="10">
        <f t="shared" si="106"/>
        <v>0</v>
      </c>
      <c r="BE106" s="10">
        <v>0</v>
      </c>
      <c r="BF106" s="10">
        <f>106</f>
        <v>106</v>
      </c>
      <c r="BH106" s="10">
        <f t="shared" si="107"/>
        <v>0</v>
      </c>
      <c r="BI106" s="10">
        <f t="shared" si="108"/>
        <v>0</v>
      </c>
      <c r="BJ106" s="10">
        <f t="shared" si="109"/>
        <v>0</v>
      </c>
      <c r="BK106" s="10"/>
      <c r="BL106" s="10">
        <v>725</v>
      </c>
    </row>
    <row r="107" spans="2:64" ht="15" customHeight="1">
      <c r="B107" s="25" t="s">
        <v>247</v>
      </c>
      <c r="C107" s="62" t="s">
        <v>248</v>
      </c>
      <c r="D107" s="62"/>
      <c r="E107" s="62"/>
      <c r="F107" s="62"/>
      <c r="G107" s="23" t="s">
        <v>60</v>
      </c>
      <c r="H107" s="10">
        <v>9</v>
      </c>
      <c r="I107" s="53">
        <v>0</v>
      </c>
      <c r="J107" s="10">
        <f t="shared" si="88"/>
        <v>0</v>
      </c>
      <c r="K107" s="10">
        <f t="shared" si="89"/>
        <v>0</v>
      </c>
      <c r="L107" s="10">
        <f t="shared" si="90"/>
        <v>0</v>
      </c>
      <c r="M107" s="47"/>
      <c r="Z107" s="10">
        <f t="shared" si="91"/>
        <v>0</v>
      </c>
      <c r="AB107" s="10">
        <f t="shared" si="92"/>
        <v>0</v>
      </c>
      <c r="AC107" s="10">
        <f t="shared" si="93"/>
        <v>0</v>
      </c>
      <c r="AD107" s="10">
        <f t="shared" si="94"/>
        <v>0</v>
      </c>
      <c r="AE107" s="10">
        <f t="shared" si="95"/>
        <v>0</v>
      </c>
      <c r="AF107" s="10">
        <f t="shared" si="96"/>
        <v>0</v>
      </c>
      <c r="AG107" s="10">
        <f t="shared" si="97"/>
        <v>0</v>
      </c>
      <c r="AH107" s="10">
        <f t="shared" si="98"/>
        <v>0</v>
      </c>
      <c r="AI107" s="43" t="s">
        <v>44</v>
      </c>
      <c r="AJ107" s="10">
        <f t="shared" si="99"/>
        <v>0</v>
      </c>
      <c r="AK107" s="10">
        <f t="shared" si="100"/>
        <v>0</v>
      </c>
      <c r="AL107" s="10">
        <f t="shared" si="101"/>
        <v>0</v>
      </c>
      <c r="AN107" s="10">
        <v>21</v>
      </c>
      <c r="AO107" s="10">
        <f>I107*0.87918282906646</f>
        <v>0</v>
      </c>
      <c r="AP107" s="10">
        <f>I107*(1-0.87918282906646)</f>
        <v>0</v>
      </c>
      <c r="AQ107" s="41" t="s">
        <v>68</v>
      </c>
      <c r="AV107" s="10">
        <f t="shared" si="102"/>
        <v>0</v>
      </c>
      <c r="AW107" s="10">
        <f t="shared" si="103"/>
        <v>0</v>
      </c>
      <c r="AX107" s="10">
        <f t="shared" si="104"/>
        <v>0</v>
      </c>
      <c r="AY107" s="41" t="s">
        <v>235</v>
      </c>
      <c r="AZ107" s="41" t="s">
        <v>153</v>
      </c>
      <c r="BA107" s="43" t="s">
        <v>51</v>
      </c>
      <c r="BC107" s="10">
        <f t="shared" si="105"/>
        <v>0</v>
      </c>
      <c r="BD107" s="10">
        <f t="shared" si="106"/>
        <v>0</v>
      </c>
      <c r="BE107" s="10">
        <v>0</v>
      </c>
      <c r="BF107" s="10">
        <f>107</f>
        <v>107</v>
      </c>
      <c r="BH107" s="10">
        <f t="shared" si="107"/>
        <v>0</v>
      </c>
      <c r="BI107" s="10">
        <f t="shared" si="108"/>
        <v>0</v>
      </c>
      <c r="BJ107" s="10">
        <f t="shared" si="109"/>
        <v>0</v>
      </c>
      <c r="BK107" s="10"/>
      <c r="BL107" s="10">
        <v>725</v>
      </c>
    </row>
    <row r="108" spans="2:64" ht="15" customHeight="1">
      <c r="B108" s="25" t="s">
        <v>249</v>
      </c>
      <c r="C108" s="62" t="s">
        <v>250</v>
      </c>
      <c r="D108" s="62"/>
      <c r="E108" s="62"/>
      <c r="F108" s="62"/>
      <c r="G108" s="23" t="s">
        <v>60</v>
      </c>
      <c r="H108" s="10">
        <v>9</v>
      </c>
      <c r="I108" s="53">
        <v>0</v>
      </c>
      <c r="J108" s="10">
        <f t="shared" si="88"/>
        <v>0</v>
      </c>
      <c r="K108" s="10">
        <f t="shared" si="89"/>
        <v>0</v>
      </c>
      <c r="L108" s="10">
        <f t="shared" si="90"/>
        <v>0</v>
      </c>
      <c r="M108" s="47"/>
      <c r="Z108" s="10">
        <f t="shared" si="91"/>
        <v>0</v>
      </c>
      <c r="AB108" s="10">
        <f t="shared" si="92"/>
        <v>0</v>
      </c>
      <c r="AC108" s="10">
        <f t="shared" si="93"/>
        <v>0</v>
      </c>
      <c r="AD108" s="10">
        <f t="shared" si="94"/>
        <v>0</v>
      </c>
      <c r="AE108" s="10">
        <f t="shared" si="95"/>
        <v>0</v>
      </c>
      <c r="AF108" s="10">
        <f t="shared" si="96"/>
        <v>0</v>
      </c>
      <c r="AG108" s="10">
        <f t="shared" si="97"/>
        <v>0</v>
      </c>
      <c r="AH108" s="10">
        <f t="shared" si="98"/>
        <v>0</v>
      </c>
      <c r="AI108" s="43" t="s">
        <v>44</v>
      </c>
      <c r="AJ108" s="10">
        <f t="shared" si="99"/>
        <v>0</v>
      </c>
      <c r="AK108" s="10">
        <f t="shared" si="100"/>
        <v>0</v>
      </c>
      <c r="AL108" s="10">
        <f t="shared" si="101"/>
        <v>0</v>
      </c>
      <c r="AN108" s="10">
        <v>21</v>
      </c>
      <c r="AO108" s="10">
        <f>I108*0.684191489361702</f>
        <v>0</v>
      </c>
      <c r="AP108" s="10">
        <f>I108*(1-0.684191489361702)</f>
        <v>0</v>
      </c>
      <c r="AQ108" s="41" t="s">
        <v>68</v>
      </c>
      <c r="AV108" s="10">
        <f t="shared" si="102"/>
        <v>0</v>
      </c>
      <c r="AW108" s="10">
        <f t="shared" si="103"/>
        <v>0</v>
      </c>
      <c r="AX108" s="10">
        <f t="shared" si="104"/>
        <v>0</v>
      </c>
      <c r="AY108" s="41" t="s">
        <v>235</v>
      </c>
      <c r="AZ108" s="41" t="s">
        <v>153</v>
      </c>
      <c r="BA108" s="43" t="s">
        <v>51</v>
      </c>
      <c r="BC108" s="10">
        <f t="shared" si="105"/>
        <v>0</v>
      </c>
      <c r="BD108" s="10">
        <f t="shared" si="106"/>
        <v>0</v>
      </c>
      <c r="BE108" s="10">
        <v>0</v>
      </c>
      <c r="BF108" s="10">
        <f>108</f>
        <v>108</v>
      </c>
      <c r="BH108" s="10">
        <f t="shared" si="107"/>
        <v>0</v>
      </c>
      <c r="BI108" s="10">
        <f t="shared" si="108"/>
        <v>0</v>
      </c>
      <c r="BJ108" s="10">
        <f t="shared" si="109"/>
        <v>0</v>
      </c>
      <c r="BK108" s="10"/>
      <c r="BL108" s="10">
        <v>725</v>
      </c>
    </row>
    <row r="109" spans="2:64" ht="15" customHeight="1">
      <c r="B109" s="25" t="s">
        <v>251</v>
      </c>
      <c r="C109" s="62" t="s">
        <v>252</v>
      </c>
      <c r="D109" s="62"/>
      <c r="E109" s="62"/>
      <c r="F109" s="62"/>
      <c r="G109" s="23" t="s">
        <v>60</v>
      </c>
      <c r="H109" s="10">
        <v>9</v>
      </c>
      <c r="I109" s="53">
        <v>0</v>
      </c>
      <c r="J109" s="10">
        <f t="shared" si="88"/>
        <v>0</v>
      </c>
      <c r="K109" s="10">
        <f t="shared" si="89"/>
        <v>0</v>
      </c>
      <c r="L109" s="10">
        <f t="shared" si="90"/>
        <v>0</v>
      </c>
      <c r="M109" s="47"/>
      <c r="Z109" s="10">
        <f t="shared" si="91"/>
        <v>0</v>
      </c>
      <c r="AB109" s="10">
        <f t="shared" si="92"/>
        <v>0</v>
      </c>
      <c r="AC109" s="10">
        <f t="shared" si="93"/>
        <v>0</v>
      </c>
      <c r="AD109" s="10">
        <f t="shared" si="94"/>
        <v>0</v>
      </c>
      <c r="AE109" s="10">
        <f t="shared" si="95"/>
        <v>0</v>
      </c>
      <c r="AF109" s="10">
        <f t="shared" si="96"/>
        <v>0</v>
      </c>
      <c r="AG109" s="10">
        <f t="shared" si="97"/>
        <v>0</v>
      </c>
      <c r="AH109" s="10">
        <f t="shared" si="98"/>
        <v>0</v>
      </c>
      <c r="AI109" s="43" t="s">
        <v>44</v>
      </c>
      <c r="AJ109" s="10">
        <f t="shared" si="99"/>
        <v>0</v>
      </c>
      <c r="AK109" s="10">
        <f t="shared" si="100"/>
        <v>0</v>
      </c>
      <c r="AL109" s="10">
        <f t="shared" si="101"/>
        <v>0</v>
      </c>
      <c r="AN109" s="10">
        <v>21</v>
      </c>
      <c r="AO109" s="10">
        <f>I109*0.890604575163399</f>
        <v>0</v>
      </c>
      <c r="AP109" s="10">
        <f>I109*(1-0.890604575163399)</f>
        <v>0</v>
      </c>
      <c r="AQ109" s="41" t="s">
        <v>68</v>
      </c>
      <c r="AV109" s="10">
        <f t="shared" si="102"/>
        <v>0</v>
      </c>
      <c r="AW109" s="10">
        <f t="shared" si="103"/>
        <v>0</v>
      </c>
      <c r="AX109" s="10">
        <f t="shared" si="104"/>
        <v>0</v>
      </c>
      <c r="AY109" s="41" t="s">
        <v>235</v>
      </c>
      <c r="AZ109" s="41" t="s">
        <v>153</v>
      </c>
      <c r="BA109" s="43" t="s">
        <v>51</v>
      </c>
      <c r="BC109" s="10">
        <f t="shared" si="105"/>
        <v>0</v>
      </c>
      <c r="BD109" s="10">
        <f t="shared" si="106"/>
        <v>0</v>
      </c>
      <c r="BE109" s="10">
        <v>0</v>
      </c>
      <c r="BF109" s="10">
        <f>109</f>
        <v>109</v>
      </c>
      <c r="BH109" s="10">
        <f t="shared" si="107"/>
        <v>0</v>
      </c>
      <c r="BI109" s="10">
        <f t="shared" si="108"/>
        <v>0</v>
      </c>
      <c r="BJ109" s="10">
        <f t="shared" si="109"/>
        <v>0</v>
      </c>
      <c r="BK109" s="10"/>
      <c r="BL109" s="10">
        <v>725</v>
      </c>
    </row>
    <row r="110" spans="2:64" ht="15" customHeight="1">
      <c r="B110" s="25" t="s">
        <v>253</v>
      </c>
      <c r="C110" s="62" t="s">
        <v>254</v>
      </c>
      <c r="D110" s="62"/>
      <c r="E110" s="62"/>
      <c r="F110" s="62"/>
      <c r="G110" s="23" t="s">
        <v>60</v>
      </c>
      <c r="H110" s="10">
        <v>9</v>
      </c>
      <c r="I110" s="53">
        <v>0</v>
      </c>
      <c r="J110" s="10">
        <f t="shared" si="88"/>
        <v>0</v>
      </c>
      <c r="K110" s="10">
        <f t="shared" si="89"/>
        <v>0</v>
      </c>
      <c r="L110" s="10">
        <f t="shared" si="90"/>
        <v>0</v>
      </c>
      <c r="M110" s="47"/>
      <c r="Z110" s="10">
        <f t="shared" si="91"/>
        <v>0</v>
      </c>
      <c r="AB110" s="10">
        <f t="shared" si="92"/>
        <v>0</v>
      </c>
      <c r="AC110" s="10">
        <f t="shared" si="93"/>
        <v>0</v>
      </c>
      <c r="AD110" s="10">
        <f t="shared" si="94"/>
        <v>0</v>
      </c>
      <c r="AE110" s="10">
        <f t="shared" si="95"/>
        <v>0</v>
      </c>
      <c r="AF110" s="10">
        <f t="shared" si="96"/>
        <v>0</v>
      </c>
      <c r="AG110" s="10">
        <f t="shared" si="97"/>
        <v>0</v>
      </c>
      <c r="AH110" s="10">
        <f t="shared" si="98"/>
        <v>0</v>
      </c>
      <c r="AI110" s="43" t="s">
        <v>44</v>
      </c>
      <c r="AJ110" s="10">
        <f t="shared" si="99"/>
        <v>0</v>
      </c>
      <c r="AK110" s="10">
        <f t="shared" si="100"/>
        <v>0</v>
      </c>
      <c r="AL110" s="10">
        <f t="shared" si="101"/>
        <v>0</v>
      </c>
      <c r="AN110" s="10">
        <v>21</v>
      </c>
      <c r="AO110" s="10">
        <f>I110*0.856875272727273</f>
        <v>0</v>
      </c>
      <c r="AP110" s="10">
        <f>I110*(1-0.856875272727273)</f>
        <v>0</v>
      </c>
      <c r="AQ110" s="41" t="s">
        <v>68</v>
      </c>
      <c r="AV110" s="10">
        <f t="shared" si="102"/>
        <v>0</v>
      </c>
      <c r="AW110" s="10">
        <f t="shared" si="103"/>
        <v>0</v>
      </c>
      <c r="AX110" s="10">
        <f t="shared" si="104"/>
        <v>0</v>
      </c>
      <c r="AY110" s="41" t="s">
        <v>235</v>
      </c>
      <c r="AZ110" s="41" t="s">
        <v>153</v>
      </c>
      <c r="BA110" s="43" t="s">
        <v>51</v>
      </c>
      <c r="BC110" s="10">
        <f t="shared" si="105"/>
        <v>0</v>
      </c>
      <c r="BD110" s="10">
        <f t="shared" si="106"/>
        <v>0</v>
      </c>
      <c r="BE110" s="10">
        <v>0</v>
      </c>
      <c r="BF110" s="10">
        <f>110</f>
        <v>110</v>
      </c>
      <c r="BH110" s="10">
        <f t="shared" si="107"/>
        <v>0</v>
      </c>
      <c r="BI110" s="10">
        <f t="shared" si="108"/>
        <v>0</v>
      </c>
      <c r="BJ110" s="10">
        <f t="shared" si="109"/>
        <v>0</v>
      </c>
      <c r="BK110" s="10"/>
      <c r="BL110" s="10">
        <v>725</v>
      </c>
    </row>
    <row r="111" spans="2:64" ht="15" customHeight="1">
      <c r="B111" s="25" t="s">
        <v>255</v>
      </c>
      <c r="C111" s="62" t="s">
        <v>256</v>
      </c>
      <c r="D111" s="62"/>
      <c r="E111" s="62"/>
      <c r="F111" s="62"/>
      <c r="G111" s="23" t="s">
        <v>181</v>
      </c>
      <c r="H111" s="10">
        <v>17</v>
      </c>
      <c r="I111" s="53">
        <v>0</v>
      </c>
      <c r="J111" s="10">
        <f t="shared" si="88"/>
        <v>0</v>
      </c>
      <c r="K111" s="10">
        <f t="shared" si="89"/>
        <v>0</v>
      </c>
      <c r="L111" s="10">
        <f t="shared" si="90"/>
        <v>0</v>
      </c>
      <c r="M111" s="47"/>
      <c r="Z111" s="10">
        <f t="shared" si="91"/>
        <v>0</v>
      </c>
      <c r="AB111" s="10">
        <f t="shared" si="92"/>
        <v>0</v>
      </c>
      <c r="AC111" s="10">
        <f t="shared" si="93"/>
        <v>0</v>
      </c>
      <c r="AD111" s="10">
        <f t="shared" si="94"/>
        <v>0</v>
      </c>
      <c r="AE111" s="10">
        <f t="shared" si="95"/>
        <v>0</v>
      </c>
      <c r="AF111" s="10">
        <f t="shared" si="96"/>
        <v>0</v>
      </c>
      <c r="AG111" s="10">
        <f t="shared" si="97"/>
        <v>0</v>
      </c>
      <c r="AH111" s="10">
        <f t="shared" si="98"/>
        <v>0</v>
      </c>
      <c r="AI111" s="43" t="s">
        <v>44</v>
      </c>
      <c r="AJ111" s="10">
        <f t="shared" si="99"/>
        <v>0</v>
      </c>
      <c r="AK111" s="10">
        <f t="shared" si="100"/>
        <v>0</v>
      </c>
      <c r="AL111" s="10">
        <f t="shared" si="101"/>
        <v>0</v>
      </c>
      <c r="AN111" s="10">
        <v>21</v>
      </c>
      <c r="AO111" s="10">
        <f>I111*0.86827293064877</f>
        <v>0</v>
      </c>
      <c r="AP111" s="10">
        <f>I111*(1-0.86827293064877)</f>
        <v>0</v>
      </c>
      <c r="AQ111" s="41" t="s">
        <v>68</v>
      </c>
      <c r="AV111" s="10">
        <f t="shared" si="102"/>
        <v>0</v>
      </c>
      <c r="AW111" s="10">
        <f t="shared" si="103"/>
        <v>0</v>
      </c>
      <c r="AX111" s="10">
        <f t="shared" si="104"/>
        <v>0</v>
      </c>
      <c r="AY111" s="41" t="s">
        <v>235</v>
      </c>
      <c r="AZ111" s="41" t="s">
        <v>153</v>
      </c>
      <c r="BA111" s="43" t="s">
        <v>51</v>
      </c>
      <c r="BC111" s="10">
        <f t="shared" si="105"/>
        <v>0</v>
      </c>
      <c r="BD111" s="10">
        <f t="shared" si="106"/>
        <v>0</v>
      </c>
      <c r="BE111" s="10">
        <v>0</v>
      </c>
      <c r="BF111" s="10">
        <f>111</f>
        <v>111</v>
      </c>
      <c r="BH111" s="10">
        <f t="shared" si="107"/>
        <v>0</v>
      </c>
      <c r="BI111" s="10">
        <f t="shared" si="108"/>
        <v>0</v>
      </c>
      <c r="BJ111" s="10">
        <f t="shared" si="109"/>
        <v>0</v>
      </c>
      <c r="BK111" s="10"/>
      <c r="BL111" s="10">
        <v>725</v>
      </c>
    </row>
    <row r="112" spans="2:64" ht="15" customHeight="1">
      <c r="B112" s="25" t="s">
        <v>257</v>
      </c>
      <c r="C112" s="62" t="s">
        <v>258</v>
      </c>
      <c r="D112" s="62"/>
      <c r="E112" s="62"/>
      <c r="F112" s="62"/>
      <c r="G112" s="23" t="s">
        <v>173</v>
      </c>
      <c r="H112" s="10">
        <v>9</v>
      </c>
      <c r="I112" s="53">
        <v>0</v>
      </c>
      <c r="J112" s="10">
        <f t="shared" si="88"/>
        <v>0</v>
      </c>
      <c r="K112" s="10">
        <f t="shared" si="89"/>
        <v>0</v>
      </c>
      <c r="L112" s="10">
        <f t="shared" si="90"/>
        <v>0</v>
      </c>
      <c r="M112" s="47"/>
      <c r="Z112" s="10">
        <f t="shared" si="91"/>
        <v>0</v>
      </c>
      <c r="AB112" s="10">
        <f t="shared" si="92"/>
        <v>0</v>
      </c>
      <c r="AC112" s="10">
        <f t="shared" si="93"/>
        <v>0</v>
      </c>
      <c r="AD112" s="10">
        <f t="shared" si="94"/>
        <v>0</v>
      </c>
      <c r="AE112" s="10">
        <f t="shared" si="95"/>
        <v>0</v>
      </c>
      <c r="AF112" s="10">
        <f t="shared" si="96"/>
        <v>0</v>
      </c>
      <c r="AG112" s="10">
        <f t="shared" si="97"/>
        <v>0</v>
      </c>
      <c r="AH112" s="10">
        <f t="shared" si="98"/>
        <v>0</v>
      </c>
      <c r="AI112" s="43" t="s">
        <v>44</v>
      </c>
      <c r="AJ112" s="10">
        <f t="shared" si="99"/>
        <v>0</v>
      </c>
      <c r="AK112" s="10">
        <f t="shared" si="100"/>
        <v>0</v>
      </c>
      <c r="AL112" s="10">
        <f t="shared" si="101"/>
        <v>0</v>
      </c>
      <c r="AN112" s="10">
        <v>21</v>
      </c>
      <c r="AO112" s="10">
        <f>I112*0.124517704517705</f>
        <v>0</v>
      </c>
      <c r="AP112" s="10">
        <f>I112*(1-0.124517704517705)</f>
        <v>0</v>
      </c>
      <c r="AQ112" s="41" t="s">
        <v>68</v>
      </c>
      <c r="AV112" s="10">
        <f t="shared" si="102"/>
        <v>0</v>
      </c>
      <c r="AW112" s="10">
        <f t="shared" si="103"/>
        <v>0</v>
      </c>
      <c r="AX112" s="10">
        <f t="shared" si="104"/>
        <v>0</v>
      </c>
      <c r="AY112" s="41" t="s">
        <v>235</v>
      </c>
      <c r="AZ112" s="41" t="s">
        <v>153</v>
      </c>
      <c r="BA112" s="43" t="s">
        <v>51</v>
      </c>
      <c r="BC112" s="10">
        <f t="shared" si="105"/>
        <v>0</v>
      </c>
      <c r="BD112" s="10">
        <f t="shared" si="106"/>
        <v>0</v>
      </c>
      <c r="BE112" s="10">
        <v>0</v>
      </c>
      <c r="BF112" s="10">
        <f>112</f>
        <v>112</v>
      </c>
      <c r="BH112" s="10">
        <f t="shared" si="107"/>
        <v>0</v>
      </c>
      <c r="BI112" s="10">
        <f t="shared" si="108"/>
        <v>0</v>
      </c>
      <c r="BJ112" s="10">
        <f t="shared" si="109"/>
        <v>0</v>
      </c>
      <c r="BK112" s="10"/>
      <c r="BL112" s="10">
        <v>725</v>
      </c>
    </row>
    <row r="113" spans="2:64" ht="15" customHeight="1">
      <c r="B113" s="25" t="s">
        <v>259</v>
      </c>
      <c r="C113" s="62" t="s">
        <v>260</v>
      </c>
      <c r="D113" s="62"/>
      <c r="E113" s="62"/>
      <c r="F113" s="62"/>
      <c r="G113" s="23" t="s">
        <v>181</v>
      </c>
      <c r="H113" s="10">
        <v>19</v>
      </c>
      <c r="I113" s="53">
        <v>0</v>
      </c>
      <c r="J113" s="10">
        <f t="shared" si="88"/>
        <v>0</v>
      </c>
      <c r="K113" s="10">
        <f t="shared" si="89"/>
        <v>0</v>
      </c>
      <c r="L113" s="10">
        <f t="shared" si="90"/>
        <v>0</v>
      </c>
      <c r="M113" s="47"/>
      <c r="Z113" s="10">
        <f t="shared" si="91"/>
        <v>0</v>
      </c>
      <c r="AB113" s="10">
        <f t="shared" si="92"/>
        <v>0</v>
      </c>
      <c r="AC113" s="10">
        <f t="shared" si="93"/>
        <v>0</v>
      </c>
      <c r="AD113" s="10">
        <f t="shared" si="94"/>
        <v>0</v>
      </c>
      <c r="AE113" s="10">
        <f t="shared" si="95"/>
        <v>0</v>
      </c>
      <c r="AF113" s="10">
        <f t="shared" si="96"/>
        <v>0</v>
      </c>
      <c r="AG113" s="10">
        <f t="shared" si="97"/>
        <v>0</v>
      </c>
      <c r="AH113" s="10">
        <f t="shared" si="98"/>
        <v>0</v>
      </c>
      <c r="AI113" s="43" t="s">
        <v>44</v>
      </c>
      <c r="AJ113" s="10">
        <f t="shared" si="99"/>
        <v>0</v>
      </c>
      <c r="AK113" s="10">
        <f t="shared" si="100"/>
        <v>0</v>
      </c>
      <c r="AL113" s="10">
        <f t="shared" si="101"/>
        <v>0</v>
      </c>
      <c r="AN113" s="10">
        <v>21</v>
      </c>
      <c r="AO113" s="10">
        <f>I113*0.127931034482759</f>
        <v>0</v>
      </c>
      <c r="AP113" s="10">
        <f>I113*(1-0.127931034482759)</f>
        <v>0</v>
      </c>
      <c r="AQ113" s="41" t="s">
        <v>68</v>
      </c>
      <c r="AV113" s="10">
        <f t="shared" si="102"/>
        <v>0</v>
      </c>
      <c r="AW113" s="10">
        <f t="shared" si="103"/>
        <v>0</v>
      </c>
      <c r="AX113" s="10">
        <f t="shared" si="104"/>
        <v>0</v>
      </c>
      <c r="AY113" s="41" t="s">
        <v>235</v>
      </c>
      <c r="AZ113" s="41" t="s">
        <v>153</v>
      </c>
      <c r="BA113" s="43" t="s">
        <v>51</v>
      </c>
      <c r="BC113" s="10">
        <f t="shared" si="105"/>
        <v>0</v>
      </c>
      <c r="BD113" s="10">
        <f t="shared" si="106"/>
        <v>0</v>
      </c>
      <c r="BE113" s="10">
        <v>0</v>
      </c>
      <c r="BF113" s="10">
        <f>113</f>
        <v>113</v>
      </c>
      <c r="BH113" s="10">
        <f t="shared" si="107"/>
        <v>0</v>
      </c>
      <c r="BI113" s="10">
        <f t="shared" si="108"/>
        <v>0</v>
      </c>
      <c r="BJ113" s="10">
        <f t="shared" si="109"/>
        <v>0</v>
      </c>
      <c r="BK113" s="10"/>
      <c r="BL113" s="10">
        <v>725</v>
      </c>
    </row>
    <row r="114" spans="2:64" ht="15" customHeight="1">
      <c r="B114" s="25" t="s">
        <v>261</v>
      </c>
      <c r="C114" s="62" t="s">
        <v>262</v>
      </c>
      <c r="D114" s="62"/>
      <c r="E114" s="62"/>
      <c r="F114" s="62"/>
      <c r="G114" s="23" t="s">
        <v>181</v>
      </c>
      <c r="H114" s="10">
        <v>9</v>
      </c>
      <c r="I114" s="53">
        <v>0</v>
      </c>
      <c r="J114" s="10">
        <f t="shared" si="88"/>
        <v>0</v>
      </c>
      <c r="K114" s="10">
        <f t="shared" si="89"/>
        <v>0</v>
      </c>
      <c r="L114" s="10">
        <f t="shared" si="90"/>
        <v>0</v>
      </c>
      <c r="M114" s="47"/>
      <c r="Z114" s="10">
        <f t="shared" si="91"/>
        <v>0</v>
      </c>
      <c r="AB114" s="10">
        <f t="shared" si="92"/>
        <v>0</v>
      </c>
      <c r="AC114" s="10">
        <f t="shared" si="93"/>
        <v>0</v>
      </c>
      <c r="AD114" s="10">
        <f t="shared" si="94"/>
        <v>0</v>
      </c>
      <c r="AE114" s="10">
        <f t="shared" si="95"/>
        <v>0</v>
      </c>
      <c r="AF114" s="10">
        <f t="shared" si="96"/>
        <v>0</v>
      </c>
      <c r="AG114" s="10">
        <f t="shared" si="97"/>
        <v>0</v>
      </c>
      <c r="AH114" s="10">
        <f t="shared" si="98"/>
        <v>0</v>
      </c>
      <c r="AI114" s="43" t="s">
        <v>44</v>
      </c>
      <c r="AJ114" s="10">
        <f t="shared" si="99"/>
        <v>0</v>
      </c>
      <c r="AK114" s="10">
        <f t="shared" si="100"/>
        <v>0</v>
      </c>
      <c r="AL114" s="10">
        <f t="shared" si="101"/>
        <v>0</v>
      </c>
      <c r="AN114" s="10">
        <v>21</v>
      </c>
      <c r="AO114" s="10">
        <f>I114*0.127938021454112</f>
        <v>0</v>
      </c>
      <c r="AP114" s="10">
        <f>I114*(1-0.127938021454112)</f>
        <v>0</v>
      </c>
      <c r="AQ114" s="41" t="s">
        <v>68</v>
      </c>
      <c r="AV114" s="10">
        <f t="shared" si="102"/>
        <v>0</v>
      </c>
      <c r="AW114" s="10">
        <f t="shared" si="103"/>
        <v>0</v>
      </c>
      <c r="AX114" s="10">
        <f t="shared" si="104"/>
        <v>0</v>
      </c>
      <c r="AY114" s="41" t="s">
        <v>235</v>
      </c>
      <c r="AZ114" s="41" t="s">
        <v>153</v>
      </c>
      <c r="BA114" s="43" t="s">
        <v>51</v>
      </c>
      <c r="BC114" s="10">
        <f t="shared" si="105"/>
        <v>0</v>
      </c>
      <c r="BD114" s="10">
        <f t="shared" si="106"/>
        <v>0</v>
      </c>
      <c r="BE114" s="10">
        <v>0</v>
      </c>
      <c r="BF114" s="10">
        <f>114</f>
        <v>114</v>
      </c>
      <c r="BH114" s="10">
        <f t="shared" si="107"/>
        <v>0</v>
      </c>
      <c r="BI114" s="10">
        <f t="shared" si="108"/>
        <v>0</v>
      </c>
      <c r="BJ114" s="10">
        <f t="shared" si="109"/>
        <v>0</v>
      </c>
      <c r="BK114" s="10"/>
      <c r="BL114" s="10">
        <v>725</v>
      </c>
    </row>
    <row r="115" spans="2:47" ht="15" customHeight="1">
      <c r="B115" s="14" t="s">
        <v>44</v>
      </c>
      <c r="C115" s="78" t="s">
        <v>263</v>
      </c>
      <c r="D115" s="78"/>
      <c r="E115" s="78"/>
      <c r="F115" s="78"/>
      <c r="G115" s="19" t="s">
        <v>4</v>
      </c>
      <c r="H115" s="19" t="s">
        <v>4</v>
      </c>
      <c r="I115" s="19" t="s">
        <v>4</v>
      </c>
      <c r="J115" s="28">
        <f>SUM(J116:J116)</f>
        <v>0</v>
      </c>
      <c r="K115" s="28">
        <f>SUM(K116:K116)</f>
        <v>0</v>
      </c>
      <c r="L115" s="28">
        <f>SUM(L116:L116)</f>
        <v>0</v>
      </c>
      <c r="M115" s="2"/>
      <c r="AI115" s="43" t="s">
        <v>44</v>
      </c>
      <c r="AS115" s="28">
        <f>SUM(AJ116:AJ116)</f>
        <v>0</v>
      </c>
      <c r="AT115" s="28">
        <f>SUM(AK116:AK116)</f>
        <v>0</v>
      </c>
      <c r="AU115" s="28">
        <f>SUM(AL116:AL116)</f>
        <v>0</v>
      </c>
    </row>
    <row r="116" spans="2:64" ht="15" customHeight="1">
      <c r="B116" s="25" t="s">
        <v>264</v>
      </c>
      <c r="C116" s="62" t="s">
        <v>265</v>
      </c>
      <c r="D116" s="62"/>
      <c r="E116" s="62"/>
      <c r="F116" s="62"/>
      <c r="G116" s="23" t="s">
        <v>55</v>
      </c>
      <c r="H116" s="10">
        <v>285</v>
      </c>
      <c r="I116" s="53">
        <v>0</v>
      </c>
      <c r="J116" s="10">
        <f>H116*AO116</f>
        <v>0</v>
      </c>
      <c r="K116" s="10">
        <f>H116*AP116</f>
        <v>0</v>
      </c>
      <c r="L116" s="10">
        <f>H116*I116</f>
        <v>0</v>
      </c>
      <c r="M116" s="47"/>
      <c r="Z116" s="10">
        <f>IF(AQ116="5",BJ116,0)</f>
        <v>0</v>
      </c>
      <c r="AB116" s="10">
        <f>IF(AQ116="1",BH116,0)</f>
        <v>0</v>
      </c>
      <c r="AC116" s="10">
        <f>IF(AQ116="1",BI116,0)</f>
        <v>0</v>
      </c>
      <c r="AD116" s="10">
        <f>IF(AQ116="7",BH116,0)</f>
        <v>0</v>
      </c>
      <c r="AE116" s="10">
        <f>IF(AQ116="7",BI116,0)</f>
        <v>0</v>
      </c>
      <c r="AF116" s="10">
        <f>IF(AQ116="2",BH116,0)</f>
        <v>0</v>
      </c>
      <c r="AG116" s="10">
        <f>IF(AQ116="2",BI116,0)</f>
        <v>0</v>
      </c>
      <c r="AH116" s="10">
        <f>IF(AQ116="0",BJ116,0)</f>
        <v>0</v>
      </c>
      <c r="AI116" s="43" t="s">
        <v>44</v>
      </c>
      <c r="AJ116" s="10">
        <f>IF(AN116=0,L116,0)</f>
        <v>0</v>
      </c>
      <c r="AK116" s="10">
        <f>IF(AN116=15,L116,0)</f>
        <v>0</v>
      </c>
      <c r="AL116" s="10">
        <f>IF(AN116=21,L116,0)</f>
        <v>0</v>
      </c>
      <c r="AN116" s="10">
        <v>21</v>
      </c>
      <c r="AO116" s="10">
        <f>I116*0.0236842105263158</f>
        <v>0</v>
      </c>
      <c r="AP116" s="10">
        <f>I116*(1-0.0236842105263158)</f>
        <v>0</v>
      </c>
      <c r="AQ116" s="41" t="s">
        <v>68</v>
      </c>
      <c r="AV116" s="10">
        <f>AW116+AX116</f>
        <v>0</v>
      </c>
      <c r="AW116" s="10">
        <f>H116*AO116</f>
        <v>0</v>
      </c>
      <c r="AX116" s="10">
        <f>H116*AP116</f>
        <v>0</v>
      </c>
      <c r="AY116" s="41" t="s">
        <v>266</v>
      </c>
      <c r="AZ116" s="41" t="s">
        <v>267</v>
      </c>
      <c r="BA116" s="43" t="s">
        <v>51</v>
      </c>
      <c r="BC116" s="10">
        <f>AW116+AX116</f>
        <v>0</v>
      </c>
      <c r="BD116" s="10">
        <f>I116/(100-BE116)*100</f>
        <v>0</v>
      </c>
      <c r="BE116" s="10">
        <v>0</v>
      </c>
      <c r="BF116" s="10">
        <f>116</f>
        <v>116</v>
      </c>
      <c r="BH116" s="10">
        <f>H116*AO116</f>
        <v>0</v>
      </c>
      <c r="BI116" s="10">
        <f>H116*AP116</f>
        <v>0</v>
      </c>
      <c r="BJ116" s="10">
        <f>H116*I116</f>
        <v>0</v>
      </c>
      <c r="BK116" s="10"/>
      <c r="BL116" s="10">
        <v>733</v>
      </c>
    </row>
    <row r="117" spans="2:47" ht="15" customHeight="1">
      <c r="B117" s="14" t="s">
        <v>44</v>
      </c>
      <c r="C117" s="78" t="s">
        <v>268</v>
      </c>
      <c r="D117" s="78"/>
      <c r="E117" s="78"/>
      <c r="F117" s="78"/>
      <c r="G117" s="19" t="s">
        <v>4</v>
      </c>
      <c r="H117" s="19" t="s">
        <v>4</v>
      </c>
      <c r="I117" s="19" t="s">
        <v>4</v>
      </c>
      <c r="J117" s="28">
        <f>SUM(J118:J118)</f>
        <v>0</v>
      </c>
      <c r="K117" s="28">
        <f>SUM(K118:K118)</f>
        <v>0</v>
      </c>
      <c r="L117" s="28">
        <f>SUM(L118:L118)</f>
        <v>0</v>
      </c>
      <c r="M117" s="2"/>
      <c r="AI117" s="43" t="s">
        <v>44</v>
      </c>
      <c r="AS117" s="28">
        <f>SUM(AJ118:AJ118)</f>
        <v>0</v>
      </c>
      <c r="AT117" s="28">
        <f>SUM(AK118:AK118)</f>
        <v>0</v>
      </c>
      <c r="AU117" s="28">
        <f>SUM(AL118:AL118)</f>
        <v>0</v>
      </c>
    </row>
    <row r="118" spans="2:64" ht="15" customHeight="1">
      <c r="B118" s="25" t="s">
        <v>269</v>
      </c>
      <c r="C118" s="62" t="s">
        <v>270</v>
      </c>
      <c r="D118" s="62"/>
      <c r="E118" s="62"/>
      <c r="F118" s="62"/>
      <c r="G118" s="23" t="s">
        <v>60</v>
      </c>
      <c r="H118" s="10">
        <v>35</v>
      </c>
      <c r="I118" s="53">
        <v>0</v>
      </c>
      <c r="J118" s="10">
        <f>H118*AO118</f>
        <v>0</v>
      </c>
      <c r="K118" s="10">
        <f>H118*AP118</f>
        <v>0</v>
      </c>
      <c r="L118" s="10">
        <f>H118*I118</f>
        <v>0</v>
      </c>
      <c r="M118" s="47"/>
      <c r="Z118" s="10">
        <f>IF(AQ118="5",BJ118,0)</f>
        <v>0</v>
      </c>
      <c r="AB118" s="10">
        <f>IF(AQ118="1",BH118,0)</f>
        <v>0</v>
      </c>
      <c r="AC118" s="10">
        <f>IF(AQ118="1",BI118,0)</f>
        <v>0</v>
      </c>
      <c r="AD118" s="10">
        <f>IF(AQ118="7",BH118,0)</f>
        <v>0</v>
      </c>
      <c r="AE118" s="10">
        <f>IF(AQ118="7",BI118,0)</f>
        <v>0</v>
      </c>
      <c r="AF118" s="10">
        <f>IF(AQ118="2",BH118,0)</f>
        <v>0</v>
      </c>
      <c r="AG118" s="10">
        <f>IF(AQ118="2",BI118,0)</f>
        <v>0</v>
      </c>
      <c r="AH118" s="10">
        <f>IF(AQ118="0",BJ118,0)</f>
        <v>0</v>
      </c>
      <c r="AI118" s="43" t="s">
        <v>44</v>
      </c>
      <c r="AJ118" s="10">
        <f>IF(AN118=0,L118,0)</f>
        <v>0</v>
      </c>
      <c r="AK118" s="10">
        <f>IF(AN118=15,L118,0)</f>
        <v>0</v>
      </c>
      <c r="AL118" s="10">
        <f>IF(AN118=21,L118,0)</f>
        <v>0</v>
      </c>
      <c r="AN118" s="10">
        <v>21</v>
      </c>
      <c r="AO118" s="10">
        <f>I118*0.0417777777777778</f>
        <v>0</v>
      </c>
      <c r="AP118" s="10">
        <f>I118*(1-0.0417777777777778)</f>
        <v>0</v>
      </c>
      <c r="AQ118" s="41" t="s">
        <v>68</v>
      </c>
      <c r="AV118" s="10">
        <f>AW118+AX118</f>
        <v>0</v>
      </c>
      <c r="AW118" s="10">
        <f>H118*AO118</f>
        <v>0</v>
      </c>
      <c r="AX118" s="10">
        <f>H118*AP118</f>
        <v>0</v>
      </c>
      <c r="AY118" s="41" t="s">
        <v>271</v>
      </c>
      <c r="AZ118" s="41" t="s">
        <v>267</v>
      </c>
      <c r="BA118" s="43" t="s">
        <v>51</v>
      </c>
      <c r="BC118" s="10">
        <f>AW118+AX118</f>
        <v>0</v>
      </c>
      <c r="BD118" s="10">
        <f>I118/(100-BE118)*100</f>
        <v>0</v>
      </c>
      <c r="BE118" s="10">
        <v>0</v>
      </c>
      <c r="BF118" s="10">
        <f>118</f>
        <v>118</v>
      </c>
      <c r="BH118" s="10">
        <f>H118*AO118</f>
        <v>0</v>
      </c>
      <c r="BI118" s="10">
        <f>H118*AP118</f>
        <v>0</v>
      </c>
      <c r="BJ118" s="10">
        <f>H118*I118</f>
        <v>0</v>
      </c>
      <c r="BK118" s="10"/>
      <c r="BL118" s="10">
        <v>734</v>
      </c>
    </row>
    <row r="119" spans="2:47" ht="15" customHeight="1">
      <c r="B119" s="14" t="s">
        <v>44</v>
      </c>
      <c r="C119" s="78" t="s">
        <v>272</v>
      </c>
      <c r="D119" s="78"/>
      <c r="E119" s="78"/>
      <c r="F119" s="78"/>
      <c r="G119" s="19" t="s">
        <v>4</v>
      </c>
      <c r="H119" s="19" t="s">
        <v>4</v>
      </c>
      <c r="I119" s="19" t="s">
        <v>4</v>
      </c>
      <c r="J119" s="28">
        <f>SUM(J120:J121)</f>
        <v>0</v>
      </c>
      <c r="K119" s="28">
        <f>SUM(K120:K121)</f>
        <v>0</v>
      </c>
      <c r="L119" s="28">
        <f>SUM(L120:L121)</f>
        <v>0</v>
      </c>
      <c r="M119" s="2"/>
      <c r="AI119" s="43" t="s">
        <v>44</v>
      </c>
      <c r="AS119" s="28">
        <f>SUM(AJ120:AJ121)</f>
        <v>0</v>
      </c>
      <c r="AT119" s="28">
        <f>SUM(AK120:AK121)</f>
        <v>0</v>
      </c>
      <c r="AU119" s="28">
        <f>SUM(AL120:AL121)</f>
        <v>0</v>
      </c>
    </row>
    <row r="120" spans="2:64" ht="15" customHeight="1">
      <c r="B120" s="25" t="s">
        <v>273</v>
      </c>
      <c r="C120" s="62" t="s">
        <v>274</v>
      </c>
      <c r="D120" s="62"/>
      <c r="E120" s="62"/>
      <c r="F120" s="62"/>
      <c r="G120" s="23" t="s">
        <v>63</v>
      </c>
      <c r="H120" s="10">
        <v>18.72</v>
      </c>
      <c r="I120" s="53">
        <v>0</v>
      </c>
      <c r="J120" s="10">
        <f>H120*AO120</f>
        <v>0</v>
      </c>
      <c r="K120" s="10">
        <f>H120*AP120</f>
        <v>0</v>
      </c>
      <c r="L120" s="10">
        <f>H120*I120</f>
        <v>0</v>
      </c>
      <c r="M120" s="47"/>
      <c r="Z120" s="10">
        <f>IF(AQ120="5",BJ120,0)</f>
        <v>0</v>
      </c>
      <c r="AB120" s="10">
        <f>IF(AQ120="1",BH120,0)</f>
        <v>0</v>
      </c>
      <c r="AC120" s="10">
        <f>IF(AQ120="1",BI120,0)</f>
        <v>0</v>
      </c>
      <c r="AD120" s="10">
        <f>IF(AQ120="7",BH120,0)</f>
        <v>0</v>
      </c>
      <c r="AE120" s="10">
        <f>IF(AQ120="7",BI120,0)</f>
        <v>0</v>
      </c>
      <c r="AF120" s="10">
        <f>IF(AQ120="2",BH120,0)</f>
        <v>0</v>
      </c>
      <c r="AG120" s="10">
        <f>IF(AQ120="2",BI120,0)</f>
        <v>0</v>
      </c>
      <c r="AH120" s="10">
        <f>IF(AQ120="0",BJ120,0)</f>
        <v>0</v>
      </c>
      <c r="AI120" s="43" t="s">
        <v>44</v>
      </c>
      <c r="AJ120" s="10">
        <f>IF(AN120=0,L120,0)</f>
        <v>0</v>
      </c>
      <c r="AK120" s="10">
        <f>IF(AN120=15,L120,0)</f>
        <v>0</v>
      </c>
      <c r="AL120" s="10">
        <f>IF(AN120=21,L120,0)</f>
        <v>0</v>
      </c>
      <c r="AN120" s="10">
        <v>21</v>
      </c>
      <c r="AO120" s="10">
        <f>I120*0.886438095238095</f>
        <v>0</v>
      </c>
      <c r="AP120" s="10">
        <f>I120*(1-0.886438095238095)</f>
        <v>0</v>
      </c>
      <c r="AQ120" s="41" t="s">
        <v>68</v>
      </c>
      <c r="AV120" s="10">
        <f>AW120+AX120</f>
        <v>0</v>
      </c>
      <c r="AW120" s="10">
        <f>H120*AO120</f>
        <v>0</v>
      </c>
      <c r="AX120" s="10">
        <f>H120*AP120</f>
        <v>0</v>
      </c>
      <c r="AY120" s="41" t="s">
        <v>275</v>
      </c>
      <c r="AZ120" s="41" t="s">
        <v>276</v>
      </c>
      <c r="BA120" s="43" t="s">
        <v>51</v>
      </c>
      <c r="BC120" s="10">
        <f>AW120+AX120</f>
        <v>0</v>
      </c>
      <c r="BD120" s="10">
        <f>I120/(100-BE120)*100</f>
        <v>0</v>
      </c>
      <c r="BE120" s="10">
        <v>0</v>
      </c>
      <c r="BF120" s="10">
        <f>120</f>
        <v>120</v>
      </c>
      <c r="BH120" s="10">
        <f>H120*AO120</f>
        <v>0</v>
      </c>
      <c r="BI120" s="10">
        <f>H120*AP120</f>
        <v>0</v>
      </c>
      <c r="BJ120" s="10">
        <f>H120*I120</f>
        <v>0</v>
      </c>
      <c r="BK120" s="10"/>
      <c r="BL120" s="10">
        <v>762</v>
      </c>
    </row>
    <row r="121" spans="2:64" ht="15" customHeight="1">
      <c r="B121" s="25" t="s">
        <v>277</v>
      </c>
      <c r="C121" s="62" t="s">
        <v>278</v>
      </c>
      <c r="D121" s="62"/>
      <c r="E121" s="62"/>
      <c r="F121" s="62"/>
      <c r="G121" s="23" t="s">
        <v>63</v>
      </c>
      <c r="H121" s="10">
        <v>18.72</v>
      </c>
      <c r="I121" s="53">
        <v>0</v>
      </c>
      <c r="J121" s="10">
        <f>H121*AO121</f>
        <v>0</v>
      </c>
      <c r="K121" s="10">
        <f>H121*AP121</f>
        <v>0</v>
      </c>
      <c r="L121" s="10">
        <f>H121*I121</f>
        <v>0</v>
      </c>
      <c r="M121" s="47"/>
      <c r="Z121" s="10">
        <f>IF(AQ121="5",BJ121,0)</f>
        <v>0</v>
      </c>
      <c r="AB121" s="10">
        <f>IF(AQ121="1",BH121,0)</f>
        <v>0</v>
      </c>
      <c r="AC121" s="10">
        <f>IF(AQ121="1",BI121,0)</f>
        <v>0</v>
      </c>
      <c r="AD121" s="10">
        <f>IF(AQ121="7",BH121,0)</f>
        <v>0</v>
      </c>
      <c r="AE121" s="10">
        <f>IF(AQ121="7",BI121,0)</f>
        <v>0</v>
      </c>
      <c r="AF121" s="10">
        <f>IF(AQ121="2",BH121,0)</f>
        <v>0</v>
      </c>
      <c r="AG121" s="10">
        <f>IF(AQ121="2",BI121,0)</f>
        <v>0</v>
      </c>
      <c r="AH121" s="10">
        <f>IF(AQ121="0",BJ121,0)</f>
        <v>0</v>
      </c>
      <c r="AI121" s="43" t="s">
        <v>44</v>
      </c>
      <c r="AJ121" s="10">
        <f>IF(AN121=0,L121,0)</f>
        <v>0</v>
      </c>
      <c r="AK121" s="10">
        <f>IF(AN121=15,L121,0)</f>
        <v>0</v>
      </c>
      <c r="AL121" s="10">
        <f>IF(AN121=21,L121,0)</f>
        <v>0</v>
      </c>
      <c r="AN121" s="10">
        <v>21</v>
      </c>
      <c r="AO121" s="10">
        <f>I121*0.0961538461538462</f>
        <v>0</v>
      </c>
      <c r="AP121" s="10">
        <f>I121*(1-0.0961538461538462)</f>
        <v>0</v>
      </c>
      <c r="AQ121" s="41" t="s">
        <v>68</v>
      </c>
      <c r="AV121" s="10">
        <f>AW121+AX121</f>
        <v>0</v>
      </c>
      <c r="AW121" s="10">
        <f>H121*AO121</f>
        <v>0</v>
      </c>
      <c r="AX121" s="10">
        <f>H121*AP121</f>
        <v>0</v>
      </c>
      <c r="AY121" s="41" t="s">
        <v>275</v>
      </c>
      <c r="AZ121" s="41" t="s">
        <v>276</v>
      </c>
      <c r="BA121" s="43" t="s">
        <v>51</v>
      </c>
      <c r="BC121" s="10">
        <f>AW121+AX121</f>
        <v>0</v>
      </c>
      <c r="BD121" s="10">
        <f>I121/(100-BE121)*100</f>
        <v>0</v>
      </c>
      <c r="BE121" s="10">
        <v>0</v>
      </c>
      <c r="BF121" s="10">
        <f>121</f>
        <v>121</v>
      </c>
      <c r="BH121" s="10">
        <f>H121*AO121</f>
        <v>0</v>
      </c>
      <c r="BI121" s="10">
        <f>H121*AP121</f>
        <v>0</v>
      </c>
      <c r="BJ121" s="10">
        <f>H121*I121</f>
        <v>0</v>
      </c>
      <c r="BK121" s="10"/>
      <c r="BL121" s="10">
        <v>762</v>
      </c>
    </row>
    <row r="122" spans="2:47" ht="15" customHeight="1">
      <c r="B122" s="14" t="s">
        <v>44</v>
      </c>
      <c r="C122" s="78" t="s">
        <v>279</v>
      </c>
      <c r="D122" s="78"/>
      <c r="E122" s="78"/>
      <c r="F122" s="78"/>
      <c r="G122" s="19" t="s">
        <v>4</v>
      </c>
      <c r="H122" s="19" t="s">
        <v>4</v>
      </c>
      <c r="I122" s="19" t="s">
        <v>4</v>
      </c>
      <c r="J122" s="28">
        <f>SUM(J123:J127)</f>
        <v>0</v>
      </c>
      <c r="K122" s="28">
        <f>SUM(K123:K127)</f>
        <v>0</v>
      </c>
      <c r="L122" s="28">
        <f>SUM(L123:L127)</f>
        <v>0</v>
      </c>
      <c r="M122" s="2"/>
      <c r="AI122" s="43" t="s">
        <v>44</v>
      </c>
      <c r="AS122" s="28">
        <f>SUM(AJ123:AJ127)</f>
        <v>0</v>
      </c>
      <c r="AT122" s="28">
        <f>SUM(AK123:AK127)</f>
        <v>0</v>
      </c>
      <c r="AU122" s="28">
        <f>SUM(AL123:AL127)</f>
        <v>0</v>
      </c>
    </row>
    <row r="123" spans="2:64" ht="15" customHeight="1">
      <c r="B123" s="25" t="s">
        <v>280</v>
      </c>
      <c r="C123" s="62" t="s">
        <v>281</v>
      </c>
      <c r="D123" s="62"/>
      <c r="E123" s="62"/>
      <c r="F123" s="62"/>
      <c r="G123" s="23" t="s">
        <v>60</v>
      </c>
      <c r="H123" s="10">
        <v>25</v>
      </c>
      <c r="I123" s="53">
        <v>0</v>
      </c>
      <c r="J123" s="10">
        <f>H123*AO123</f>
        <v>0</v>
      </c>
      <c r="K123" s="10">
        <f>H123*AP123</f>
        <v>0</v>
      </c>
      <c r="L123" s="10">
        <f>H123*I123</f>
        <v>0</v>
      </c>
      <c r="M123" s="47"/>
      <c r="Z123" s="10">
        <f>IF(AQ123="5",BJ123,0)</f>
        <v>0</v>
      </c>
      <c r="AB123" s="10">
        <f>IF(AQ123="1",BH123,0)</f>
        <v>0</v>
      </c>
      <c r="AC123" s="10">
        <f>IF(AQ123="1",BI123,0)</f>
        <v>0</v>
      </c>
      <c r="AD123" s="10">
        <f>IF(AQ123="7",BH123,0)</f>
        <v>0</v>
      </c>
      <c r="AE123" s="10">
        <f>IF(AQ123="7",BI123,0)</f>
        <v>0</v>
      </c>
      <c r="AF123" s="10">
        <f>IF(AQ123="2",BH123,0)</f>
        <v>0</v>
      </c>
      <c r="AG123" s="10">
        <f>IF(AQ123="2",BI123,0)</f>
        <v>0</v>
      </c>
      <c r="AH123" s="10">
        <f>IF(AQ123="0",BJ123,0)</f>
        <v>0</v>
      </c>
      <c r="AI123" s="43" t="s">
        <v>44</v>
      </c>
      <c r="AJ123" s="10">
        <f>IF(AN123=0,L123,0)</f>
        <v>0</v>
      </c>
      <c r="AK123" s="10">
        <f>IF(AN123=15,L123,0)</f>
        <v>0</v>
      </c>
      <c r="AL123" s="10">
        <f>IF(AN123=21,L123,0)</f>
        <v>0</v>
      </c>
      <c r="AN123" s="10">
        <v>21</v>
      </c>
      <c r="AO123" s="10">
        <f>I123*0</f>
        <v>0</v>
      </c>
      <c r="AP123" s="10">
        <f>I123*(1-0)</f>
        <v>0</v>
      </c>
      <c r="AQ123" s="41" t="s">
        <v>68</v>
      </c>
      <c r="AV123" s="10">
        <f>AW123+AX123</f>
        <v>0</v>
      </c>
      <c r="AW123" s="10">
        <f>H123*AO123</f>
        <v>0</v>
      </c>
      <c r="AX123" s="10">
        <f>H123*AP123</f>
        <v>0</v>
      </c>
      <c r="AY123" s="41" t="s">
        <v>282</v>
      </c>
      <c r="AZ123" s="41" t="s">
        <v>276</v>
      </c>
      <c r="BA123" s="43" t="s">
        <v>51</v>
      </c>
      <c r="BC123" s="10">
        <f>AW123+AX123</f>
        <v>0</v>
      </c>
      <c r="BD123" s="10">
        <f>I123/(100-BE123)*100</f>
        <v>0</v>
      </c>
      <c r="BE123" s="10">
        <v>0</v>
      </c>
      <c r="BF123" s="10">
        <f>123</f>
        <v>123</v>
      </c>
      <c r="BH123" s="10">
        <f>H123*AO123</f>
        <v>0</v>
      </c>
      <c r="BI123" s="10">
        <f>H123*AP123</f>
        <v>0</v>
      </c>
      <c r="BJ123" s="10">
        <f>H123*I123</f>
        <v>0</v>
      </c>
      <c r="BK123" s="10"/>
      <c r="BL123" s="10">
        <v>766</v>
      </c>
    </row>
    <row r="124" spans="2:64" ht="15" customHeight="1">
      <c r="B124" s="25" t="s">
        <v>283</v>
      </c>
      <c r="C124" s="62" t="s">
        <v>284</v>
      </c>
      <c r="D124" s="62"/>
      <c r="E124" s="62"/>
      <c r="F124" s="62"/>
      <c r="G124" s="23" t="s">
        <v>60</v>
      </c>
      <c r="H124" s="10">
        <v>9</v>
      </c>
      <c r="I124" s="53">
        <v>0</v>
      </c>
      <c r="J124" s="10">
        <f>H124*AO124</f>
        <v>0</v>
      </c>
      <c r="K124" s="10">
        <f>H124*AP124</f>
        <v>0</v>
      </c>
      <c r="L124" s="10">
        <f>H124*I124</f>
        <v>0</v>
      </c>
      <c r="M124" s="47"/>
      <c r="Z124" s="10">
        <f>IF(AQ124="5",BJ124,0)</f>
        <v>0</v>
      </c>
      <c r="AB124" s="10">
        <f>IF(AQ124="1",BH124,0)</f>
        <v>0</v>
      </c>
      <c r="AC124" s="10">
        <f>IF(AQ124="1",BI124,0)</f>
        <v>0</v>
      </c>
      <c r="AD124" s="10">
        <f>IF(AQ124="7",BH124,0)</f>
        <v>0</v>
      </c>
      <c r="AE124" s="10">
        <f>IF(AQ124="7",BI124,0)</f>
        <v>0</v>
      </c>
      <c r="AF124" s="10">
        <f>IF(AQ124="2",BH124,0)</f>
        <v>0</v>
      </c>
      <c r="AG124" s="10">
        <f>IF(AQ124="2",BI124,0)</f>
        <v>0</v>
      </c>
      <c r="AH124" s="10">
        <f>IF(AQ124="0",BJ124,0)</f>
        <v>0</v>
      </c>
      <c r="AI124" s="43" t="s">
        <v>44</v>
      </c>
      <c r="AJ124" s="10">
        <f>IF(AN124=0,L124,0)</f>
        <v>0</v>
      </c>
      <c r="AK124" s="10">
        <f>IF(AN124=15,L124,0)</f>
        <v>0</v>
      </c>
      <c r="AL124" s="10">
        <f>IF(AN124=21,L124,0)</f>
        <v>0</v>
      </c>
      <c r="AN124" s="10">
        <v>21</v>
      </c>
      <c r="AO124" s="10">
        <f>I124*0</f>
        <v>0</v>
      </c>
      <c r="AP124" s="10">
        <f>I124*(1-0)</f>
        <v>0</v>
      </c>
      <c r="AQ124" s="41" t="s">
        <v>68</v>
      </c>
      <c r="AV124" s="10">
        <f>AW124+AX124</f>
        <v>0</v>
      </c>
      <c r="AW124" s="10">
        <f>H124*AO124</f>
        <v>0</v>
      </c>
      <c r="AX124" s="10">
        <f>H124*AP124</f>
        <v>0</v>
      </c>
      <c r="AY124" s="41" t="s">
        <v>282</v>
      </c>
      <c r="AZ124" s="41" t="s">
        <v>276</v>
      </c>
      <c r="BA124" s="43" t="s">
        <v>51</v>
      </c>
      <c r="BC124" s="10">
        <f>AW124+AX124</f>
        <v>0</v>
      </c>
      <c r="BD124" s="10">
        <f>I124/(100-BE124)*100</f>
        <v>0</v>
      </c>
      <c r="BE124" s="10">
        <v>0</v>
      </c>
      <c r="BF124" s="10">
        <f>124</f>
        <v>124</v>
      </c>
      <c r="BH124" s="10">
        <f>H124*AO124</f>
        <v>0</v>
      </c>
      <c r="BI124" s="10">
        <f>H124*AP124</f>
        <v>0</v>
      </c>
      <c r="BJ124" s="10">
        <f>H124*I124</f>
        <v>0</v>
      </c>
      <c r="BK124" s="10"/>
      <c r="BL124" s="10">
        <v>766</v>
      </c>
    </row>
    <row r="125" spans="2:64" ht="15" customHeight="1">
      <c r="B125" s="25" t="s">
        <v>285</v>
      </c>
      <c r="C125" s="62" t="s">
        <v>286</v>
      </c>
      <c r="D125" s="62"/>
      <c r="E125" s="62"/>
      <c r="F125" s="62"/>
      <c r="G125" s="23" t="s">
        <v>60</v>
      </c>
      <c r="H125" s="10">
        <v>25</v>
      </c>
      <c r="I125" s="53">
        <v>0</v>
      </c>
      <c r="J125" s="10">
        <f>H125*AO125</f>
        <v>0</v>
      </c>
      <c r="K125" s="10">
        <f>H125*AP125</f>
        <v>0</v>
      </c>
      <c r="L125" s="10">
        <f>H125*I125</f>
        <v>0</v>
      </c>
      <c r="M125" s="47"/>
      <c r="Z125" s="10">
        <f>IF(AQ125="5",BJ125,0)</f>
        <v>0</v>
      </c>
      <c r="AB125" s="10">
        <f>IF(AQ125="1",BH125,0)</f>
        <v>0</v>
      </c>
      <c r="AC125" s="10">
        <f>IF(AQ125="1",BI125,0)</f>
        <v>0</v>
      </c>
      <c r="AD125" s="10">
        <f>IF(AQ125="7",BH125,0)</f>
        <v>0</v>
      </c>
      <c r="AE125" s="10">
        <f>IF(AQ125="7",BI125,0)</f>
        <v>0</v>
      </c>
      <c r="AF125" s="10">
        <f>IF(AQ125="2",BH125,0)</f>
        <v>0</v>
      </c>
      <c r="AG125" s="10">
        <f>IF(AQ125="2",BI125,0)</f>
        <v>0</v>
      </c>
      <c r="AH125" s="10">
        <f>IF(AQ125="0",BJ125,0)</f>
        <v>0</v>
      </c>
      <c r="AI125" s="43" t="s">
        <v>44</v>
      </c>
      <c r="AJ125" s="10">
        <f>IF(AN125=0,L125,0)</f>
        <v>0</v>
      </c>
      <c r="AK125" s="10">
        <f>IF(AN125=15,L125,0)</f>
        <v>0</v>
      </c>
      <c r="AL125" s="10">
        <f>IF(AN125=21,L125,0)</f>
        <v>0</v>
      </c>
      <c r="AN125" s="10">
        <v>21</v>
      </c>
      <c r="AO125" s="10">
        <f>I125*0</f>
        <v>0</v>
      </c>
      <c r="AP125" s="10">
        <f>I125*(1-0)</f>
        <v>0</v>
      </c>
      <c r="AQ125" s="41" t="s">
        <v>68</v>
      </c>
      <c r="AV125" s="10">
        <f>AW125+AX125</f>
        <v>0</v>
      </c>
      <c r="AW125" s="10">
        <f>H125*AO125</f>
        <v>0</v>
      </c>
      <c r="AX125" s="10">
        <f>H125*AP125</f>
        <v>0</v>
      </c>
      <c r="AY125" s="41" t="s">
        <v>282</v>
      </c>
      <c r="AZ125" s="41" t="s">
        <v>276</v>
      </c>
      <c r="BA125" s="43" t="s">
        <v>51</v>
      </c>
      <c r="BC125" s="10">
        <f>AW125+AX125</f>
        <v>0</v>
      </c>
      <c r="BD125" s="10">
        <f>I125/(100-BE125)*100</f>
        <v>0</v>
      </c>
      <c r="BE125" s="10">
        <v>0</v>
      </c>
      <c r="BF125" s="10">
        <f>125</f>
        <v>125</v>
      </c>
      <c r="BH125" s="10">
        <f>H125*AO125</f>
        <v>0</v>
      </c>
      <c r="BI125" s="10">
        <f>H125*AP125</f>
        <v>0</v>
      </c>
      <c r="BJ125" s="10">
        <f>H125*I125</f>
        <v>0</v>
      </c>
      <c r="BK125" s="10"/>
      <c r="BL125" s="10">
        <v>766</v>
      </c>
    </row>
    <row r="126" spans="2:64" ht="15" customHeight="1">
      <c r="B126" s="25" t="s">
        <v>287</v>
      </c>
      <c r="C126" s="62" t="s">
        <v>288</v>
      </c>
      <c r="D126" s="62"/>
      <c r="E126" s="62"/>
      <c r="F126" s="62"/>
      <c r="G126" s="23" t="s">
        <v>63</v>
      </c>
      <c r="H126" s="10">
        <v>2.25</v>
      </c>
      <c r="I126" s="53">
        <v>0</v>
      </c>
      <c r="J126" s="10">
        <f>H126*AO126</f>
        <v>0</v>
      </c>
      <c r="K126" s="10">
        <f>H126*AP126</f>
        <v>0</v>
      </c>
      <c r="L126" s="10">
        <f>H126*I126</f>
        <v>0</v>
      </c>
      <c r="M126" s="47"/>
      <c r="Z126" s="10">
        <f>IF(AQ126="5",BJ126,0)</f>
        <v>0</v>
      </c>
      <c r="AB126" s="10">
        <f>IF(AQ126="1",BH126,0)</f>
        <v>0</v>
      </c>
      <c r="AC126" s="10">
        <f>IF(AQ126="1",BI126,0)</f>
        <v>0</v>
      </c>
      <c r="AD126" s="10">
        <f>IF(AQ126="7",BH126,0)</f>
        <v>0</v>
      </c>
      <c r="AE126" s="10">
        <f>IF(AQ126="7",BI126,0)</f>
        <v>0</v>
      </c>
      <c r="AF126" s="10">
        <f>IF(AQ126="2",BH126,0)</f>
        <v>0</v>
      </c>
      <c r="AG126" s="10">
        <f>IF(AQ126="2",BI126,0)</f>
        <v>0</v>
      </c>
      <c r="AH126" s="10">
        <f>IF(AQ126="0",BJ126,0)</f>
        <v>0</v>
      </c>
      <c r="AI126" s="43" t="s">
        <v>44</v>
      </c>
      <c r="AJ126" s="10">
        <f>IF(AN126=0,L126,0)</f>
        <v>0</v>
      </c>
      <c r="AK126" s="10">
        <f>IF(AN126=15,L126,0)</f>
        <v>0</v>
      </c>
      <c r="AL126" s="10">
        <f>IF(AN126=21,L126,0)</f>
        <v>0</v>
      </c>
      <c r="AN126" s="10">
        <v>21</v>
      </c>
      <c r="AO126" s="10">
        <f>I126*0.00705234159779614</f>
        <v>0</v>
      </c>
      <c r="AP126" s="10">
        <f>I126*(1-0.00705234159779614)</f>
        <v>0</v>
      </c>
      <c r="AQ126" s="41" t="s">
        <v>68</v>
      </c>
      <c r="AV126" s="10">
        <f>AW126+AX126</f>
        <v>0</v>
      </c>
      <c r="AW126" s="10">
        <f>H126*AO126</f>
        <v>0</v>
      </c>
      <c r="AX126" s="10">
        <f>H126*AP126</f>
        <v>0</v>
      </c>
      <c r="AY126" s="41" t="s">
        <v>282</v>
      </c>
      <c r="AZ126" s="41" t="s">
        <v>276</v>
      </c>
      <c r="BA126" s="43" t="s">
        <v>51</v>
      </c>
      <c r="BC126" s="10">
        <f>AW126+AX126</f>
        <v>0</v>
      </c>
      <c r="BD126" s="10">
        <f>I126/(100-BE126)*100</f>
        <v>0</v>
      </c>
      <c r="BE126" s="10">
        <v>0</v>
      </c>
      <c r="BF126" s="10">
        <f>126</f>
        <v>126</v>
      </c>
      <c r="BH126" s="10">
        <f>H126*AO126</f>
        <v>0</v>
      </c>
      <c r="BI126" s="10">
        <f>H126*AP126</f>
        <v>0</v>
      </c>
      <c r="BJ126" s="10">
        <f>H126*I126</f>
        <v>0</v>
      </c>
      <c r="BK126" s="10"/>
      <c r="BL126" s="10">
        <v>766</v>
      </c>
    </row>
    <row r="127" spans="2:64" ht="15" customHeight="1">
      <c r="B127" s="25" t="s">
        <v>289</v>
      </c>
      <c r="C127" s="62" t="s">
        <v>290</v>
      </c>
      <c r="D127" s="62"/>
      <c r="E127" s="62"/>
      <c r="F127" s="62"/>
      <c r="G127" s="23" t="s">
        <v>60</v>
      </c>
      <c r="H127" s="10">
        <v>19</v>
      </c>
      <c r="I127" s="53">
        <v>0</v>
      </c>
      <c r="J127" s="10">
        <f>H127*AO127</f>
        <v>0</v>
      </c>
      <c r="K127" s="10">
        <f>H127*AP127</f>
        <v>0</v>
      </c>
      <c r="L127" s="10">
        <f>H127*I127</f>
        <v>0</v>
      </c>
      <c r="M127" s="47"/>
      <c r="Z127" s="10">
        <f>IF(AQ127="5",BJ127,0)</f>
        <v>0</v>
      </c>
      <c r="AB127" s="10">
        <f>IF(AQ127="1",BH127,0)</f>
        <v>0</v>
      </c>
      <c r="AC127" s="10">
        <f>IF(AQ127="1",BI127,0)</f>
        <v>0</v>
      </c>
      <c r="AD127" s="10">
        <f>IF(AQ127="7",BH127,0)</f>
        <v>0</v>
      </c>
      <c r="AE127" s="10">
        <f>IF(AQ127="7",BI127,0)</f>
        <v>0</v>
      </c>
      <c r="AF127" s="10">
        <f>IF(AQ127="2",BH127,0)</f>
        <v>0</v>
      </c>
      <c r="AG127" s="10">
        <f>IF(AQ127="2",BI127,0)</f>
        <v>0</v>
      </c>
      <c r="AH127" s="10">
        <f>IF(AQ127="0",BJ127,0)</f>
        <v>0</v>
      </c>
      <c r="AI127" s="43" t="s">
        <v>44</v>
      </c>
      <c r="AJ127" s="10">
        <f>IF(AN127=0,L127,0)</f>
        <v>0</v>
      </c>
      <c r="AK127" s="10">
        <f>IF(AN127=15,L127,0)</f>
        <v>0</v>
      </c>
      <c r="AL127" s="10">
        <f>IF(AN127=21,L127,0)</f>
        <v>0</v>
      </c>
      <c r="AN127" s="10">
        <v>21</v>
      </c>
      <c r="AO127" s="10">
        <f>I127*0.0361538461538461</f>
        <v>0</v>
      </c>
      <c r="AP127" s="10">
        <f>I127*(1-0.0361538461538461)</f>
        <v>0</v>
      </c>
      <c r="AQ127" s="41" t="s">
        <v>68</v>
      </c>
      <c r="AV127" s="10">
        <f>AW127+AX127</f>
        <v>0</v>
      </c>
      <c r="AW127" s="10">
        <f>H127*AO127</f>
        <v>0</v>
      </c>
      <c r="AX127" s="10">
        <f>H127*AP127</f>
        <v>0</v>
      </c>
      <c r="AY127" s="41" t="s">
        <v>282</v>
      </c>
      <c r="AZ127" s="41" t="s">
        <v>276</v>
      </c>
      <c r="BA127" s="43" t="s">
        <v>51</v>
      </c>
      <c r="BC127" s="10">
        <f>AW127+AX127</f>
        <v>0</v>
      </c>
      <c r="BD127" s="10">
        <f>I127/(100-BE127)*100</f>
        <v>0</v>
      </c>
      <c r="BE127" s="10">
        <v>0</v>
      </c>
      <c r="BF127" s="10">
        <f>127</f>
        <v>127</v>
      </c>
      <c r="BH127" s="10">
        <f>H127*AO127</f>
        <v>0</v>
      </c>
      <c r="BI127" s="10">
        <f>H127*AP127</f>
        <v>0</v>
      </c>
      <c r="BJ127" s="10">
        <f>H127*I127</f>
        <v>0</v>
      </c>
      <c r="BK127" s="10"/>
      <c r="BL127" s="10">
        <v>766</v>
      </c>
    </row>
    <row r="128" spans="2:47" ht="15" customHeight="1">
      <c r="B128" s="14" t="s">
        <v>44</v>
      </c>
      <c r="C128" s="78" t="s">
        <v>291</v>
      </c>
      <c r="D128" s="78"/>
      <c r="E128" s="78"/>
      <c r="F128" s="78"/>
      <c r="G128" s="19" t="s">
        <v>4</v>
      </c>
      <c r="H128" s="19" t="s">
        <v>4</v>
      </c>
      <c r="I128" s="19" t="s">
        <v>4</v>
      </c>
      <c r="J128" s="28">
        <f>SUM(J129:J130)</f>
        <v>0</v>
      </c>
      <c r="K128" s="28">
        <f>SUM(K129:K130)</f>
        <v>0</v>
      </c>
      <c r="L128" s="28">
        <f>SUM(L129:L130)</f>
        <v>0</v>
      </c>
      <c r="M128" s="2"/>
      <c r="AI128" s="43" t="s">
        <v>44</v>
      </c>
      <c r="AS128" s="28">
        <f>SUM(AJ129:AJ130)</f>
        <v>0</v>
      </c>
      <c r="AT128" s="28">
        <f>SUM(AK129:AK130)</f>
        <v>0</v>
      </c>
      <c r="AU128" s="28">
        <f>SUM(AL129:AL130)</f>
        <v>0</v>
      </c>
    </row>
    <row r="129" spans="2:64" ht="15" customHeight="1">
      <c r="B129" s="25" t="s">
        <v>292</v>
      </c>
      <c r="C129" s="62" t="s">
        <v>293</v>
      </c>
      <c r="D129" s="62"/>
      <c r="E129" s="62"/>
      <c r="F129" s="62"/>
      <c r="G129" s="23" t="s">
        <v>60</v>
      </c>
      <c r="H129" s="10">
        <v>25</v>
      </c>
      <c r="I129" s="53">
        <v>0</v>
      </c>
      <c r="J129" s="10">
        <f>H129*AO129</f>
        <v>0</v>
      </c>
      <c r="K129" s="10">
        <f>H129*AP129</f>
        <v>0</v>
      </c>
      <c r="L129" s="10">
        <f>H129*I129</f>
        <v>0</v>
      </c>
      <c r="M129" s="47"/>
      <c r="Z129" s="10">
        <f>IF(AQ129="5",BJ129,0)</f>
        <v>0</v>
      </c>
      <c r="AB129" s="10">
        <f>IF(AQ129="1",BH129,0)</f>
        <v>0</v>
      </c>
      <c r="AC129" s="10">
        <f>IF(AQ129="1",BI129,0)</f>
        <v>0</v>
      </c>
      <c r="AD129" s="10">
        <f>IF(AQ129="7",BH129,0)</f>
        <v>0</v>
      </c>
      <c r="AE129" s="10">
        <f>IF(AQ129="7",BI129,0)</f>
        <v>0</v>
      </c>
      <c r="AF129" s="10">
        <f>IF(AQ129="2",BH129,0)</f>
        <v>0</v>
      </c>
      <c r="AG129" s="10">
        <f>IF(AQ129="2",BI129,0)</f>
        <v>0</v>
      </c>
      <c r="AH129" s="10">
        <f>IF(AQ129="0",BJ129,0)</f>
        <v>0</v>
      </c>
      <c r="AI129" s="43" t="s">
        <v>44</v>
      </c>
      <c r="AJ129" s="10">
        <f>IF(AN129=0,L129,0)</f>
        <v>0</v>
      </c>
      <c r="AK129" s="10">
        <f>IF(AN129=15,L129,0)</f>
        <v>0</v>
      </c>
      <c r="AL129" s="10">
        <f>IF(AN129=21,L129,0)</f>
        <v>0</v>
      </c>
      <c r="AN129" s="10">
        <v>21</v>
      </c>
      <c r="AO129" s="10">
        <f>I129*0</f>
        <v>0</v>
      </c>
      <c r="AP129" s="10">
        <f>I129*(1-0)</f>
        <v>0</v>
      </c>
      <c r="AQ129" s="41" t="s">
        <v>68</v>
      </c>
      <c r="AV129" s="10">
        <f>AW129+AX129</f>
        <v>0</v>
      </c>
      <c r="AW129" s="10">
        <f>H129*AO129</f>
        <v>0</v>
      </c>
      <c r="AX129" s="10">
        <f>H129*AP129</f>
        <v>0</v>
      </c>
      <c r="AY129" s="41" t="s">
        <v>294</v>
      </c>
      <c r="AZ129" s="41" t="s">
        <v>276</v>
      </c>
      <c r="BA129" s="43" t="s">
        <v>51</v>
      </c>
      <c r="BC129" s="10">
        <f>AW129+AX129</f>
        <v>0</v>
      </c>
      <c r="BD129" s="10">
        <f>I129/(100-BE129)*100</f>
        <v>0</v>
      </c>
      <c r="BE129" s="10">
        <v>0</v>
      </c>
      <c r="BF129" s="10">
        <f>129</f>
        <v>129</v>
      </c>
      <c r="BH129" s="10">
        <f>H129*AO129</f>
        <v>0</v>
      </c>
      <c r="BI129" s="10">
        <f>H129*AP129</f>
        <v>0</v>
      </c>
      <c r="BJ129" s="10">
        <f>H129*I129</f>
        <v>0</v>
      </c>
      <c r="BK129" s="10"/>
      <c r="BL129" s="10">
        <v>767</v>
      </c>
    </row>
    <row r="130" spans="2:64" ht="15" customHeight="1">
      <c r="B130" s="25" t="s">
        <v>295</v>
      </c>
      <c r="C130" s="62" t="s">
        <v>296</v>
      </c>
      <c r="D130" s="62"/>
      <c r="E130" s="62"/>
      <c r="F130" s="62"/>
      <c r="G130" s="23" t="s">
        <v>60</v>
      </c>
      <c r="H130" s="10">
        <v>16</v>
      </c>
      <c r="I130" s="53">
        <v>0</v>
      </c>
      <c r="J130" s="10">
        <f>H130*AO130</f>
        <v>0</v>
      </c>
      <c r="K130" s="10">
        <f>H130*AP130</f>
        <v>0</v>
      </c>
      <c r="L130" s="10">
        <f>H130*I130</f>
        <v>0</v>
      </c>
      <c r="M130" s="47"/>
      <c r="Z130" s="10">
        <f>IF(AQ130="5",BJ130,0)</f>
        <v>0</v>
      </c>
      <c r="AB130" s="10">
        <f>IF(AQ130="1",BH130,0)</f>
        <v>0</v>
      </c>
      <c r="AC130" s="10">
        <f>IF(AQ130="1",BI130,0)</f>
        <v>0</v>
      </c>
      <c r="AD130" s="10">
        <f>IF(AQ130="7",BH130,0)</f>
        <v>0</v>
      </c>
      <c r="AE130" s="10">
        <f>IF(AQ130="7",BI130,0)</f>
        <v>0</v>
      </c>
      <c r="AF130" s="10">
        <f>IF(AQ130="2",BH130,0)</f>
        <v>0</v>
      </c>
      <c r="AG130" s="10">
        <f>IF(AQ130="2",BI130,0)</f>
        <v>0</v>
      </c>
      <c r="AH130" s="10">
        <f>IF(AQ130="0",BJ130,0)</f>
        <v>0</v>
      </c>
      <c r="AI130" s="43" t="s">
        <v>44</v>
      </c>
      <c r="AJ130" s="10">
        <f>IF(AN130=0,L130,0)</f>
        <v>0</v>
      </c>
      <c r="AK130" s="10">
        <f>IF(AN130=15,L130,0)</f>
        <v>0</v>
      </c>
      <c r="AL130" s="10">
        <f>IF(AN130=21,L130,0)</f>
        <v>0</v>
      </c>
      <c r="AN130" s="10">
        <v>21</v>
      </c>
      <c r="AO130" s="10">
        <f>I130*0</f>
        <v>0</v>
      </c>
      <c r="AP130" s="10">
        <f>I130*(1-0)</f>
        <v>0</v>
      </c>
      <c r="AQ130" s="41" t="s">
        <v>68</v>
      </c>
      <c r="AV130" s="10">
        <f>AW130+AX130</f>
        <v>0</v>
      </c>
      <c r="AW130" s="10">
        <f>H130*AO130</f>
        <v>0</v>
      </c>
      <c r="AX130" s="10">
        <f>H130*AP130</f>
        <v>0</v>
      </c>
      <c r="AY130" s="41" t="s">
        <v>294</v>
      </c>
      <c r="AZ130" s="41" t="s">
        <v>276</v>
      </c>
      <c r="BA130" s="43" t="s">
        <v>51</v>
      </c>
      <c r="BC130" s="10">
        <f>AW130+AX130</f>
        <v>0</v>
      </c>
      <c r="BD130" s="10">
        <f>I130/(100-BE130)*100</f>
        <v>0</v>
      </c>
      <c r="BE130" s="10">
        <v>0</v>
      </c>
      <c r="BF130" s="10">
        <f>130</f>
        <v>130</v>
      </c>
      <c r="BH130" s="10">
        <f>H130*AO130</f>
        <v>0</v>
      </c>
      <c r="BI130" s="10">
        <f>H130*AP130</f>
        <v>0</v>
      </c>
      <c r="BJ130" s="10">
        <f>H130*I130</f>
        <v>0</v>
      </c>
      <c r="BK130" s="10"/>
      <c r="BL130" s="10">
        <v>767</v>
      </c>
    </row>
    <row r="131" spans="2:47" ht="15" customHeight="1">
      <c r="B131" s="14" t="s">
        <v>44</v>
      </c>
      <c r="C131" s="78" t="s">
        <v>297</v>
      </c>
      <c r="D131" s="78"/>
      <c r="E131" s="78"/>
      <c r="F131" s="78"/>
      <c r="G131" s="19" t="s">
        <v>4</v>
      </c>
      <c r="H131" s="19" t="s">
        <v>4</v>
      </c>
      <c r="I131" s="19" t="s">
        <v>4</v>
      </c>
      <c r="J131" s="28">
        <f>SUM(J132:J144)</f>
        <v>0</v>
      </c>
      <c r="K131" s="28">
        <f>SUM(K132:K144)</f>
        <v>0</v>
      </c>
      <c r="L131" s="28">
        <f>SUM(L132:L144)</f>
        <v>0</v>
      </c>
      <c r="M131" s="2"/>
      <c r="AI131" s="43" t="s">
        <v>44</v>
      </c>
      <c r="AS131" s="28">
        <f>SUM(AJ132:AJ144)</f>
        <v>0</v>
      </c>
      <c r="AT131" s="28">
        <f>SUM(AK132:AK144)</f>
        <v>0</v>
      </c>
      <c r="AU131" s="28">
        <f>SUM(AL132:AL144)</f>
        <v>0</v>
      </c>
    </row>
    <row r="132" spans="2:64" ht="15" customHeight="1">
      <c r="B132" s="25" t="s">
        <v>298</v>
      </c>
      <c r="C132" s="62" t="s">
        <v>299</v>
      </c>
      <c r="D132" s="62"/>
      <c r="E132" s="62"/>
      <c r="F132" s="62"/>
      <c r="G132" s="23" t="s">
        <v>63</v>
      </c>
      <c r="H132" s="10">
        <v>115.7</v>
      </c>
      <c r="I132" s="53">
        <v>0</v>
      </c>
      <c r="J132" s="10">
        <f aca="true" t="shared" si="110" ref="J132:J144">H132*AO132</f>
        <v>0</v>
      </c>
      <c r="K132" s="10">
        <f aca="true" t="shared" si="111" ref="K132:K144">H132*AP132</f>
        <v>0</v>
      </c>
      <c r="L132" s="10">
        <f aca="true" t="shared" si="112" ref="L132:L144">H132*I132</f>
        <v>0</v>
      </c>
      <c r="M132" s="47"/>
      <c r="Z132" s="10">
        <f aca="true" t="shared" si="113" ref="Z132:Z144">IF(AQ132="5",BJ132,0)</f>
        <v>0</v>
      </c>
      <c r="AB132" s="10">
        <f aca="true" t="shared" si="114" ref="AB132:AB144">IF(AQ132="1",BH132,0)</f>
        <v>0</v>
      </c>
      <c r="AC132" s="10">
        <f aca="true" t="shared" si="115" ref="AC132:AC144">IF(AQ132="1",BI132,0)</f>
        <v>0</v>
      </c>
      <c r="AD132" s="10">
        <f aca="true" t="shared" si="116" ref="AD132:AD144">IF(AQ132="7",BH132,0)</f>
        <v>0</v>
      </c>
      <c r="AE132" s="10">
        <f aca="true" t="shared" si="117" ref="AE132:AE144">IF(AQ132="7",BI132,0)</f>
        <v>0</v>
      </c>
      <c r="AF132" s="10">
        <f aca="true" t="shared" si="118" ref="AF132:AF144">IF(AQ132="2",BH132,0)</f>
        <v>0</v>
      </c>
      <c r="AG132" s="10">
        <f aca="true" t="shared" si="119" ref="AG132:AG144">IF(AQ132="2",BI132,0)</f>
        <v>0</v>
      </c>
      <c r="AH132" s="10">
        <f aca="true" t="shared" si="120" ref="AH132:AH144">IF(AQ132="0",BJ132,0)</f>
        <v>0</v>
      </c>
      <c r="AI132" s="43" t="s">
        <v>44</v>
      </c>
      <c r="AJ132" s="10">
        <f aca="true" t="shared" si="121" ref="AJ132:AJ144">IF(AN132=0,L132,0)</f>
        <v>0</v>
      </c>
      <c r="AK132" s="10">
        <f aca="true" t="shared" si="122" ref="AK132:AK144">IF(AN132=15,L132,0)</f>
        <v>0</v>
      </c>
      <c r="AL132" s="10">
        <f aca="true" t="shared" si="123" ref="AL132:AL144">IF(AN132=21,L132,0)</f>
        <v>0</v>
      </c>
      <c r="AN132" s="10">
        <v>21</v>
      </c>
      <c r="AO132" s="10">
        <f>I132*0</f>
        <v>0</v>
      </c>
      <c r="AP132" s="10">
        <f>I132*(1-0)</f>
        <v>0</v>
      </c>
      <c r="AQ132" s="41" t="s">
        <v>68</v>
      </c>
      <c r="AV132" s="10">
        <f aca="true" t="shared" si="124" ref="AV132:AV144">AW132+AX132</f>
        <v>0</v>
      </c>
      <c r="AW132" s="10">
        <f aca="true" t="shared" si="125" ref="AW132:AW144">H132*AO132</f>
        <v>0</v>
      </c>
      <c r="AX132" s="10">
        <f aca="true" t="shared" si="126" ref="AX132:AX144">H132*AP132</f>
        <v>0</v>
      </c>
      <c r="AY132" s="41" t="s">
        <v>300</v>
      </c>
      <c r="AZ132" s="41" t="s">
        <v>301</v>
      </c>
      <c r="BA132" s="43" t="s">
        <v>51</v>
      </c>
      <c r="BC132" s="10">
        <f aca="true" t="shared" si="127" ref="BC132:BC144">AW132+AX132</f>
        <v>0</v>
      </c>
      <c r="BD132" s="10">
        <f aca="true" t="shared" si="128" ref="BD132:BD144">I132/(100-BE132)*100</f>
        <v>0</v>
      </c>
      <c r="BE132" s="10">
        <v>0</v>
      </c>
      <c r="BF132" s="10">
        <f>132</f>
        <v>132</v>
      </c>
      <c r="BH132" s="10">
        <f aca="true" t="shared" si="129" ref="BH132:BH144">H132*AO132</f>
        <v>0</v>
      </c>
      <c r="BI132" s="10">
        <f aca="true" t="shared" si="130" ref="BI132:BI144">H132*AP132</f>
        <v>0</v>
      </c>
      <c r="BJ132" s="10">
        <f aca="true" t="shared" si="131" ref="BJ132:BJ144">H132*I132</f>
        <v>0</v>
      </c>
      <c r="BK132" s="10"/>
      <c r="BL132" s="10">
        <v>771</v>
      </c>
    </row>
    <row r="133" spans="2:64" ht="15" customHeight="1">
      <c r="B133" s="25" t="s">
        <v>302</v>
      </c>
      <c r="C133" s="62" t="s">
        <v>303</v>
      </c>
      <c r="D133" s="62"/>
      <c r="E133" s="62"/>
      <c r="F133" s="62"/>
      <c r="G133" s="23" t="s">
        <v>63</v>
      </c>
      <c r="H133" s="10">
        <v>387</v>
      </c>
      <c r="I133" s="53">
        <v>0</v>
      </c>
      <c r="J133" s="10">
        <f t="shared" si="110"/>
        <v>0</v>
      </c>
      <c r="K133" s="10">
        <f t="shared" si="111"/>
        <v>0</v>
      </c>
      <c r="L133" s="10">
        <f t="shared" si="112"/>
        <v>0</v>
      </c>
      <c r="M133" s="47"/>
      <c r="Z133" s="10">
        <f t="shared" si="113"/>
        <v>0</v>
      </c>
      <c r="AB133" s="10">
        <f t="shared" si="114"/>
        <v>0</v>
      </c>
      <c r="AC133" s="10">
        <f t="shared" si="115"/>
        <v>0</v>
      </c>
      <c r="AD133" s="10">
        <f t="shared" si="116"/>
        <v>0</v>
      </c>
      <c r="AE133" s="10">
        <f t="shared" si="117"/>
        <v>0</v>
      </c>
      <c r="AF133" s="10">
        <f t="shared" si="118"/>
        <v>0</v>
      </c>
      <c r="AG133" s="10">
        <f t="shared" si="119"/>
        <v>0</v>
      </c>
      <c r="AH133" s="10">
        <f t="shared" si="120"/>
        <v>0</v>
      </c>
      <c r="AI133" s="43" t="s">
        <v>44</v>
      </c>
      <c r="AJ133" s="10">
        <f t="shared" si="121"/>
        <v>0</v>
      </c>
      <c r="AK133" s="10">
        <f t="shared" si="122"/>
        <v>0</v>
      </c>
      <c r="AL133" s="10">
        <f t="shared" si="123"/>
        <v>0</v>
      </c>
      <c r="AN133" s="10">
        <v>21</v>
      </c>
      <c r="AO133" s="10">
        <f>I133*0.482758620689655</f>
        <v>0</v>
      </c>
      <c r="AP133" s="10">
        <f>I133*(1-0.482758620689655)</f>
        <v>0</v>
      </c>
      <c r="AQ133" s="41" t="s">
        <v>68</v>
      </c>
      <c r="AV133" s="10">
        <f t="shared" si="124"/>
        <v>0</v>
      </c>
      <c r="AW133" s="10">
        <f t="shared" si="125"/>
        <v>0</v>
      </c>
      <c r="AX133" s="10">
        <f t="shared" si="126"/>
        <v>0</v>
      </c>
      <c r="AY133" s="41" t="s">
        <v>300</v>
      </c>
      <c r="AZ133" s="41" t="s">
        <v>301</v>
      </c>
      <c r="BA133" s="43" t="s">
        <v>51</v>
      </c>
      <c r="BC133" s="10">
        <f t="shared" si="127"/>
        <v>0</v>
      </c>
      <c r="BD133" s="10">
        <f t="shared" si="128"/>
        <v>0</v>
      </c>
      <c r="BE133" s="10">
        <v>0</v>
      </c>
      <c r="BF133" s="10">
        <f>133</f>
        <v>133</v>
      </c>
      <c r="BH133" s="10">
        <f t="shared" si="129"/>
        <v>0</v>
      </c>
      <c r="BI133" s="10">
        <f t="shared" si="130"/>
        <v>0</v>
      </c>
      <c r="BJ133" s="10">
        <f t="shared" si="131"/>
        <v>0</v>
      </c>
      <c r="BK133" s="10"/>
      <c r="BL133" s="10">
        <v>771</v>
      </c>
    </row>
    <row r="134" spans="2:64" ht="15" customHeight="1">
      <c r="B134" s="25" t="s">
        <v>304</v>
      </c>
      <c r="C134" s="62" t="s">
        <v>305</v>
      </c>
      <c r="D134" s="62"/>
      <c r="E134" s="62"/>
      <c r="F134" s="62"/>
      <c r="G134" s="23" t="s">
        <v>63</v>
      </c>
      <c r="H134" s="10">
        <v>115.7</v>
      </c>
      <c r="I134" s="53">
        <v>0</v>
      </c>
      <c r="J134" s="10">
        <f t="shared" si="110"/>
        <v>0</v>
      </c>
      <c r="K134" s="10">
        <f t="shared" si="111"/>
        <v>0</v>
      </c>
      <c r="L134" s="10">
        <f t="shared" si="112"/>
        <v>0</v>
      </c>
      <c r="M134" s="47"/>
      <c r="Z134" s="10">
        <f t="shared" si="113"/>
        <v>0</v>
      </c>
      <c r="AB134" s="10">
        <f t="shared" si="114"/>
        <v>0</v>
      </c>
      <c r="AC134" s="10">
        <f t="shared" si="115"/>
        <v>0</v>
      </c>
      <c r="AD134" s="10">
        <f t="shared" si="116"/>
        <v>0</v>
      </c>
      <c r="AE134" s="10">
        <f t="shared" si="117"/>
        <v>0</v>
      </c>
      <c r="AF134" s="10">
        <f t="shared" si="118"/>
        <v>0</v>
      </c>
      <c r="AG134" s="10">
        <f t="shared" si="119"/>
        <v>0</v>
      </c>
      <c r="AH134" s="10">
        <f t="shared" si="120"/>
        <v>0</v>
      </c>
      <c r="AI134" s="43" t="s">
        <v>44</v>
      </c>
      <c r="AJ134" s="10">
        <f t="shared" si="121"/>
        <v>0</v>
      </c>
      <c r="AK134" s="10">
        <f t="shared" si="122"/>
        <v>0</v>
      </c>
      <c r="AL134" s="10">
        <f t="shared" si="123"/>
        <v>0</v>
      </c>
      <c r="AN134" s="10">
        <v>21</v>
      </c>
      <c r="AO134" s="10">
        <f>I134*0</f>
        <v>0</v>
      </c>
      <c r="AP134" s="10">
        <f>I134*(1-0)</f>
        <v>0</v>
      </c>
      <c r="AQ134" s="41" t="s">
        <v>68</v>
      </c>
      <c r="AV134" s="10">
        <f t="shared" si="124"/>
        <v>0</v>
      </c>
      <c r="AW134" s="10">
        <f t="shared" si="125"/>
        <v>0</v>
      </c>
      <c r="AX134" s="10">
        <f t="shared" si="126"/>
        <v>0</v>
      </c>
      <c r="AY134" s="41" t="s">
        <v>300</v>
      </c>
      <c r="AZ134" s="41" t="s">
        <v>301</v>
      </c>
      <c r="BA134" s="43" t="s">
        <v>51</v>
      </c>
      <c r="BC134" s="10">
        <f t="shared" si="127"/>
        <v>0</v>
      </c>
      <c r="BD134" s="10">
        <f t="shared" si="128"/>
        <v>0</v>
      </c>
      <c r="BE134" s="10">
        <v>0</v>
      </c>
      <c r="BF134" s="10">
        <f>134</f>
        <v>134</v>
      </c>
      <c r="BH134" s="10">
        <f t="shared" si="129"/>
        <v>0</v>
      </c>
      <c r="BI134" s="10">
        <f t="shared" si="130"/>
        <v>0</v>
      </c>
      <c r="BJ134" s="10">
        <f t="shared" si="131"/>
        <v>0</v>
      </c>
      <c r="BK134" s="10"/>
      <c r="BL134" s="10">
        <v>771</v>
      </c>
    </row>
    <row r="135" spans="2:64" ht="15" customHeight="1">
      <c r="B135" s="25" t="s">
        <v>306</v>
      </c>
      <c r="C135" s="62" t="s">
        <v>307</v>
      </c>
      <c r="D135" s="62"/>
      <c r="E135" s="62"/>
      <c r="F135" s="62"/>
      <c r="G135" s="23" t="s">
        <v>63</v>
      </c>
      <c r="H135" s="10">
        <v>115.7</v>
      </c>
      <c r="I135" s="53">
        <v>0</v>
      </c>
      <c r="J135" s="10">
        <f t="shared" si="110"/>
        <v>0</v>
      </c>
      <c r="K135" s="10">
        <f t="shared" si="111"/>
        <v>0</v>
      </c>
      <c r="L135" s="10">
        <f t="shared" si="112"/>
        <v>0</v>
      </c>
      <c r="M135" s="47"/>
      <c r="Z135" s="10">
        <f t="shared" si="113"/>
        <v>0</v>
      </c>
      <c r="AB135" s="10">
        <f t="shared" si="114"/>
        <v>0</v>
      </c>
      <c r="AC135" s="10">
        <f t="shared" si="115"/>
        <v>0</v>
      </c>
      <c r="AD135" s="10">
        <f t="shared" si="116"/>
        <v>0</v>
      </c>
      <c r="AE135" s="10">
        <f t="shared" si="117"/>
        <v>0</v>
      </c>
      <c r="AF135" s="10">
        <f t="shared" si="118"/>
        <v>0</v>
      </c>
      <c r="AG135" s="10">
        <f t="shared" si="119"/>
        <v>0</v>
      </c>
      <c r="AH135" s="10">
        <f t="shared" si="120"/>
        <v>0</v>
      </c>
      <c r="AI135" s="43" t="s">
        <v>44</v>
      </c>
      <c r="AJ135" s="10">
        <f t="shared" si="121"/>
        <v>0</v>
      </c>
      <c r="AK135" s="10">
        <f t="shared" si="122"/>
        <v>0</v>
      </c>
      <c r="AL135" s="10">
        <f t="shared" si="123"/>
        <v>0</v>
      </c>
      <c r="AN135" s="10">
        <v>21</v>
      </c>
      <c r="AO135" s="10">
        <f>I135*0</f>
        <v>0</v>
      </c>
      <c r="AP135" s="10">
        <f>I135*(1-0)</f>
        <v>0</v>
      </c>
      <c r="AQ135" s="41" t="s">
        <v>68</v>
      </c>
      <c r="AV135" s="10">
        <f t="shared" si="124"/>
        <v>0</v>
      </c>
      <c r="AW135" s="10">
        <f t="shared" si="125"/>
        <v>0</v>
      </c>
      <c r="AX135" s="10">
        <f t="shared" si="126"/>
        <v>0</v>
      </c>
      <c r="AY135" s="41" t="s">
        <v>300</v>
      </c>
      <c r="AZ135" s="41" t="s">
        <v>301</v>
      </c>
      <c r="BA135" s="43" t="s">
        <v>51</v>
      </c>
      <c r="BC135" s="10">
        <f t="shared" si="127"/>
        <v>0</v>
      </c>
      <c r="BD135" s="10">
        <f t="shared" si="128"/>
        <v>0</v>
      </c>
      <c r="BE135" s="10">
        <v>0</v>
      </c>
      <c r="BF135" s="10">
        <f>135</f>
        <v>135</v>
      </c>
      <c r="BH135" s="10">
        <f t="shared" si="129"/>
        <v>0</v>
      </c>
      <c r="BI135" s="10">
        <f t="shared" si="130"/>
        <v>0</v>
      </c>
      <c r="BJ135" s="10">
        <f t="shared" si="131"/>
        <v>0</v>
      </c>
      <c r="BK135" s="10"/>
      <c r="BL135" s="10">
        <v>771</v>
      </c>
    </row>
    <row r="136" spans="2:64" ht="15" customHeight="1">
      <c r="B136" s="25" t="s">
        <v>308</v>
      </c>
      <c r="C136" s="62" t="s">
        <v>309</v>
      </c>
      <c r="D136" s="62"/>
      <c r="E136" s="62"/>
      <c r="F136" s="62"/>
      <c r="G136" s="23" t="s">
        <v>63</v>
      </c>
      <c r="H136" s="10">
        <v>115.7</v>
      </c>
      <c r="I136" s="53">
        <v>0</v>
      </c>
      <c r="J136" s="10">
        <f t="shared" si="110"/>
        <v>0</v>
      </c>
      <c r="K136" s="10">
        <f t="shared" si="111"/>
        <v>0</v>
      </c>
      <c r="L136" s="10">
        <f t="shared" si="112"/>
        <v>0</v>
      </c>
      <c r="M136" s="47"/>
      <c r="Z136" s="10">
        <f t="shared" si="113"/>
        <v>0</v>
      </c>
      <c r="AB136" s="10">
        <f t="shared" si="114"/>
        <v>0</v>
      </c>
      <c r="AC136" s="10">
        <f t="shared" si="115"/>
        <v>0</v>
      </c>
      <c r="AD136" s="10">
        <f t="shared" si="116"/>
        <v>0</v>
      </c>
      <c r="AE136" s="10">
        <f t="shared" si="117"/>
        <v>0</v>
      </c>
      <c r="AF136" s="10">
        <f t="shared" si="118"/>
        <v>0</v>
      </c>
      <c r="AG136" s="10">
        <f t="shared" si="119"/>
        <v>0</v>
      </c>
      <c r="AH136" s="10">
        <f t="shared" si="120"/>
        <v>0</v>
      </c>
      <c r="AI136" s="43" t="s">
        <v>44</v>
      </c>
      <c r="AJ136" s="10">
        <f t="shared" si="121"/>
        <v>0</v>
      </c>
      <c r="AK136" s="10">
        <f t="shared" si="122"/>
        <v>0</v>
      </c>
      <c r="AL136" s="10">
        <f t="shared" si="123"/>
        <v>0</v>
      </c>
      <c r="AN136" s="10">
        <v>21</v>
      </c>
      <c r="AO136" s="10">
        <f>I136*0</f>
        <v>0</v>
      </c>
      <c r="AP136" s="10">
        <f>I136*(1-0)</f>
        <v>0</v>
      </c>
      <c r="AQ136" s="41" t="s">
        <v>68</v>
      </c>
      <c r="AV136" s="10">
        <f t="shared" si="124"/>
        <v>0</v>
      </c>
      <c r="AW136" s="10">
        <f t="shared" si="125"/>
        <v>0</v>
      </c>
      <c r="AX136" s="10">
        <f t="shared" si="126"/>
        <v>0</v>
      </c>
      <c r="AY136" s="41" t="s">
        <v>300</v>
      </c>
      <c r="AZ136" s="41" t="s">
        <v>301</v>
      </c>
      <c r="BA136" s="43" t="s">
        <v>51</v>
      </c>
      <c r="BC136" s="10">
        <f t="shared" si="127"/>
        <v>0</v>
      </c>
      <c r="BD136" s="10">
        <f t="shared" si="128"/>
        <v>0</v>
      </c>
      <c r="BE136" s="10">
        <v>0</v>
      </c>
      <c r="BF136" s="10">
        <f>136</f>
        <v>136</v>
      </c>
      <c r="BH136" s="10">
        <f t="shared" si="129"/>
        <v>0</v>
      </c>
      <c r="BI136" s="10">
        <f t="shared" si="130"/>
        <v>0</v>
      </c>
      <c r="BJ136" s="10">
        <f t="shared" si="131"/>
        <v>0</v>
      </c>
      <c r="BK136" s="10"/>
      <c r="BL136" s="10">
        <v>771</v>
      </c>
    </row>
    <row r="137" spans="2:64" ht="15" customHeight="1">
      <c r="B137" s="25" t="s">
        <v>310</v>
      </c>
      <c r="C137" s="62" t="s">
        <v>311</v>
      </c>
      <c r="D137" s="62"/>
      <c r="E137" s="62"/>
      <c r="F137" s="62"/>
      <c r="G137" s="23" t="s">
        <v>55</v>
      </c>
      <c r="H137" s="10">
        <v>90.9</v>
      </c>
      <c r="I137" s="53">
        <v>0</v>
      </c>
      <c r="J137" s="10">
        <f t="shared" si="110"/>
        <v>0</v>
      </c>
      <c r="K137" s="10">
        <f t="shared" si="111"/>
        <v>0</v>
      </c>
      <c r="L137" s="10">
        <f t="shared" si="112"/>
        <v>0</v>
      </c>
      <c r="M137" s="47"/>
      <c r="Z137" s="10">
        <f t="shared" si="113"/>
        <v>0</v>
      </c>
      <c r="AB137" s="10">
        <f t="shared" si="114"/>
        <v>0</v>
      </c>
      <c r="AC137" s="10">
        <f t="shared" si="115"/>
        <v>0</v>
      </c>
      <c r="AD137" s="10">
        <f t="shared" si="116"/>
        <v>0</v>
      </c>
      <c r="AE137" s="10">
        <f t="shared" si="117"/>
        <v>0</v>
      </c>
      <c r="AF137" s="10">
        <f t="shared" si="118"/>
        <v>0</v>
      </c>
      <c r="AG137" s="10">
        <f t="shared" si="119"/>
        <v>0</v>
      </c>
      <c r="AH137" s="10">
        <f t="shared" si="120"/>
        <v>0</v>
      </c>
      <c r="AI137" s="43" t="s">
        <v>44</v>
      </c>
      <c r="AJ137" s="10">
        <f t="shared" si="121"/>
        <v>0</v>
      </c>
      <c r="AK137" s="10">
        <f t="shared" si="122"/>
        <v>0</v>
      </c>
      <c r="AL137" s="10">
        <f t="shared" si="123"/>
        <v>0</v>
      </c>
      <c r="AN137" s="10">
        <v>21</v>
      </c>
      <c r="AO137" s="10">
        <f>I137*0</f>
        <v>0</v>
      </c>
      <c r="AP137" s="10">
        <f>I137*(1-0)</f>
        <v>0</v>
      </c>
      <c r="AQ137" s="41" t="s">
        <v>68</v>
      </c>
      <c r="AV137" s="10">
        <f t="shared" si="124"/>
        <v>0</v>
      </c>
      <c r="AW137" s="10">
        <f t="shared" si="125"/>
        <v>0</v>
      </c>
      <c r="AX137" s="10">
        <f t="shared" si="126"/>
        <v>0</v>
      </c>
      <c r="AY137" s="41" t="s">
        <v>300</v>
      </c>
      <c r="AZ137" s="41" t="s">
        <v>301</v>
      </c>
      <c r="BA137" s="43" t="s">
        <v>51</v>
      </c>
      <c r="BC137" s="10">
        <f t="shared" si="127"/>
        <v>0</v>
      </c>
      <c r="BD137" s="10">
        <f t="shared" si="128"/>
        <v>0</v>
      </c>
      <c r="BE137" s="10">
        <v>0</v>
      </c>
      <c r="BF137" s="10">
        <f>137</f>
        <v>137</v>
      </c>
      <c r="BH137" s="10">
        <f t="shared" si="129"/>
        <v>0</v>
      </c>
      <c r="BI137" s="10">
        <f t="shared" si="130"/>
        <v>0</v>
      </c>
      <c r="BJ137" s="10">
        <f t="shared" si="131"/>
        <v>0</v>
      </c>
      <c r="BK137" s="10"/>
      <c r="BL137" s="10">
        <v>771</v>
      </c>
    </row>
    <row r="138" spans="2:64" ht="15" customHeight="1">
      <c r="B138" s="25" t="s">
        <v>312</v>
      </c>
      <c r="C138" s="62" t="s">
        <v>313</v>
      </c>
      <c r="D138" s="62"/>
      <c r="E138" s="62"/>
      <c r="F138" s="62"/>
      <c r="G138" s="23" t="s">
        <v>63</v>
      </c>
      <c r="H138" s="10">
        <v>115.7</v>
      </c>
      <c r="I138" s="53">
        <v>0</v>
      </c>
      <c r="J138" s="10">
        <f t="shared" si="110"/>
        <v>0</v>
      </c>
      <c r="K138" s="10">
        <f t="shared" si="111"/>
        <v>0</v>
      </c>
      <c r="L138" s="10">
        <f t="shared" si="112"/>
        <v>0</v>
      </c>
      <c r="M138" s="47"/>
      <c r="Z138" s="10">
        <f t="shared" si="113"/>
        <v>0</v>
      </c>
      <c r="AB138" s="10">
        <f t="shared" si="114"/>
        <v>0</v>
      </c>
      <c r="AC138" s="10">
        <f t="shared" si="115"/>
        <v>0</v>
      </c>
      <c r="AD138" s="10">
        <f t="shared" si="116"/>
        <v>0</v>
      </c>
      <c r="AE138" s="10">
        <f t="shared" si="117"/>
        <v>0</v>
      </c>
      <c r="AF138" s="10">
        <f t="shared" si="118"/>
        <v>0</v>
      </c>
      <c r="AG138" s="10">
        <f t="shared" si="119"/>
        <v>0</v>
      </c>
      <c r="AH138" s="10">
        <f t="shared" si="120"/>
        <v>0</v>
      </c>
      <c r="AI138" s="43" t="s">
        <v>44</v>
      </c>
      <c r="AJ138" s="10">
        <f t="shared" si="121"/>
        <v>0</v>
      </c>
      <c r="AK138" s="10">
        <f t="shared" si="122"/>
        <v>0</v>
      </c>
      <c r="AL138" s="10">
        <f t="shared" si="123"/>
        <v>0</v>
      </c>
      <c r="AN138" s="10">
        <v>21</v>
      </c>
      <c r="AO138" s="10">
        <f>I138*0</f>
        <v>0</v>
      </c>
      <c r="AP138" s="10">
        <f>I138*(1-0)</f>
        <v>0</v>
      </c>
      <c r="AQ138" s="41" t="s">
        <v>68</v>
      </c>
      <c r="AV138" s="10">
        <f t="shared" si="124"/>
        <v>0</v>
      </c>
      <c r="AW138" s="10">
        <f t="shared" si="125"/>
        <v>0</v>
      </c>
      <c r="AX138" s="10">
        <f t="shared" si="126"/>
        <v>0</v>
      </c>
      <c r="AY138" s="41" t="s">
        <v>300</v>
      </c>
      <c r="AZ138" s="41" t="s">
        <v>301</v>
      </c>
      <c r="BA138" s="43" t="s">
        <v>51</v>
      </c>
      <c r="BC138" s="10">
        <f t="shared" si="127"/>
        <v>0</v>
      </c>
      <c r="BD138" s="10">
        <f t="shared" si="128"/>
        <v>0</v>
      </c>
      <c r="BE138" s="10">
        <v>0</v>
      </c>
      <c r="BF138" s="10">
        <f>138</f>
        <v>138</v>
      </c>
      <c r="BH138" s="10">
        <f t="shared" si="129"/>
        <v>0</v>
      </c>
      <c r="BI138" s="10">
        <f t="shared" si="130"/>
        <v>0</v>
      </c>
      <c r="BJ138" s="10">
        <f t="shared" si="131"/>
        <v>0</v>
      </c>
      <c r="BK138" s="10"/>
      <c r="BL138" s="10">
        <v>771</v>
      </c>
    </row>
    <row r="139" spans="2:64" ht="15" customHeight="1">
      <c r="B139" s="25" t="s">
        <v>314</v>
      </c>
      <c r="C139" s="62" t="s">
        <v>315</v>
      </c>
      <c r="D139" s="62"/>
      <c r="E139" s="62"/>
      <c r="F139" s="62"/>
      <c r="G139" s="23" t="s">
        <v>55</v>
      </c>
      <c r="H139" s="10">
        <v>90.9</v>
      </c>
      <c r="I139" s="53">
        <v>0</v>
      </c>
      <c r="J139" s="10">
        <f t="shared" si="110"/>
        <v>0</v>
      </c>
      <c r="K139" s="10">
        <f t="shared" si="111"/>
        <v>0</v>
      </c>
      <c r="L139" s="10">
        <f t="shared" si="112"/>
        <v>0</v>
      </c>
      <c r="M139" s="47"/>
      <c r="Z139" s="10">
        <f t="shared" si="113"/>
        <v>0</v>
      </c>
      <c r="AB139" s="10">
        <f t="shared" si="114"/>
        <v>0</v>
      </c>
      <c r="AC139" s="10">
        <f t="shared" si="115"/>
        <v>0</v>
      </c>
      <c r="AD139" s="10">
        <f t="shared" si="116"/>
        <v>0</v>
      </c>
      <c r="AE139" s="10">
        <f t="shared" si="117"/>
        <v>0</v>
      </c>
      <c r="AF139" s="10">
        <f t="shared" si="118"/>
        <v>0</v>
      </c>
      <c r="AG139" s="10">
        <f t="shared" si="119"/>
        <v>0</v>
      </c>
      <c r="AH139" s="10">
        <f t="shared" si="120"/>
        <v>0</v>
      </c>
      <c r="AI139" s="43" t="s">
        <v>44</v>
      </c>
      <c r="AJ139" s="10">
        <f t="shared" si="121"/>
        <v>0</v>
      </c>
      <c r="AK139" s="10">
        <f t="shared" si="122"/>
        <v>0</v>
      </c>
      <c r="AL139" s="10">
        <f t="shared" si="123"/>
        <v>0</v>
      </c>
      <c r="AN139" s="10">
        <v>21</v>
      </c>
      <c r="AO139" s="10">
        <f>I139*0.551847826086957</f>
        <v>0</v>
      </c>
      <c r="AP139" s="10">
        <f>I139*(1-0.551847826086957)</f>
        <v>0</v>
      </c>
      <c r="AQ139" s="41" t="s">
        <v>68</v>
      </c>
      <c r="AV139" s="10">
        <f t="shared" si="124"/>
        <v>0</v>
      </c>
      <c r="AW139" s="10">
        <f t="shared" si="125"/>
        <v>0</v>
      </c>
      <c r="AX139" s="10">
        <f t="shared" si="126"/>
        <v>0</v>
      </c>
      <c r="AY139" s="41" t="s">
        <v>300</v>
      </c>
      <c r="AZ139" s="41" t="s">
        <v>301</v>
      </c>
      <c r="BA139" s="43" t="s">
        <v>51</v>
      </c>
      <c r="BC139" s="10">
        <f t="shared" si="127"/>
        <v>0</v>
      </c>
      <c r="BD139" s="10">
        <f t="shared" si="128"/>
        <v>0</v>
      </c>
      <c r="BE139" s="10">
        <v>0</v>
      </c>
      <c r="BF139" s="10">
        <f>139</f>
        <v>139</v>
      </c>
      <c r="BH139" s="10">
        <f t="shared" si="129"/>
        <v>0</v>
      </c>
      <c r="BI139" s="10">
        <f t="shared" si="130"/>
        <v>0</v>
      </c>
      <c r="BJ139" s="10">
        <f t="shared" si="131"/>
        <v>0</v>
      </c>
      <c r="BK139" s="10"/>
      <c r="BL139" s="10">
        <v>771</v>
      </c>
    </row>
    <row r="140" spans="2:64" ht="15" customHeight="1">
      <c r="B140" s="25" t="s">
        <v>316</v>
      </c>
      <c r="C140" s="62" t="s">
        <v>317</v>
      </c>
      <c r="D140" s="62"/>
      <c r="E140" s="62"/>
      <c r="F140" s="62"/>
      <c r="G140" s="23" t="s">
        <v>63</v>
      </c>
      <c r="H140" s="10">
        <v>115.7</v>
      </c>
      <c r="I140" s="53">
        <v>0</v>
      </c>
      <c r="J140" s="10">
        <f t="shared" si="110"/>
        <v>0</v>
      </c>
      <c r="K140" s="10">
        <f t="shared" si="111"/>
        <v>0</v>
      </c>
      <c r="L140" s="10">
        <f t="shared" si="112"/>
        <v>0</v>
      </c>
      <c r="M140" s="47"/>
      <c r="Z140" s="10">
        <f t="shared" si="113"/>
        <v>0</v>
      </c>
      <c r="AB140" s="10">
        <f t="shared" si="114"/>
        <v>0</v>
      </c>
      <c r="AC140" s="10">
        <f t="shared" si="115"/>
        <v>0</v>
      </c>
      <c r="AD140" s="10">
        <f t="shared" si="116"/>
        <v>0</v>
      </c>
      <c r="AE140" s="10">
        <f t="shared" si="117"/>
        <v>0</v>
      </c>
      <c r="AF140" s="10">
        <f t="shared" si="118"/>
        <v>0</v>
      </c>
      <c r="AG140" s="10">
        <f t="shared" si="119"/>
        <v>0</v>
      </c>
      <c r="AH140" s="10">
        <f t="shared" si="120"/>
        <v>0</v>
      </c>
      <c r="AI140" s="43" t="s">
        <v>44</v>
      </c>
      <c r="AJ140" s="10">
        <f t="shared" si="121"/>
        <v>0</v>
      </c>
      <c r="AK140" s="10">
        <f t="shared" si="122"/>
        <v>0</v>
      </c>
      <c r="AL140" s="10">
        <f t="shared" si="123"/>
        <v>0</v>
      </c>
      <c r="AN140" s="10">
        <v>21</v>
      </c>
      <c r="AO140" s="10">
        <f>I140*0</f>
        <v>0</v>
      </c>
      <c r="AP140" s="10">
        <f>I140*(1-0)</f>
        <v>0</v>
      </c>
      <c r="AQ140" s="41" t="s">
        <v>68</v>
      </c>
      <c r="AV140" s="10">
        <f t="shared" si="124"/>
        <v>0</v>
      </c>
      <c r="AW140" s="10">
        <f t="shared" si="125"/>
        <v>0</v>
      </c>
      <c r="AX140" s="10">
        <f t="shared" si="126"/>
        <v>0</v>
      </c>
      <c r="AY140" s="41" t="s">
        <v>300</v>
      </c>
      <c r="AZ140" s="41" t="s">
        <v>301</v>
      </c>
      <c r="BA140" s="43" t="s">
        <v>51</v>
      </c>
      <c r="BC140" s="10">
        <f t="shared" si="127"/>
        <v>0</v>
      </c>
      <c r="BD140" s="10">
        <f t="shared" si="128"/>
        <v>0</v>
      </c>
      <c r="BE140" s="10">
        <v>0</v>
      </c>
      <c r="BF140" s="10">
        <f>140</f>
        <v>140</v>
      </c>
      <c r="BH140" s="10">
        <f t="shared" si="129"/>
        <v>0</v>
      </c>
      <c r="BI140" s="10">
        <f t="shared" si="130"/>
        <v>0</v>
      </c>
      <c r="BJ140" s="10">
        <f t="shared" si="131"/>
        <v>0</v>
      </c>
      <c r="BK140" s="10"/>
      <c r="BL140" s="10">
        <v>771</v>
      </c>
    </row>
    <row r="141" spans="2:64" ht="15" customHeight="1">
      <c r="B141" s="25" t="s">
        <v>318</v>
      </c>
      <c r="C141" s="62" t="s">
        <v>319</v>
      </c>
      <c r="D141" s="62"/>
      <c r="E141" s="62"/>
      <c r="F141" s="62"/>
      <c r="G141" s="23" t="s">
        <v>63</v>
      </c>
      <c r="H141" s="10">
        <v>115.7</v>
      </c>
      <c r="I141" s="53">
        <v>0</v>
      </c>
      <c r="J141" s="10">
        <f t="shared" si="110"/>
        <v>0</v>
      </c>
      <c r="K141" s="10">
        <f t="shared" si="111"/>
        <v>0</v>
      </c>
      <c r="L141" s="10">
        <f t="shared" si="112"/>
        <v>0</v>
      </c>
      <c r="M141" s="47"/>
      <c r="Z141" s="10">
        <f t="shared" si="113"/>
        <v>0</v>
      </c>
      <c r="AB141" s="10">
        <f t="shared" si="114"/>
        <v>0</v>
      </c>
      <c r="AC141" s="10">
        <f t="shared" si="115"/>
        <v>0</v>
      </c>
      <c r="AD141" s="10">
        <f t="shared" si="116"/>
        <v>0</v>
      </c>
      <c r="AE141" s="10">
        <f t="shared" si="117"/>
        <v>0</v>
      </c>
      <c r="AF141" s="10">
        <f t="shared" si="118"/>
        <v>0</v>
      </c>
      <c r="AG141" s="10">
        <f t="shared" si="119"/>
        <v>0</v>
      </c>
      <c r="AH141" s="10">
        <f t="shared" si="120"/>
        <v>0</v>
      </c>
      <c r="AI141" s="43" t="s">
        <v>44</v>
      </c>
      <c r="AJ141" s="10">
        <f t="shared" si="121"/>
        <v>0</v>
      </c>
      <c r="AK141" s="10">
        <f t="shared" si="122"/>
        <v>0</v>
      </c>
      <c r="AL141" s="10">
        <f t="shared" si="123"/>
        <v>0</v>
      </c>
      <c r="AN141" s="10">
        <v>21</v>
      </c>
      <c r="AO141" s="10">
        <f>I141*0</f>
        <v>0</v>
      </c>
      <c r="AP141" s="10">
        <f>I141*(1-0)</f>
        <v>0</v>
      </c>
      <c r="AQ141" s="41" t="s">
        <v>68</v>
      </c>
      <c r="AV141" s="10">
        <f t="shared" si="124"/>
        <v>0</v>
      </c>
      <c r="AW141" s="10">
        <f t="shared" si="125"/>
        <v>0</v>
      </c>
      <c r="AX141" s="10">
        <f t="shared" si="126"/>
        <v>0</v>
      </c>
      <c r="AY141" s="41" t="s">
        <v>300</v>
      </c>
      <c r="AZ141" s="41" t="s">
        <v>301</v>
      </c>
      <c r="BA141" s="43" t="s">
        <v>51</v>
      </c>
      <c r="BC141" s="10">
        <f t="shared" si="127"/>
        <v>0</v>
      </c>
      <c r="BD141" s="10">
        <f t="shared" si="128"/>
        <v>0</v>
      </c>
      <c r="BE141" s="10">
        <v>0</v>
      </c>
      <c r="BF141" s="10">
        <f>141</f>
        <v>141</v>
      </c>
      <c r="BH141" s="10">
        <f t="shared" si="129"/>
        <v>0</v>
      </c>
      <c r="BI141" s="10">
        <f t="shared" si="130"/>
        <v>0</v>
      </c>
      <c r="BJ141" s="10">
        <f t="shared" si="131"/>
        <v>0</v>
      </c>
      <c r="BK141" s="10"/>
      <c r="BL141" s="10">
        <v>771</v>
      </c>
    </row>
    <row r="142" spans="2:64" ht="15" customHeight="1">
      <c r="B142" s="25" t="s">
        <v>320</v>
      </c>
      <c r="C142" s="62" t="s">
        <v>321</v>
      </c>
      <c r="D142" s="62"/>
      <c r="E142" s="62"/>
      <c r="F142" s="62"/>
      <c r="G142" s="23" t="s">
        <v>63</v>
      </c>
      <c r="H142" s="10">
        <v>115.7</v>
      </c>
      <c r="I142" s="53">
        <v>0</v>
      </c>
      <c r="J142" s="10">
        <f t="shared" si="110"/>
        <v>0</v>
      </c>
      <c r="K142" s="10">
        <f t="shared" si="111"/>
        <v>0</v>
      </c>
      <c r="L142" s="10">
        <f t="shared" si="112"/>
        <v>0</v>
      </c>
      <c r="M142" s="47"/>
      <c r="Z142" s="10">
        <f t="shared" si="113"/>
        <v>0</v>
      </c>
      <c r="AB142" s="10">
        <f t="shared" si="114"/>
        <v>0</v>
      </c>
      <c r="AC142" s="10">
        <f t="shared" si="115"/>
        <v>0</v>
      </c>
      <c r="AD142" s="10">
        <f t="shared" si="116"/>
        <v>0</v>
      </c>
      <c r="AE142" s="10">
        <f t="shared" si="117"/>
        <v>0</v>
      </c>
      <c r="AF142" s="10">
        <f t="shared" si="118"/>
        <v>0</v>
      </c>
      <c r="AG142" s="10">
        <f t="shared" si="119"/>
        <v>0</v>
      </c>
      <c r="AH142" s="10">
        <f t="shared" si="120"/>
        <v>0</v>
      </c>
      <c r="AI142" s="43" t="s">
        <v>44</v>
      </c>
      <c r="AJ142" s="10">
        <f t="shared" si="121"/>
        <v>0</v>
      </c>
      <c r="AK142" s="10">
        <f t="shared" si="122"/>
        <v>0</v>
      </c>
      <c r="AL142" s="10">
        <f t="shared" si="123"/>
        <v>0</v>
      </c>
      <c r="AN142" s="10">
        <v>21</v>
      </c>
      <c r="AO142" s="10">
        <f>I142*1</f>
        <v>0</v>
      </c>
      <c r="AP142" s="10">
        <f>I142*(1-1)</f>
        <v>0</v>
      </c>
      <c r="AQ142" s="41" t="s">
        <v>68</v>
      </c>
      <c r="AV142" s="10">
        <f t="shared" si="124"/>
        <v>0</v>
      </c>
      <c r="AW142" s="10">
        <f t="shared" si="125"/>
        <v>0</v>
      </c>
      <c r="AX142" s="10">
        <f t="shared" si="126"/>
        <v>0</v>
      </c>
      <c r="AY142" s="41" t="s">
        <v>300</v>
      </c>
      <c r="AZ142" s="41" t="s">
        <v>301</v>
      </c>
      <c r="BA142" s="43" t="s">
        <v>51</v>
      </c>
      <c r="BC142" s="10">
        <f t="shared" si="127"/>
        <v>0</v>
      </c>
      <c r="BD142" s="10">
        <f t="shared" si="128"/>
        <v>0</v>
      </c>
      <c r="BE142" s="10">
        <v>0</v>
      </c>
      <c r="BF142" s="10">
        <f>142</f>
        <v>142</v>
      </c>
      <c r="BH142" s="10">
        <f t="shared" si="129"/>
        <v>0</v>
      </c>
      <c r="BI142" s="10">
        <f t="shared" si="130"/>
        <v>0</v>
      </c>
      <c r="BJ142" s="10">
        <f t="shared" si="131"/>
        <v>0</v>
      </c>
      <c r="BK142" s="10"/>
      <c r="BL142" s="10">
        <v>771</v>
      </c>
    </row>
    <row r="143" spans="2:64" ht="15" customHeight="1">
      <c r="B143" s="25" t="s">
        <v>322</v>
      </c>
      <c r="C143" s="62" t="s">
        <v>323</v>
      </c>
      <c r="D143" s="62"/>
      <c r="E143" s="62"/>
      <c r="F143" s="62"/>
      <c r="G143" s="23" t="s">
        <v>63</v>
      </c>
      <c r="H143" s="10">
        <v>115.7</v>
      </c>
      <c r="I143" s="53">
        <v>0</v>
      </c>
      <c r="J143" s="10">
        <f t="shared" si="110"/>
        <v>0</v>
      </c>
      <c r="K143" s="10">
        <f t="shared" si="111"/>
        <v>0</v>
      </c>
      <c r="L143" s="10">
        <f t="shared" si="112"/>
        <v>0</v>
      </c>
      <c r="M143" s="47"/>
      <c r="Z143" s="10">
        <f t="shared" si="113"/>
        <v>0</v>
      </c>
      <c r="AB143" s="10">
        <f t="shared" si="114"/>
        <v>0</v>
      </c>
      <c r="AC143" s="10">
        <f t="shared" si="115"/>
        <v>0</v>
      </c>
      <c r="AD143" s="10">
        <f t="shared" si="116"/>
        <v>0</v>
      </c>
      <c r="AE143" s="10">
        <f t="shared" si="117"/>
        <v>0</v>
      </c>
      <c r="AF143" s="10">
        <f t="shared" si="118"/>
        <v>0</v>
      </c>
      <c r="AG143" s="10">
        <f t="shared" si="119"/>
        <v>0</v>
      </c>
      <c r="AH143" s="10">
        <f t="shared" si="120"/>
        <v>0</v>
      </c>
      <c r="AI143" s="43" t="s">
        <v>44</v>
      </c>
      <c r="AJ143" s="10">
        <f t="shared" si="121"/>
        <v>0</v>
      </c>
      <c r="AK143" s="10">
        <f t="shared" si="122"/>
        <v>0</v>
      </c>
      <c r="AL143" s="10">
        <f t="shared" si="123"/>
        <v>0</v>
      </c>
      <c r="AN143" s="10">
        <v>21</v>
      </c>
      <c r="AO143" s="10">
        <f>I143*0.553265602322206</f>
        <v>0</v>
      </c>
      <c r="AP143" s="10">
        <f>I143*(1-0.553265602322206)</f>
        <v>0</v>
      </c>
      <c r="AQ143" s="41" t="s">
        <v>68</v>
      </c>
      <c r="AV143" s="10">
        <f t="shared" si="124"/>
        <v>0</v>
      </c>
      <c r="AW143" s="10">
        <f t="shared" si="125"/>
        <v>0</v>
      </c>
      <c r="AX143" s="10">
        <f t="shared" si="126"/>
        <v>0</v>
      </c>
      <c r="AY143" s="41" t="s">
        <v>300</v>
      </c>
      <c r="AZ143" s="41" t="s">
        <v>301</v>
      </c>
      <c r="BA143" s="43" t="s">
        <v>51</v>
      </c>
      <c r="BC143" s="10">
        <f t="shared" si="127"/>
        <v>0</v>
      </c>
      <c r="BD143" s="10">
        <f t="shared" si="128"/>
        <v>0</v>
      </c>
      <c r="BE143" s="10">
        <v>0</v>
      </c>
      <c r="BF143" s="10">
        <f>143</f>
        <v>143</v>
      </c>
      <c r="BH143" s="10">
        <f t="shared" si="129"/>
        <v>0</v>
      </c>
      <c r="BI143" s="10">
        <f t="shared" si="130"/>
        <v>0</v>
      </c>
      <c r="BJ143" s="10">
        <f t="shared" si="131"/>
        <v>0</v>
      </c>
      <c r="BK143" s="10"/>
      <c r="BL143" s="10">
        <v>771</v>
      </c>
    </row>
    <row r="144" spans="2:64" ht="15" customHeight="1">
      <c r="B144" s="25" t="s">
        <v>324</v>
      </c>
      <c r="C144" s="62" t="s">
        <v>325</v>
      </c>
      <c r="D144" s="62"/>
      <c r="E144" s="62"/>
      <c r="F144" s="62"/>
      <c r="G144" s="23" t="s">
        <v>55</v>
      </c>
      <c r="H144" s="10">
        <v>90.9</v>
      </c>
      <c r="I144" s="53">
        <v>0</v>
      </c>
      <c r="J144" s="10">
        <f t="shared" si="110"/>
        <v>0</v>
      </c>
      <c r="K144" s="10">
        <f t="shared" si="111"/>
        <v>0</v>
      </c>
      <c r="L144" s="10">
        <f t="shared" si="112"/>
        <v>0</v>
      </c>
      <c r="M144" s="47"/>
      <c r="Z144" s="10">
        <f t="shared" si="113"/>
        <v>0</v>
      </c>
      <c r="AB144" s="10">
        <f t="shared" si="114"/>
        <v>0</v>
      </c>
      <c r="AC144" s="10">
        <f t="shared" si="115"/>
        <v>0</v>
      </c>
      <c r="AD144" s="10">
        <f t="shared" si="116"/>
        <v>0</v>
      </c>
      <c r="AE144" s="10">
        <f t="shared" si="117"/>
        <v>0</v>
      </c>
      <c r="AF144" s="10">
        <f t="shared" si="118"/>
        <v>0</v>
      </c>
      <c r="AG144" s="10">
        <f t="shared" si="119"/>
        <v>0</v>
      </c>
      <c r="AH144" s="10">
        <f t="shared" si="120"/>
        <v>0</v>
      </c>
      <c r="AI144" s="43" t="s">
        <v>44</v>
      </c>
      <c r="AJ144" s="10">
        <f t="shared" si="121"/>
        <v>0</v>
      </c>
      <c r="AK144" s="10">
        <f t="shared" si="122"/>
        <v>0</v>
      </c>
      <c r="AL144" s="10">
        <f t="shared" si="123"/>
        <v>0</v>
      </c>
      <c r="AN144" s="10">
        <v>21</v>
      </c>
      <c r="AO144" s="10">
        <f>I144*0.0531007751937984</f>
        <v>0</v>
      </c>
      <c r="AP144" s="10">
        <f>I144*(1-0.0531007751937984)</f>
        <v>0</v>
      </c>
      <c r="AQ144" s="41" t="s">
        <v>68</v>
      </c>
      <c r="AV144" s="10">
        <f t="shared" si="124"/>
        <v>0</v>
      </c>
      <c r="AW144" s="10">
        <f t="shared" si="125"/>
        <v>0</v>
      </c>
      <c r="AX144" s="10">
        <f t="shared" si="126"/>
        <v>0</v>
      </c>
      <c r="AY144" s="41" t="s">
        <v>300</v>
      </c>
      <c r="AZ144" s="41" t="s">
        <v>301</v>
      </c>
      <c r="BA144" s="43" t="s">
        <v>51</v>
      </c>
      <c r="BC144" s="10">
        <f t="shared" si="127"/>
        <v>0</v>
      </c>
      <c r="BD144" s="10">
        <f t="shared" si="128"/>
        <v>0</v>
      </c>
      <c r="BE144" s="10">
        <v>0</v>
      </c>
      <c r="BF144" s="10">
        <f>144</f>
        <v>144</v>
      </c>
      <c r="BH144" s="10">
        <f t="shared" si="129"/>
        <v>0</v>
      </c>
      <c r="BI144" s="10">
        <f t="shared" si="130"/>
        <v>0</v>
      </c>
      <c r="BJ144" s="10">
        <f t="shared" si="131"/>
        <v>0</v>
      </c>
      <c r="BK144" s="10"/>
      <c r="BL144" s="10">
        <v>771</v>
      </c>
    </row>
    <row r="145" spans="2:47" ht="15" customHeight="1">
      <c r="B145" s="14" t="s">
        <v>44</v>
      </c>
      <c r="C145" s="78" t="s">
        <v>326</v>
      </c>
      <c r="D145" s="78"/>
      <c r="E145" s="78"/>
      <c r="F145" s="78"/>
      <c r="G145" s="19" t="s">
        <v>4</v>
      </c>
      <c r="H145" s="19" t="s">
        <v>4</v>
      </c>
      <c r="I145" s="19" t="s">
        <v>4</v>
      </c>
      <c r="J145" s="28">
        <f>SUM(J146:J147)</f>
        <v>0</v>
      </c>
      <c r="K145" s="28">
        <f>SUM(K146:K147)</f>
        <v>0</v>
      </c>
      <c r="L145" s="28">
        <f>SUM(L146:L147)</f>
        <v>0</v>
      </c>
      <c r="M145" s="2"/>
      <c r="AI145" s="43" t="s">
        <v>44</v>
      </c>
      <c r="AS145" s="28">
        <f>SUM(AJ146:AJ147)</f>
        <v>0</v>
      </c>
      <c r="AT145" s="28">
        <f>SUM(AK146:AK147)</f>
        <v>0</v>
      </c>
      <c r="AU145" s="28">
        <f>SUM(AL146:AL147)</f>
        <v>0</v>
      </c>
    </row>
    <row r="146" spans="2:64" ht="15" customHeight="1">
      <c r="B146" s="25" t="s">
        <v>327</v>
      </c>
      <c r="C146" s="62" t="s">
        <v>328</v>
      </c>
      <c r="D146" s="62"/>
      <c r="E146" s="62"/>
      <c r="F146" s="62"/>
      <c r="G146" s="23" t="s">
        <v>63</v>
      </c>
      <c r="H146" s="10">
        <v>12.75</v>
      </c>
      <c r="I146" s="53">
        <v>0</v>
      </c>
      <c r="J146" s="10">
        <f>H146*AO146</f>
        <v>0</v>
      </c>
      <c r="K146" s="10">
        <f>H146*AP146</f>
        <v>0</v>
      </c>
      <c r="L146" s="10">
        <f>H146*I146</f>
        <v>0</v>
      </c>
      <c r="M146" s="47"/>
      <c r="Z146" s="10">
        <f>IF(AQ146="5",BJ146,0)</f>
        <v>0</v>
      </c>
      <c r="AB146" s="10">
        <f>IF(AQ146="1",BH146,0)</f>
        <v>0</v>
      </c>
      <c r="AC146" s="10">
        <f>IF(AQ146="1",BI146,0)</f>
        <v>0</v>
      </c>
      <c r="AD146" s="10">
        <f>IF(AQ146="7",BH146,0)</f>
        <v>0</v>
      </c>
      <c r="AE146" s="10">
        <f>IF(AQ146="7",BI146,0)</f>
        <v>0</v>
      </c>
      <c r="AF146" s="10">
        <f>IF(AQ146="2",BH146,0)</f>
        <v>0</v>
      </c>
      <c r="AG146" s="10">
        <f>IF(AQ146="2",BI146,0)</f>
        <v>0</v>
      </c>
      <c r="AH146" s="10">
        <f>IF(AQ146="0",BJ146,0)</f>
        <v>0</v>
      </c>
      <c r="AI146" s="43" t="s">
        <v>44</v>
      </c>
      <c r="AJ146" s="10">
        <f>IF(AN146=0,L146,0)</f>
        <v>0</v>
      </c>
      <c r="AK146" s="10">
        <f>IF(AN146=15,L146,0)</f>
        <v>0</v>
      </c>
      <c r="AL146" s="10">
        <f>IF(AN146=21,L146,0)</f>
        <v>0</v>
      </c>
      <c r="AN146" s="10">
        <v>21</v>
      </c>
      <c r="AO146" s="10">
        <f>I146*0</f>
        <v>0</v>
      </c>
      <c r="AP146" s="10">
        <f>I146*(1-0)</f>
        <v>0</v>
      </c>
      <c r="AQ146" s="41" t="s">
        <v>68</v>
      </c>
      <c r="AV146" s="10">
        <f>AW146+AX146</f>
        <v>0</v>
      </c>
      <c r="AW146" s="10">
        <f>H146*AO146</f>
        <v>0</v>
      </c>
      <c r="AX146" s="10">
        <f>H146*AP146</f>
        <v>0</v>
      </c>
      <c r="AY146" s="41" t="s">
        <v>329</v>
      </c>
      <c r="AZ146" s="41" t="s">
        <v>301</v>
      </c>
      <c r="BA146" s="43" t="s">
        <v>51</v>
      </c>
      <c r="BC146" s="10">
        <f>AW146+AX146</f>
        <v>0</v>
      </c>
      <c r="BD146" s="10">
        <f>I146/(100-BE146)*100</f>
        <v>0</v>
      </c>
      <c r="BE146" s="10">
        <v>0</v>
      </c>
      <c r="BF146" s="10">
        <f>146</f>
        <v>146</v>
      </c>
      <c r="BH146" s="10">
        <f>H146*AO146</f>
        <v>0</v>
      </c>
      <c r="BI146" s="10">
        <f>H146*AP146</f>
        <v>0</v>
      </c>
      <c r="BJ146" s="10">
        <f>H146*I146</f>
        <v>0</v>
      </c>
      <c r="BK146" s="10"/>
      <c r="BL146" s="10">
        <v>776</v>
      </c>
    </row>
    <row r="147" spans="2:64" ht="15" customHeight="1">
      <c r="B147" s="25" t="s">
        <v>330</v>
      </c>
      <c r="C147" s="62" t="s">
        <v>331</v>
      </c>
      <c r="D147" s="62"/>
      <c r="E147" s="62"/>
      <c r="F147" s="62"/>
      <c r="G147" s="23" t="s">
        <v>55</v>
      </c>
      <c r="H147" s="10">
        <v>26.8</v>
      </c>
      <c r="I147" s="53">
        <v>0</v>
      </c>
      <c r="J147" s="10">
        <f>H147*AO147</f>
        <v>0</v>
      </c>
      <c r="K147" s="10">
        <f>H147*AP147</f>
        <v>0</v>
      </c>
      <c r="L147" s="10">
        <f>H147*I147</f>
        <v>0</v>
      </c>
      <c r="M147" s="47"/>
      <c r="Z147" s="10">
        <f>IF(AQ147="5",BJ147,0)</f>
        <v>0</v>
      </c>
      <c r="AB147" s="10">
        <f>IF(AQ147="1",BH147,0)</f>
        <v>0</v>
      </c>
      <c r="AC147" s="10">
        <f>IF(AQ147="1",BI147,0)</f>
        <v>0</v>
      </c>
      <c r="AD147" s="10">
        <f>IF(AQ147="7",BH147,0)</f>
        <v>0</v>
      </c>
      <c r="AE147" s="10">
        <f>IF(AQ147="7",BI147,0)</f>
        <v>0</v>
      </c>
      <c r="AF147" s="10">
        <f>IF(AQ147="2",BH147,0)</f>
        <v>0</v>
      </c>
      <c r="AG147" s="10">
        <f>IF(AQ147="2",BI147,0)</f>
        <v>0</v>
      </c>
      <c r="AH147" s="10">
        <f>IF(AQ147="0",BJ147,0)</f>
        <v>0</v>
      </c>
      <c r="AI147" s="43" t="s">
        <v>44</v>
      </c>
      <c r="AJ147" s="10">
        <f>IF(AN147=0,L147,0)</f>
        <v>0</v>
      </c>
      <c r="AK147" s="10">
        <f>IF(AN147=15,L147,0)</f>
        <v>0</v>
      </c>
      <c r="AL147" s="10">
        <f>IF(AN147=21,L147,0)</f>
        <v>0</v>
      </c>
      <c r="AN147" s="10">
        <v>21</v>
      </c>
      <c r="AO147" s="10">
        <f>I147*0</f>
        <v>0</v>
      </c>
      <c r="AP147" s="10">
        <f>I147*(1-0)</f>
        <v>0</v>
      </c>
      <c r="AQ147" s="41" t="s">
        <v>68</v>
      </c>
      <c r="AV147" s="10">
        <f>AW147+AX147</f>
        <v>0</v>
      </c>
      <c r="AW147" s="10">
        <f>H147*AO147</f>
        <v>0</v>
      </c>
      <c r="AX147" s="10">
        <f>H147*AP147</f>
        <v>0</v>
      </c>
      <c r="AY147" s="41" t="s">
        <v>329</v>
      </c>
      <c r="AZ147" s="41" t="s">
        <v>301</v>
      </c>
      <c r="BA147" s="43" t="s">
        <v>51</v>
      </c>
      <c r="BC147" s="10">
        <f>AW147+AX147</f>
        <v>0</v>
      </c>
      <c r="BD147" s="10">
        <f>I147/(100-BE147)*100</f>
        <v>0</v>
      </c>
      <c r="BE147" s="10">
        <v>0</v>
      </c>
      <c r="BF147" s="10">
        <f>147</f>
        <v>147</v>
      </c>
      <c r="BH147" s="10">
        <f>H147*AO147</f>
        <v>0</v>
      </c>
      <c r="BI147" s="10">
        <f>H147*AP147</f>
        <v>0</v>
      </c>
      <c r="BJ147" s="10">
        <f>H147*I147</f>
        <v>0</v>
      </c>
      <c r="BK147" s="10"/>
      <c r="BL147" s="10">
        <v>776</v>
      </c>
    </row>
    <row r="148" spans="2:47" ht="15" customHeight="1">
      <c r="B148" s="14" t="s">
        <v>44</v>
      </c>
      <c r="C148" s="78" t="s">
        <v>332</v>
      </c>
      <c r="D148" s="78"/>
      <c r="E148" s="78"/>
      <c r="F148" s="78"/>
      <c r="G148" s="19" t="s">
        <v>4</v>
      </c>
      <c r="H148" s="19" t="s">
        <v>4</v>
      </c>
      <c r="I148" s="19" t="s">
        <v>4</v>
      </c>
      <c r="J148" s="28">
        <f>SUM(J149:J155)</f>
        <v>0</v>
      </c>
      <c r="K148" s="28">
        <f>SUM(K149:K155)</f>
        <v>0</v>
      </c>
      <c r="L148" s="28">
        <f>SUM(L149:L155)</f>
        <v>0</v>
      </c>
      <c r="M148" s="2"/>
      <c r="AI148" s="43" t="s">
        <v>44</v>
      </c>
      <c r="AS148" s="28">
        <f>SUM(AJ149:AJ155)</f>
        <v>0</v>
      </c>
      <c r="AT148" s="28">
        <f>SUM(AK149:AK155)</f>
        <v>0</v>
      </c>
      <c r="AU148" s="28">
        <f>SUM(AL149:AL155)</f>
        <v>0</v>
      </c>
    </row>
    <row r="149" spans="2:64" ht="15" customHeight="1">
      <c r="B149" s="25" t="s">
        <v>333</v>
      </c>
      <c r="C149" s="62" t="s">
        <v>334</v>
      </c>
      <c r="D149" s="62"/>
      <c r="E149" s="62"/>
      <c r="F149" s="62"/>
      <c r="G149" s="23" t="s">
        <v>63</v>
      </c>
      <c r="H149" s="10">
        <v>343.01</v>
      </c>
      <c r="I149" s="53">
        <v>0</v>
      </c>
      <c r="J149" s="10">
        <f aca="true" t="shared" si="132" ref="J149:J155">H149*AO149</f>
        <v>0</v>
      </c>
      <c r="K149" s="10">
        <f aca="true" t="shared" si="133" ref="K149:K155">H149*AP149</f>
        <v>0</v>
      </c>
      <c r="L149" s="10">
        <f aca="true" t="shared" si="134" ref="L149:L155">H149*I149</f>
        <v>0</v>
      </c>
      <c r="M149" s="47"/>
      <c r="Z149" s="10">
        <f aca="true" t="shared" si="135" ref="Z149:Z155">IF(AQ149="5",BJ149,0)</f>
        <v>0</v>
      </c>
      <c r="AB149" s="10">
        <f aca="true" t="shared" si="136" ref="AB149:AB155">IF(AQ149="1",BH149,0)</f>
        <v>0</v>
      </c>
      <c r="AC149" s="10">
        <f aca="true" t="shared" si="137" ref="AC149:AC155">IF(AQ149="1",BI149,0)</f>
        <v>0</v>
      </c>
      <c r="AD149" s="10">
        <f aca="true" t="shared" si="138" ref="AD149:AD155">IF(AQ149="7",BH149,0)</f>
        <v>0</v>
      </c>
      <c r="AE149" s="10">
        <f aca="true" t="shared" si="139" ref="AE149:AE155">IF(AQ149="7",BI149,0)</f>
        <v>0</v>
      </c>
      <c r="AF149" s="10">
        <f aca="true" t="shared" si="140" ref="AF149:AF155">IF(AQ149="2",BH149,0)</f>
        <v>0</v>
      </c>
      <c r="AG149" s="10">
        <f aca="true" t="shared" si="141" ref="AG149:AG155">IF(AQ149="2",BI149,0)</f>
        <v>0</v>
      </c>
      <c r="AH149" s="10">
        <f aca="true" t="shared" si="142" ref="AH149:AH155">IF(AQ149="0",BJ149,0)</f>
        <v>0</v>
      </c>
      <c r="AI149" s="43" t="s">
        <v>44</v>
      </c>
      <c r="AJ149" s="10">
        <f aca="true" t="shared" si="143" ref="AJ149:AJ155">IF(AN149=0,L149,0)</f>
        <v>0</v>
      </c>
      <c r="AK149" s="10">
        <f aca="true" t="shared" si="144" ref="AK149:AK155">IF(AN149=15,L149,0)</f>
        <v>0</v>
      </c>
      <c r="AL149" s="10">
        <f aca="true" t="shared" si="145" ref="AL149:AL155">IF(AN149=21,L149,0)</f>
        <v>0</v>
      </c>
      <c r="AN149" s="10">
        <v>21</v>
      </c>
      <c r="AO149" s="10">
        <f>I149*0.479565217391304</f>
        <v>0</v>
      </c>
      <c r="AP149" s="10">
        <f>I149*(1-0.479565217391304)</f>
        <v>0</v>
      </c>
      <c r="AQ149" s="41" t="s">
        <v>68</v>
      </c>
      <c r="AV149" s="10">
        <f aca="true" t="shared" si="146" ref="AV149:AV155">AW149+AX149</f>
        <v>0</v>
      </c>
      <c r="AW149" s="10">
        <f aca="true" t="shared" si="147" ref="AW149:AW155">H149*AO149</f>
        <v>0</v>
      </c>
      <c r="AX149" s="10">
        <f aca="true" t="shared" si="148" ref="AX149:AX155">H149*AP149</f>
        <v>0</v>
      </c>
      <c r="AY149" s="41" t="s">
        <v>335</v>
      </c>
      <c r="AZ149" s="41" t="s">
        <v>335</v>
      </c>
      <c r="BA149" s="43" t="s">
        <v>51</v>
      </c>
      <c r="BC149" s="10">
        <f aca="true" t="shared" si="149" ref="BC149:BC155">AW149+AX149</f>
        <v>0</v>
      </c>
      <c r="BD149" s="10">
        <f aca="true" t="shared" si="150" ref="BD149:BD155">I149/(100-BE149)*100</f>
        <v>0</v>
      </c>
      <c r="BE149" s="10">
        <v>0</v>
      </c>
      <c r="BF149" s="10">
        <f>149</f>
        <v>149</v>
      </c>
      <c r="BH149" s="10">
        <f aca="true" t="shared" si="151" ref="BH149:BH155">H149*AO149</f>
        <v>0</v>
      </c>
      <c r="BI149" s="10">
        <f aca="true" t="shared" si="152" ref="BI149:BI155">H149*AP149</f>
        <v>0</v>
      </c>
      <c r="BJ149" s="10">
        <f aca="true" t="shared" si="153" ref="BJ149:BJ155">H149*I149</f>
        <v>0</v>
      </c>
      <c r="BK149" s="10"/>
      <c r="BL149" s="10">
        <v>78</v>
      </c>
    </row>
    <row r="150" spans="2:64" ht="15" customHeight="1">
      <c r="B150" s="25" t="s">
        <v>336</v>
      </c>
      <c r="C150" s="62" t="s">
        <v>337</v>
      </c>
      <c r="D150" s="62"/>
      <c r="E150" s="62"/>
      <c r="F150" s="62"/>
      <c r="G150" s="23" t="s">
        <v>63</v>
      </c>
      <c r="H150" s="10">
        <v>343.01</v>
      </c>
      <c r="I150" s="53">
        <v>0</v>
      </c>
      <c r="J150" s="10">
        <f t="shared" si="132"/>
        <v>0</v>
      </c>
      <c r="K150" s="10">
        <f t="shared" si="133"/>
        <v>0</v>
      </c>
      <c r="L150" s="10">
        <f t="shared" si="134"/>
        <v>0</v>
      </c>
      <c r="M150" s="47"/>
      <c r="Z150" s="10">
        <f t="shared" si="135"/>
        <v>0</v>
      </c>
      <c r="AB150" s="10">
        <f t="shared" si="136"/>
        <v>0</v>
      </c>
      <c r="AC150" s="10">
        <f t="shared" si="137"/>
        <v>0</v>
      </c>
      <c r="AD150" s="10">
        <f t="shared" si="138"/>
        <v>0</v>
      </c>
      <c r="AE150" s="10">
        <f t="shared" si="139"/>
        <v>0</v>
      </c>
      <c r="AF150" s="10">
        <f t="shared" si="140"/>
        <v>0</v>
      </c>
      <c r="AG150" s="10">
        <f t="shared" si="141"/>
        <v>0</v>
      </c>
      <c r="AH150" s="10">
        <f t="shared" si="142"/>
        <v>0</v>
      </c>
      <c r="AI150" s="43" t="s">
        <v>44</v>
      </c>
      <c r="AJ150" s="10">
        <f t="shared" si="143"/>
        <v>0</v>
      </c>
      <c r="AK150" s="10">
        <f t="shared" si="144"/>
        <v>0</v>
      </c>
      <c r="AL150" s="10">
        <f t="shared" si="145"/>
        <v>0</v>
      </c>
      <c r="AN150" s="10">
        <v>21</v>
      </c>
      <c r="AO150" s="10">
        <f>I150*0.99999899470208</f>
        <v>0</v>
      </c>
      <c r="AP150" s="10">
        <f>I150*(1-0.99999899470208)</f>
        <v>0</v>
      </c>
      <c r="AQ150" s="41" t="s">
        <v>68</v>
      </c>
      <c r="AV150" s="10">
        <f t="shared" si="146"/>
        <v>0</v>
      </c>
      <c r="AW150" s="10">
        <f t="shared" si="147"/>
        <v>0</v>
      </c>
      <c r="AX150" s="10">
        <f t="shared" si="148"/>
        <v>0</v>
      </c>
      <c r="AY150" s="41" t="s">
        <v>335</v>
      </c>
      <c r="AZ150" s="41" t="s">
        <v>335</v>
      </c>
      <c r="BA150" s="43" t="s">
        <v>51</v>
      </c>
      <c r="BC150" s="10">
        <f t="shared" si="149"/>
        <v>0</v>
      </c>
      <c r="BD150" s="10">
        <f t="shared" si="150"/>
        <v>0</v>
      </c>
      <c r="BE150" s="10">
        <v>0</v>
      </c>
      <c r="BF150" s="10">
        <f>150</f>
        <v>150</v>
      </c>
      <c r="BH150" s="10">
        <f t="shared" si="151"/>
        <v>0</v>
      </c>
      <c r="BI150" s="10">
        <f t="shared" si="152"/>
        <v>0</v>
      </c>
      <c r="BJ150" s="10">
        <f t="shared" si="153"/>
        <v>0</v>
      </c>
      <c r="BK150" s="10"/>
      <c r="BL150" s="10">
        <v>78</v>
      </c>
    </row>
    <row r="151" spans="2:64" ht="15" customHeight="1">
      <c r="B151" s="25" t="s">
        <v>338</v>
      </c>
      <c r="C151" s="62" t="s">
        <v>339</v>
      </c>
      <c r="D151" s="62"/>
      <c r="E151" s="62"/>
      <c r="F151" s="62"/>
      <c r="G151" s="23" t="s">
        <v>60</v>
      </c>
      <c r="H151" s="10">
        <v>162</v>
      </c>
      <c r="I151" s="53">
        <v>0</v>
      </c>
      <c r="J151" s="10">
        <f t="shared" si="132"/>
        <v>0</v>
      </c>
      <c r="K151" s="10">
        <f t="shared" si="133"/>
        <v>0</v>
      </c>
      <c r="L151" s="10">
        <f t="shared" si="134"/>
        <v>0</v>
      </c>
      <c r="M151" s="47"/>
      <c r="Z151" s="10">
        <f t="shared" si="135"/>
        <v>0</v>
      </c>
      <c r="AB151" s="10">
        <f t="shared" si="136"/>
        <v>0</v>
      </c>
      <c r="AC151" s="10">
        <f t="shared" si="137"/>
        <v>0</v>
      </c>
      <c r="AD151" s="10">
        <f t="shared" si="138"/>
        <v>0</v>
      </c>
      <c r="AE151" s="10">
        <f t="shared" si="139"/>
        <v>0</v>
      </c>
      <c r="AF151" s="10">
        <f t="shared" si="140"/>
        <v>0</v>
      </c>
      <c r="AG151" s="10">
        <f t="shared" si="141"/>
        <v>0</v>
      </c>
      <c r="AH151" s="10">
        <f t="shared" si="142"/>
        <v>0</v>
      </c>
      <c r="AI151" s="43" t="s">
        <v>44</v>
      </c>
      <c r="AJ151" s="10">
        <f t="shared" si="143"/>
        <v>0</v>
      </c>
      <c r="AK151" s="10">
        <f t="shared" si="144"/>
        <v>0</v>
      </c>
      <c r="AL151" s="10">
        <f t="shared" si="145"/>
        <v>0</v>
      </c>
      <c r="AN151" s="10">
        <v>21</v>
      </c>
      <c r="AO151" s="10">
        <f>I151*0.06002106002106</f>
        <v>0</v>
      </c>
      <c r="AP151" s="10">
        <f>I151*(1-0.06002106002106)</f>
        <v>0</v>
      </c>
      <c r="AQ151" s="41" t="s">
        <v>68</v>
      </c>
      <c r="AV151" s="10">
        <f t="shared" si="146"/>
        <v>0</v>
      </c>
      <c r="AW151" s="10">
        <f t="shared" si="147"/>
        <v>0</v>
      </c>
      <c r="AX151" s="10">
        <f t="shared" si="148"/>
        <v>0</v>
      </c>
      <c r="AY151" s="41" t="s">
        <v>335</v>
      </c>
      <c r="AZ151" s="41" t="s">
        <v>335</v>
      </c>
      <c r="BA151" s="43" t="s">
        <v>51</v>
      </c>
      <c r="BC151" s="10">
        <f t="shared" si="149"/>
        <v>0</v>
      </c>
      <c r="BD151" s="10">
        <f t="shared" si="150"/>
        <v>0</v>
      </c>
      <c r="BE151" s="10">
        <v>0</v>
      </c>
      <c r="BF151" s="10">
        <f>151</f>
        <v>151</v>
      </c>
      <c r="BH151" s="10">
        <f t="shared" si="151"/>
        <v>0</v>
      </c>
      <c r="BI151" s="10">
        <f t="shared" si="152"/>
        <v>0</v>
      </c>
      <c r="BJ151" s="10">
        <f t="shared" si="153"/>
        <v>0</v>
      </c>
      <c r="BK151" s="10"/>
      <c r="BL151" s="10">
        <v>78</v>
      </c>
    </row>
    <row r="152" spans="2:64" ht="15" customHeight="1">
      <c r="B152" s="25" t="s">
        <v>340</v>
      </c>
      <c r="C152" s="62" t="s">
        <v>341</v>
      </c>
      <c r="D152" s="62"/>
      <c r="E152" s="62"/>
      <c r="F152" s="62"/>
      <c r="G152" s="23" t="s">
        <v>55</v>
      </c>
      <c r="H152" s="10">
        <v>215.1</v>
      </c>
      <c r="I152" s="53">
        <v>0</v>
      </c>
      <c r="J152" s="10">
        <f t="shared" si="132"/>
        <v>0</v>
      </c>
      <c r="K152" s="10">
        <f t="shared" si="133"/>
        <v>0</v>
      </c>
      <c r="L152" s="10">
        <f t="shared" si="134"/>
        <v>0</v>
      </c>
      <c r="M152" s="47"/>
      <c r="Z152" s="10">
        <f t="shared" si="135"/>
        <v>0</v>
      </c>
      <c r="AB152" s="10">
        <f t="shared" si="136"/>
        <v>0</v>
      </c>
      <c r="AC152" s="10">
        <f t="shared" si="137"/>
        <v>0</v>
      </c>
      <c r="AD152" s="10">
        <f t="shared" si="138"/>
        <v>0</v>
      </c>
      <c r="AE152" s="10">
        <f t="shared" si="139"/>
        <v>0</v>
      </c>
      <c r="AF152" s="10">
        <f t="shared" si="140"/>
        <v>0</v>
      </c>
      <c r="AG152" s="10">
        <f t="shared" si="141"/>
        <v>0</v>
      </c>
      <c r="AH152" s="10">
        <f t="shared" si="142"/>
        <v>0</v>
      </c>
      <c r="AI152" s="43" t="s">
        <v>44</v>
      </c>
      <c r="AJ152" s="10">
        <f t="shared" si="143"/>
        <v>0</v>
      </c>
      <c r="AK152" s="10">
        <f t="shared" si="144"/>
        <v>0</v>
      </c>
      <c r="AL152" s="10">
        <f t="shared" si="145"/>
        <v>0</v>
      </c>
      <c r="AN152" s="10">
        <v>21</v>
      </c>
      <c r="AO152" s="10">
        <f>I152*0</f>
        <v>0</v>
      </c>
      <c r="AP152" s="10">
        <f>I152*(1-0)</f>
        <v>0</v>
      </c>
      <c r="AQ152" s="41" t="s">
        <v>68</v>
      </c>
      <c r="AV152" s="10">
        <f t="shared" si="146"/>
        <v>0</v>
      </c>
      <c r="AW152" s="10">
        <f t="shared" si="147"/>
        <v>0</v>
      </c>
      <c r="AX152" s="10">
        <f t="shared" si="148"/>
        <v>0</v>
      </c>
      <c r="AY152" s="41" t="s">
        <v>335</v>
      </c>
      <c r="AZ152" s="41" t="s">
        <v>335</v>
      </c>
      <c r="BA152" s="43" t="s">
        <v>51</v>
      </c>
      <c r="BC152" s="10">
        <f t="shared" si="149"/>
        <v>0</v>
      </c>
      <c r="BD152" s="10">
        <f t="shared" si="150"/>
        <v>0</v>
      </c>
      <c r="BE152" s="10">
        <v>0</v>
      </c>
      <c r="BF152" s="10">
        <f>152</f>
        <v>152</v>
      </c>
      <c r="BH152" s="10">
        <f t="shared" si="151"/>
        <v>0</v>
      </c>
      <c r="BI152" s="10">
        <f t="shared" si="152"/>
        <v>0</v>
      </c>
      <c r="BJ152" s="10">
        <f t="shared" si="153"/>
        <v>0</v>
      </c>
      <c r="BK152" s="10"/>
      <c r="BL152" s="10">
        <v>78</v>
      </c>
    </row>
    <row r="153" spans="2:64" ht="15" customHeight="1">
      <c r="B153" s="25" t="s">
        <v>342</v>
      </c>
      <c r="C153" s="62" t="s">
        <v>343</v>
      </c>
      <c r="D153" s="62"/>
      <c r="E153" s="62"/>
      <c r="F153" s="62"/>
      <c r="G153" s="23" t="s">
        <v>63</v>
      </c>
      <c r="H153" s="10">
        <v>343.01</v>
      </c>
      <c r="I153" s="53">
        <v>0</v>
      </c>
      <c r="J153" s="10">
        <f t="shared" si="132"/>
        <v>0</v>
      </c>
      <c r="K153" s="10">
        <f t="shared" si="133"/>
        <v>0</v>
      </c>
      <c r="L153" s="10">
        <f t="shared" si="134"/>
        <v>0</v>
      </c>
      <c r="M153" s="47"/>
      <c r="Z153" s="10">
        <f t="shared" si="135"/>
        <v>0</v>
      </c>
      <c r="AB153" s="10">
        <f t="shared" si="136"/>
        <v>0</v>
      </c>
      <c r="AC153" s="10">
        <f t="shared" si="137"/>
        <v>0</v>
      </c>
      <c r="AD153" s="10">
        <f t="shared" si="138"/>
        <v>0</v>
      </c>
      <c r="AE153" s="10">
        <f t="shared" si="139"/>
        <v>0</v>
      </c>
      <c r="AF153" s="10">
        <f t="shared" si="140"/>
        <v>0</v>
      </c>
      <c r="AG153" s="10">
        <f t="shared" si="141"/>
        <v>0</v>
      </c>
      <c r="AH153" s="10">
        <f t="shared" si="142"/>
        <v>0</v>
      </c>
      <c r="AI153" s="43" t="s">
        <v>44</v>
      </c>
      <c r="AJ153" s="10">
        <f t="shared" si="143"/>
        <v>0</v>
      </c>
      <c r="AK153" s="10">
        <f t="shared" si="144"/>
        <v>0</v>
      </c>
      <c r="AL153" s="10">
        <f t="shared" si="145"/>
        <v>0</v>
      </c>
      <c r="AN153" s="10">
        <v>21</v>
      </c>
      <c r="AO153" s="10">
        <f>I153*0</f>
        <v>0</v>
      </c>
      <c r="AP153" s="10">
        <f>I153*(1-0)</f>
        <v>0</v>
      </c>
      <c r="AQ153" s="41" t="s">
        <v>68</v>
      </c>
      <c r="AV153" s="10">
        <f t="shared" si="146"/>
        <v>0</v>
      </c>
      <c r="AW153" s="10">
        <f t="shared" si="147"/>
        <v>0</v>
      </c>
      <c r="AX153" s="10">
        <f t="shared" si="148"/>
        <v>0</v>
      </c>
      <c r="AY153" s="41" t="s">
        <v>335</v>
      </c>
      <c r="AZ153" s="41" t="s">
        <v>335</v>
      </c>
      <c r="BA153" s="43" t="s">
        <v>51</v>
      </c>
      <c r="BC153" s="10">
        <f t="shared" si="149"/>
        <v>0</v>
      </c>
      <c r="BD153" s="10">
        <f t="shared" si="150"/>
        <v>0</v>
      </c>
      <c r="BE153" s="10">
        <v>0</v>
      </c>
      <c r="BF153" s="10">
        <f>153</f>
        <v>153</v>
      </c>
      <c r="BH153" s="10">
        <f t="shared" si="151"/>
        <v>0</v>
      </c>
      <c r="BI153" s="10">
        <f t="shared" si="152"/>
        <v>0</v>
      </c>
      <c r="BJ153" s="10">
        <f t="shared" si="153"/>
        <v>0</v>
      </c>
      <c r="BK153" s="10"/>
      <c r="BL153" s="10">
        <v>78</v>
      </c>
    </row>
    <row r="154" spans="2:64" ht="15" customHeight="1">
      <c r="B154" s="25" t="s">
        <v>344</v>
      </c>
      <c r="C154" s="62" t="s">
        <v>345</v>
      </c>
      <c r="D154" s="62"/>
      <c r="E154" s="62"/>
      <c r="F154" s="62"/>
      <c r="G154" s="23" t="s">
        <v>63</v>
      </c>
      <c r="H154" s="10">
        <v>343.01</v>
      </c>
      <c r="I154" s="53">
        <v>0</v>
      </c>
      <c r="J154" s="10">
        <f t="shared" si="132"/>
        <v>0</v>
      </c>
      <c r="K154" s="10">
        <f t="shared" si="133"/>
        <v>0</v>
      </c>
      <c r="L154" s="10">
        <f t="shared" si="134"/>
        <v>0</v>
      </c>
      <c r="M154" s="47"/>
      <c r="Z154" s="10">
        <f t="shared" si="135"/>
        <v>0</v>
      </c>
      <c r="AB154" s="10">
        <f t="shared" si="136"/>
        <v>0</v>
      </c>
      <c r="AC154" s="10">
        <f t="shared" si="137"/>
        <v>0</v>
      </c>
      <c r="AD154" s="10">
        <f t="shared" si="138"/>
        <v>0</v>
      </c>
      <c r="AE154" s="10">
        <f t="shared" si="139"/>
        <v>0</v>
      </c>
      <c r="AF154" s="10">
        <f t="shared" si="140"/>
        <v>0</v>
      </c>
      <c r="AG154" s="10">
        <f t="shared" si="141"/>
        <v>0</v>
      </c>
      <c r="AH154" s="10">
        <f t="shared" si="142"/>
        <v>0</v>
      </c>
      <c r="AI154" s="43" t="s">
        <v>44</v>
      </c>
      <c r="AJ154" s="10">
        <f t="shared" si="143"/>
        <v>0</v>
      </c>
      <c r="AK154" s="10">
        <f t="shared" si="144"/>
        <v>0</v>
      </c>
      <c r="AL154" s="10">
        <f t="shared" si="145"/>
        <v>0</v>
      </c>
      <c r="AN154" s="10">
        <v>21</v>
      </c>
      <c r="AO154" s="10">
        <f>I154*0.291726315789474</f>
        <v>0</v>
      </c>
      <c r="AP154" s="10">
        <f>I154*(1-0.291726315789474)</f>
        <v>0</v>
      </c>
      <c r="AQ154" s="41" t="s">
        <v>68</v>
      </c>
      <c r="AV154" s="10">
        <f t="shared" si="146"/>
        <v>0</v>
      </c>
      <c r="AW154" s="10">
        <f t="shared" si="147"/>
        <v>0</v>
      </c>
      <c r="AX154" s="10">
        <f t="shared" si="148"/>
        <v>0</v>
      </c>
      <c r="AY154" s="41" t="s">
        <v>335</v>
      </c>
      <c r="AZ154" s="41" t="s">
        <v>335</v>
      </c>
      <c r="BA154" s="43" t="s">
        <v>51</v>
      </c>
      <c r="BC154" s="10">
        <f t="shared" si="149"/>
        <v>0</v>
      </c>
      <c r="BD154" s="10">
        <f t="shared" si="150"/>
        <v>0</v>
      </c>
      <c r="BE154" s="10">
        <v>0</v>
      </c>
      <c r="BF154" s="10">
        <f>154</f>
        <v>154</v>
      </c>
      <c r="BH154" s="10">
        <f t="shared" si="151"/>
        <v>0</v>
      </c>
      <c r="BI154" s="10">
        <f t="shared" si="152"/>
        <v>0</v>
      </c>
      <c r="BJ154" s="10">
        <f t="shared" si="153"/>
        <v>0</v>
      </c>
      <c r="BK154" s="10"/>
      <c r="BL154" s="10">
        <v>78</v>
      </c>
    </row>
    <row r="155" spans="2:64" ht="15" customHeight="1">
      <c r="B155" s="25" t="s">
        <v>346</v>
      </c>
      <c r="C155" s="62" t="s">
        <v>347</v>
      </c>
      <c r="D155" s="62"/>
      <c r="E155" s="62"/>
      <c r="F155" s="62"/>
      <c r="G155" s="23" t="s">
        <v>55</v>
      </c>
      <c r="H155" s="10">
        <v>243</v>
      </c>
      <c r="I155" s="53">
        <v>0</v>
      </c>
      <c r="J155" s="10">
        <f t="shared" si="132"/>
        <v>0</v>
      </c>
      <c r="K155" s="10">
        <f t="shared" si="133"/>
        <v>0</v>
      </c>
      <c r="L155" s="10">
        <f t="shared" si="134"/>
        <v>0</v>
      </c>
      <c r="M155" s="47"/>
      <c r="Z155" s="10">
        <f t="shared" si="135"/>
        <v>0</v>
      </c>
      <c r="AB155" s="10">
        <f t="shared" si="136"/>
        <v>0</v>
      </c>
      <c r="AC155" s="10">
        <f t="shared" si="137"/>
        <v>0</v>
      </c>
      <c r="AD155" s="10">
        <f t="shared" si="138"/>
        <v>0</v>
      </c>
      <c r="AE155" s="10">
        <f t="shared" si="139"/>
        <v>0</v>
      </c>
      <c r="AF155" s="10">
        <f t="shared" si="140"/>
        <v>0</v>
      </c>
      <c r="AG155" s="10">
        <f t="shared" si="141"/>
        <v>0</v>
      </c>
      <c r="AH155" s="10">
        <f t="shared" si="142"/>
        <v>0</v>
      </c>
      <c r="AI155" s="43" t="s">
        <v>44</v>
      </c>
      <c r="AJ155" s="10">
        <f t="shared" si="143"/>
        <v>0</v>
      </c>
      <c r="AK155" s="10">
        <f t="shared" si="144"/>
        <v>0</v>
      </c>
      <c r="AL155" s="10">
        <f t="shared" si="145"/>
        <v>0</v>
      </c>
      <c r="AN155" s="10">
        <v>21</v>
      </c>
      <c r="AO155" s="10">
        <f>I155*0</f>
        <v>0</v>
      </c>
      <c r="AP155" s="10">
        <f>I155*(1-0)</f>
        <v>0</v>
      </c>
      <c r="AQ155" s="41" t="s">
        <v>68</v>
      </c>
      <c r="AV155" s="10">
        <f t="shared" si="146"/>
        <v>0</v>
      </c>
      <c r="AW155" s="10">
        <f t="shared" si="147"/>
        <v>0</v>
      </c>
      <c r="AX155" s="10">
        <f t="shared" si="148"/>
        <v>0</v>
      </c>
      <c r="AY155" s="41" t="s">
        <v>335</v>
      </c>
      <c r="AZ155" s="41" t="s">
        <v>335</v>
      </c>
      <c r="BA155" s="43" t="s">
        <v>51</v>
      </c>
      <c r="BC155" s="10">
        <f t="shared" si="149"/>
        <v>0</v>
      </c>
      <c r="BD155" s="10">
        <f t="shared" si="150"/>
        <v>0</v>
      </c>
      <c r="BE155" s="10">
        <v>0</v>
      </c>
      <c r="BF155" s="10">
        <f>155</f>
        <v>155</v>
      </c>
      <c r="BH155" s="10">
        <f t="shared" si="151"/>
        <v>0</v>
      </c>
      <c r="BI155" s="10">
        <f t="shared" si="152"/>
        <v>0</v>
      </c>
      <c r="BJ155" s="10">
        <f t="shared" si="153"/>
        <v>0</v>
      </c>
      <c r="BK155" s="10"/>
      <c r="BL155" s="10">
        <v>78</v>
      </c>
    </row>
    <row r="156" spans="2:47" ht="15" customHeight="1">
      <c r="B156" s="14" t="s">
        <v>44</v>
      </c>
      <c r="C156" s="78" t="s">
        <v>348</v>
      </c>
      <c r="D156" s="78"/>
      <c r="E156" s="78"/>
      <c r="F156" s="78"/>
      <c r="G156" s="19" t="s">
        <v>4</v>
      </c>
      <c r="H156" s="19" t="s">
        <v>4</v>
      </c>
      <c r="I156" s="19" t="s">
        <v>4</v>
      </c>
      <c r="J156" s="28">
        <f>SUM(J157:J163)</f>
        <v>0</v>
      </c>
      <c r="K156" s="28">
        <f>SUM(K157:K163)</f>
        <v>0</v>
      </c>
      <c r="L156" s="28">
        <f>SUM(L157:L163)</f>
        <v>0</v>
      </c>
      <c r="M156" s="2"/>
      <c r="AI156" s="43" t="s">
        <v>44</v>
      </c>
      <c r="AS156" s="28">
        <f>SUM(AJ157:AJ163)</f>
        <v>0</v>
      </c>
      <c r="AT156" s="28">
        <f>SUM(AK157:AK163)</f>
        <v>0</v>
      </c>
      <c r="AU156" s="28">
        <f>SUM(AL157:AL163)</f>
        <v>0</v>
      </c>
    </row>
    <row r="157" spans="2:64" ht="15" customHeight="1">
      <c r="B157" s="25" t="s">
        <v>349</v>
      </c>
      <c r="C157" s="62" t="s">
        <v>350</v>
      </c>
      <c r="D157" s="62"/>
      <c r="E157" s="62"/>
      <c r="F157" s="62"/>
      <c r="G157" s="23" t="s">
        <v>63</v>
      </c>
      <c r="H157" s="10">
        <v>10.8</v>
      </c>
      <c r="I157" s="53">
        <v>0</v>
      </c>
      <c r="J157" s="10">
        <f aca="true" t="shared" si="154" ref="J157:J163">H157*AO157</f>
        <v>0</v>
      </c>
      <c r="K157" s="10">
        <f aca="true" t="shared" si="155" ref="K157:K163">H157*AP157</f>
        <v>0</v>
      </c>
      <c r="L157" s="10">
        <f aca="true" t="shared" si="156" ref="L157:L163">H157*I157</f>
        <v>0</v>
      </c>
      <c r="M157" s="47"/>
      <c r="Z157" s="10">
        <f aca="true" t="shared" si="157" ref="Z157:Z163">IF(AQ157="5",BJ157,0)</f>
        <v>0</v>
      </c>
      <c r="AB157" s="10">
        <f aca="true" t="shared" si="158" ref="AB157:AB163">IF(AQ157="1",BH157,0)</f>
        <v>0</v>
      </c>
      <c r="AC157" s="10">
        <f aca="true" t="shared" si="159" ref="AC157:AC163">IF(AQ157="1",BI157,0)</f>
        <v>0</v>
      </c>
      <c r="AD157" s="10">
        <f aca="true" t="shared" si="160" ref="AD157:AD163">IF(AQ157="7",BH157,0)</f>
        <v>0</v>
      </c>
      <c r="AE157" s="10">
        <f aca="true" t="shared" si="161" ref="AE157:AE163">IF(AQ157="7",BI157,0)</f>
        <v>0</v>
      </c>
      <c r="AF157" s="10">
        <f aca="true" t="shared" si="162" ref="AF157:AF163">IF(AQ157="2",BH157,0)</f>
        <v>0</v>
      </c>
      <c r="AG157" s="10">
        <f aca="true" t="shared" si="163" ref="AG157:AG163">IF(AQ157="2",BI157,0)</f>
        <v>0</v>
      </c>
      <c r="AH157" s="10">
        <f aca="true" t="shared" si="164" ref="AH157:AH163">IF(AQ157="0",BJ157,0)</f>
        <v>0</v>
      </c>
      <c r="AI157" s="43" t="s">
        <v>44</v>
      </c>
      <c r="AJ157" s="10">
        <f aca="true" t="shared" si="165" ref="AJ157:AJ163">IF(AN157=0,L157,0)</f>
        <v>0</v>
      </c>
      <c r="AK157" s="10">
        <f aca="true" t="shared" si="166" ref="AK157:AK163">IF(AN157=15,L157,0)</f>
        <v>0</v>
      </c>
      <c r="AL157" s="10">
        <f aca="true" t="shared" si="167" ref="AL157:AL163">IF(AN157=21,L157,0)</f>
        <v>0</v>
      </c>
      <c r="AN157" s="10">
        <v>21</v>
      </c>
      <c r="AO157" s="10">
        <f>I157*0.0628282828282828</f>
        <v>0</v>
      </c>
      <c r="AP157" s="10">
        <f>I157*(1-0.0628282828282828)</f>
        <v>0</v>
      </c>
      <c r="AQ157" s="41" t="s">
        <v>68</v>
      </c>
      <c r="AV157" s="10">
        <f aca="true" t="shared" si="168" ref="AV157:AV163">AW157+AX157</f>
        <v>0</v>
      </c>
      <c r="AW157" s="10">
        <f aca="true" t="shared" si="169" ref="AW157:AW163">H157*AO157</f>
        <v>0</v>
      </c>
      <c r="AX157" s="10">
        <f aca="true" t="shared" si="170" ref="AX157:AX163">H157*AP157</f>
        <v>0</v>
      </c>
      <c r="AY157" s="41" t="s">
        <v>351</v>
      </c>
      <c r="AZ157" s="41" t="s">
        <v>335</v>
      </c>
      <c r="BA157" s="43" t="s">
        <v>51</v>
      </c>
      <c r="BC157" s="10">
        <f aca="true" t="shared" si="171" ref="BC157:BC163">AW157+AX157</f>
        <v>0</v>
      </c>
      <c r="BD157" s="10">
        <f aca="true" t="shared" si="172" ref="BD157:BD163">I157/(100-BE157)*100</f>
        <v>0</v>
      </c>
      <c r="BE157" s="10">
        <v>0</v>
      </c>
      <c r="BF157" s="10">
        <f>157</f>
        <v>157</v>
      </c>
      <c r="BH157" s="10">
        <f aca="true" t="shared" si="173" ref="BH157:BH163">H157*AO157</f>
        <v>0</v>
      </c>
      <c r="BI157" s="10">
        <f aca="true" t="shared" si="174" ref="BI157:BI163">H157*AP157</f>
        <v>0</v>
      </c>
      <c r="BJ157" s="10">
        <f aca="true" t="shared" si="175" ref="BJ157:BJ163">H157*I157</f>
        <v>0</v>
      </c>
      <c r="BK157" s="10"/>
      <c r="BL157" s="10">
        <v>783</v>
      </c>
    </row>
    <row r="158" spans="2:64" ht="15" customHeight="1">
      <c r="B158" s="25" t="s">
        <v>352</v>
      </c>
      <c r="C158" s="62" t="s">
        <v>353</v>
      </c>
      <c r="D158" s="62"/>
      <c r="E158" s="62"/>
      <c r="F158" s="62"/>
      <c r="G158" s="23" t="s">
        <v>63</v>
      </c>
      <c r="H158" s="10">
        <v>10.8</v>
      </c>
      <c r="I158" s="53">
        <v>0</v>
      </c>
      <c r="J158" s="10">
        <f t="shared" si="154"/>
        <v>0</v>
      </c>
      <c r="K158" s="10">
        <f t="shared" si="155"/>
        <v>0</v>
      </c>
      <c r="L158" s="10">
        <f t="shared" si="156"/>
        <v>0</v>
      </c>
      <c r="M158" s="47"/>
      <c r="Z158" s="10">
        <f t="shared" si="157"/>
        <v>0</v>
      </c>
      <c r="AB158" s="10">
        <f t="shared" si="158"/>
        <v>0</v>
      </c>
      <c r="AC158" s="10">
        <f t="shared" si="159"/>
        <v>0</v>
      </c>
      <c r="AD158" s="10">
        <f t="shared" si="160"/>
        <v>0</v>
      </c>
      <c r="AE158" s="10">
        <f t="shared" si="161"/>
        <v>0</v>
      </c>
      <c r="AF158" s="10">
        <f t="shared" si="162"/>
        <v>0</v>
      </c>
      <c r="AG158" s="10">
        <f t="shared" si="163"/>
        <v>0</v>
      </c>
      <c r="AH158" s="10">
        <f t="shared" si="164"/>
        <v>0</v>
      </c>
      <c r="AI158" s="43" t="s">
        <v>44</v>
      </c>
      <c r="AJ158" s="10">
        <f t="shared" si="165"/>
        <v>0</v>
      </c>
      <c r="AK158" s="10">
        <f t="shared" si="166"/>
        <v>0</v>
      </c>
      <c r="AL158" s="10">
        <f t="shared" si="167"/>
        <v>0</v>
      </c>
      <c r="AN158" s="10">
        <v>21</v>
      </c>
      <c r="AO158" s="10">
        <f>I158*0.141487603305785</f>
        <v>0</v>
      </c>
      <c r="AP158" s="10">
        <f>I158*(1-0.141487603305785)</f>
        <v>0</v>
      </c>
      <c r="AQ158" s="41" t="s">
        <v>68</v>
      </c>
      <c r="AV158" s="10">
        <f t="shared" si="168"/>
        <v>0</v>
      </c>
      <c r="AW158" s="10">
        <f t="shared" si="169"/>
        <v>0</v>
      </c>
      <c r="AX158" s="10">
        <f t="shared" si="170"/>
        <v>0</v>
      </c>
      <c r="AY158" s="41" t="s">
        <v>351</v>
      </c>
      <c r="AZ158" s="41" t="s">
        <v>335</v>
      </c>
      <c r="BA158" s="43" t="s">
        <v>51</v>
      </c>
      <c r="BC158" s="10">
        <f t="shared" si="171"/>
        <v>0</v>
      </c>
      <c r="BD158" s="10">
        <f t="shared" si="172"/>
        <v>0</v>
      </c>
      <c r="BE158" s="10">
        <v>0</v>
      </c>
      <c r="BF158" s="10">
        <f>158</f>
        <v>158</v>
      </c>
      <c r="BH158" s="10">
        <f t="shared" si="173"/>
        <v>0</v>
      </c>
      <c r="BI158" s="10">
        <f t="shared" si="174"/>
        <v>0</v>
      </c>
      <c r="BJ158" s="10">
        <f t="shared" si="175"/>
        <v>0</v>
      </c>
      <c r="BK158" s="10"/>
      <c r="BL158" s="10">
        <v>783</v>
      </c>
    </row>
    <row r="159" spans="2:64" ht="15" customHeight="1">
      <c r="B159" s="25" t="s">
        <v>354</v>
      </c>
      <c r="C159" s="62" t="s">
        <v>355</v>
      </c>
      <c r="D159" s="62"/>
      <c r="E159" s="62"/>
      <c r="F159" s="62"/>
      <c r="G159" s="23" t="s">
        <v>63</v>
      </c>
      <c r="H159" s="10">
        <v>72</v>
      </c>
      <c r="I159" s="53">
        <v>0</v>
      </c>
      <c r="J159" s="10">
        <f t="shared" si="154"/>
        <v>0</v>
      </c>
      <c r="K159" s="10">
        <f t="shared" si="155"/>
        <v>0</v>
      </c>
      <c r="L159" s="10">
        <f t="shared" si="156"/>
        <v>0</v>
      </c>
      <c r="M159" s="47"/>
      <c r="Z159" s="10">
        <f t="shared" si="157"/>
        <v>0</v>
      </c>
      <c r="AB159" s="10">
        <f t="shared" si="158"/>
        <v>0</v>
      </c>
      <c r="AC159" s="10">
        <f t="shared" si="159"/>
        <v>0</v>
      </c>
      <c r="AD159" s="10">
        <f t="shared" si="160"/>
        <v>0</v>
      </c>
      <c r="AE159" s="10">
        <f t="shared" si="161"/>
        <v>0</v>
      </c>
      <c r="AF159" s="10">
        <f t="shared" si="162"/>
        <v>0</v>
      </c>
      <c r="AG159" s="10">
        <f t="shared" si="163"/>
        <v>0</v>
      </c>
      <c r="AH159" s="10">
        <f t="shared" si="164"/>
        <v>0</v>
      </c>
      <c r="AI159" s="43" t="s">
        <v>44</v>
      </c>
      <c r="AJ159" s="10">
        <f t="shared" si="165"/>
        <v>0</v>
      </c>
      <c r="AK159" s="10">
        <f t="shared" si="166"/>
        <v>0</v>
      </c>
      <c r="AL159" s="10">
        <f t="shared" si="167"/>
        <v>0</v>
      </c>
      <c r="AN159" s="10">
        <v>21</v>
      </c>
      <c r="AO159" s="10">
        <f>I159*0.138877551020408</f>
        <v>0</v>
      </c>
      <c r="AP159" s="10">
        <f>I159*(1-0.138877551020408)</f>
        <v>0</v>
      </c>
      <c r="AQ159" s="41" t="s">
        <v>68</v>
      </c>
      <c r="AV159" s="10">
        <f t="shared" si="168"/>
        <v>0</v>
      </c>
      <c r="AW159" s="10">
        <f t="shared" si="169"/>
        <v>0</v>
      </c>
      <c r="AX159" s="10">
        <f t="shared" si="170"/>
        <v>0</v>
      </c>
      <c r="AY159" s="41" t="s">
        <v>351</v>
      </c>
      <c r="AZ159" s="41" t="s">
        <v>335</v>
      </c>
      <c r="BA159" s="43" t="s">
        <v>51</v>
      </c>
      <c r="BC159" s="10">
        <f t="shared" si="171"/>
        <v>0</v>
      </c>
      <c r="BD159" s="10">
        <f t="shared" si="172"/>
        <v>0</v>
      </c>
      <c r="BE159" s="10">
        <v>0</v>
      </c>
      <c r="BF159" s="10">
        <f>159</f>
        <v>159</v>
      </c>
      <c r="BH159" s="10">
        <f t="shared" si="173"/>
        <v>0</v>
      </c>
      <c r="BI159" s="10">
        <f t="shared" si="174"/>
        <v>0</v>
      </c>
      <c r="BJ159" s="10">
        <f t="shared" si="175"/>
        <v>0</v>
      </c>
      <c r="BK159" s="10"/>
      <c r="BL159" s="10">
        <v>783</v>
      </c>
    </row>
    <row r="160" spans="2:64" ht="15" customHeight="1">
      <c r="B160" s="25" t="s">
        <v>356</v>
      </c>
      <c r="C160" s="62" t="s">
        <v>357</v>
      </c>
      <c r="D160" s="62"/>
      <c r="E160" s="62"/>
      <c r="F160" s="62"/>
      <c r="G160" s="23" t="s">
        <v>63</v>
      </c>
      <c r="H160" s="10">
        <v>76.32</v>
      </c>
      <c r="I160" s="53">
        <v>0</v>
      </c>
      <c r="J160" s="10">
        <f t="shared" si="154"/>
        <v>0</v>
      </c>
      <c r="K160" s="10">
        <f t="shared" si="155"/>
        <v>0</v>
      </c>
      <c r="L160" s="10">
        <f t="shared" si="156"/>
        <v>0</v>
      </c>
      <c r="M160" s="47"/>
      <c r="Z160" s="10">
        <f t="shared" si="157"/>
        <v>0</v>
      </c>
      <c r="AB160" s="10">
        <f t="shared" si="158"/>
        <v>0</v>
      </c>
      <c r="AC160" s="10">
        <f t="shared" si="159"/>
        <v>0</v>
      </c>
      <c r="AD160" s="10">
        <f t="shared" si="160"/>
        <v>0</v>
      </c>
      <c r="AE160" s="10">
        <f t="shared" si="161"/>
        <v>0</v>
      </c>
      <c r="AF160" s="10">
        <f t="shared" si="162"/>
        <v>0</v>
      </c>
      <c r="AG160" s="10">
        <f t="shared" si="163"/>
        <v>0</v>
      </c>
      <c r="AH160" s="10">
        <f t="shared" si="164"/>
        <v>0</v>
      </c>
      <c r="AI160" s="43" t="s">
        <v>44</v>
      </c>
      <c r="AJ160" s="10">
        <f t="shared" si="165"/>
        <v>0</v>
      </c>
      <c r="AK160" s="10">
        <f t="shared" si="166"/>
        <v>0</v>
      </c>
      <c r="AL160" s="10">
        <f t="shared" si="167"/>
        <v>0</v>
      </c>
      <c r="AN160" s="10">
        <v>21</v>
      </c>
      <c r="AO160" s="10">
        <f>I160*0.201972789115646</f>
        <v>0</v>
      </c>
      <c r="AP160" s="10">
        <f>I160*(1-0.201972789115646)</f>
        <v>0</v>
      </c>
      <c r="AQ160" s="41" t="s">
        <v>68</v>
      </c>
      <c r="AV160" s="10">
        <f t="shared" si="168"/>
        <v>0</v>
      </c>
      <c r="AW160" s="10">
        <f t="shared" si="169"/>
        <v>0</v>
      </c>
      <c r="AX160" s="10">
        <f t="shared" si="170"/>
        <v>0</v>
      </c>
      <c r="AY160" s="41" t="s">
        <v>351</v>
      </c>
      <c r="AZ160" s="41" t="s">
        <v>335</v>
      </c>
      <c r="BA160" s="43" t="s">
        <v>51</v>
      </c>
      <c r="BC160" s="10">
        <f t="shared" si="171"/>
        <v>0</v>
      </c>
      <c r="BD160" s="10">
        <f t="shared" si="172"/>
        <v>0</v>
      </c>
      <c r="BE160" s="10">
        <v>0</v>
      </c>
      <c r="BF160" s="10">
        <f>160</f>
        <v>160</v>
      </c>
      <c r="BH160" s="10">
        <f t="shared" si="173"/>
        <v>0</v>
      </c>
      <c r="BI160" s="10">
        <f t="shared" si="174"/>
        <v>0</v>
      </c>
      <c r="BJ160" s="10">
        <f t="shared" si="175"/>
        <v>0</v>
      </c>
      <c r="BK160" s="10"/>
      <c r="BL160" s="10">
        <v>783</v>
      </c>
    </row>
    <row r="161" spans="2:64" ht="15" customHeight="1">
      <c r="B161" s="25" t="s">
        <v>358</v>
      </c>
      <c r="C161" s="62" t="s">
        <v>359</v>
      </c>
      <c r="D161" s="62"/>
      <c r="E161" s="62"/>
      <c r="F161" s="62"/>
      <c r="G161" s="23" t="s">
        <v>63</v>
      </c>
      <c r="H161" s="10">
        <v>115.12</v>
      </c>
      <c r="I161" s="53">
        <v>0</v>
      </c>
      <c r="J161" s="10">
        <f t="shared" si="154"/>
        <v>0</v>
      </c>
      <c r="K161" s="10">
        <f t="shared" si="155"/>
        <v>0</v>
      </c>
      <c r="L161" s="10">
        <f t="shared" si="156"/>
        <v>0</v>
      </c>
      <c r="M161" s="47"/>
      <c r="Z161" s="10">
        <f t="shared" si="157"/>
        <v>0</v>
      </c>
      <c r="AB161" s="10">
        <f t="shared" si="158"/>
        <v>0</v>
      </c>
      <c r="AC161" s="10">
        <f t="shared" si="159"/>
        <v>0</v>
      </c>
      <c r="AD161" s="10">
        <f t="shared" si="160"/>
        <v>0</v>
      </c>
      <c r="AE161" s="10">
        <f t="shared" si="161"/>
        <v>0</v>
      </c>
      <c r="AF161" s="10">
        <f t="shared" si="162"/>
        <v>0</v>
      </c>
      <c r="AG161" s="10">
        <f t="shared" si="163"/>
        <v>0</v>
      </c>
      <c r="AH161" s="10">
        <f t="shared" si="164"/>
        <v>0</v>
      </c>
      <c r="AI161" s="43" t="s">
        <v>44</v>
      </c>
      <c r="AJ161" s="10">
        <f t="shared" si="165"/>
        <v>0</v>
      </c>
      <c r="AK161" s="10">
        <f t="shared" si="166"/>
        <v>0</v>
      </c>
      <c r="AL161" s="10">
        <f t="shared" si="167"/>
        <v>0</v>
      </c>
      <c r="AN161" s="10">
        <v>21</v>
      </c>
      <c r="AO161" s="10">
        <f>I161*0.114712643678161</f>
        <v>0</v>
      </c>
      <c r="AP161" s="10">
        <f>I161*(1-0.114712643678161)</f>
        <v>0</v>
      </c>
      <c r="AQ161" s="41" t="s">
        <v>68</v>
      </c>
      <c r="AV161" s="10">
        <f t="shared" si="168"/>
        <v>0</v>
      </c>
      <c r="AW161" s="10">
        <f t="shared" si="169"/>
        <v>0</v>
      </c>
      <c r="AX161" s="10">
        <f t="shared" si="170"/>
        <v>0</v>
      </c>
      <c r="AY161" s="41" t="s">
        <v>351</v>
      </c>
      <c r="AZ161" s="41" t="s">
        <v>335</v>
      </c>
      <c r="BA161" s="43" t="s">
        <v>51</v>
      </c>
      <c r="BC161" s="10">
        <f t="shared" si="171"/>
        <v>0</v>
      </c>
      <c r="BD161" s="10">
        <f t="shared" si="172"/>
        <v>0</v>
      </c>
      <c r="BE161" s="10">
        <v>0</v>
      </c>
      <c r="BF161" s="10">
        <f>161</f>
        <v>161</v>
      </c>
      <c r="BH161" s="10">
        <f t="shared" si="173"/>
        <v>0</v>
      </c>
      <c r="BI161" s="10">
        <f t="shared" si="174"/>
        <v>0</v>
      </c>
      <c r="BJ161" s="10">
        <f t="shared" si="175"/>
        <v>0</v>
      </c>
      <c r="BK161" s="10"/>
      <c r="BL161" s="10">
        <v>783</v>
      </c>
    </row>
    <row r="162" spans="2:64" ht="15" customHeight="1">
      <c r="B162" s="25" t="s">
        <v>360</v>
      </c>
      <c r="C162" s="62" t="s">
        <v>361</v>
      </c>
      <c r="D162" s="62"/>
      <c r="E162" s="62"/>
      <c r="F162" s="62"/>
      <c r="G162" s="23" t="s">
        <v>63</v>
      </c>
      <c r="H162" s="10">
        <v>37.8</v>
      </c>
      <c r="I162" s="53">
        <v>0</v>
      </c>
      <c r="J162" s="10">
        <f t="shared" si="154"/>
        <v>0</v>
      </c>
      <c r="K162" s="10">
        <f t="shared" si="155"/>
        <v>0</v>
      </c>
      <c r="L162" s="10">
        <f t="shared" si="156"/>
        <v>0</v>
      </c>
      <c r="M162" s="47"/>
      <c r="Z162" s="10">
        <f t="shared" si="157"/>
        <v>0</v>
      </c>
      <c r="AB162" s="10">
        <f t="shared" si="158"/>
        <v>0</v>
      </c>
      <c r="AC162" s="10">
        <f t="shared" si="159"/>
        <v>0</v>
      </c>
      <c r="AD162" s="10">
        <f t="shared" si="160"/>
        <v>0</v>
      </c>
      <c r="AE162" s="10">
        <f t="shared" si="161"/>
        <v>0</v>
      </c>
      <c r="AF162" s="10">
        <f t="shared" si="162"/>
        <v>0</v>
      </c>
      <c r="AG162" s="10">
        <f t="shared" si="163"/>
        <v>0</v>
      </c>
      <c r="AH162" s="10">
        <f t="shared" si="164"/>
        <v>0</v>
      </c>
      <c r="AI162" s="43" t="s">
        <v>44</v>
      </c>
      <c r="AJ162" s="10">
        <f t="shared" si="165"/>
        <v>0</v>
      </c>
      <c r="AK162" s="10">
        <f t="shared" si="166"/>
        <v>0</v>
      </c>
      <c r="AL162" s="10">
        <f t="shared" si="167"/>
        <v>0</v>
      </c>
      <c r="AN162" s="10">
        <v>21</v>
      </c>
      <c r="AO162" s="10">
        <f>I162*0.457016949152542</f>
        <v>0</v>
      </c>
      <c r="AP162" s="10">
        <f>I162*(1-0.457016949152542)</f>
        <v>0</v>
      </c>
      <c r="AQ162" s="41" t="s">
        <v>68</v>
      </c>
      <c r="AV162" s="10">
        <f t="shared" si="168"/>
        <v>0</v>
      </c>
      <c r="AW162" s="10">
        <f t="shared" si="169"/>
        <v>0</v>
      </c>
      <c r="AX162" s="10">
        <f t="shared" si="170"/>
        <v>0</v>
      </c>
      <c r="AY162" s="41" t="s">
        <v>351</v>
      </c>
      <c r="AZ162" s="41" t="s">
        <v>335</v>
      </c>
      <c r="BA162" s="43" t="s">
        <v>51</v>
      </c>
      <c r="BC162" s="10">
        <f t="shared" si="171"/>
        <v>0</v>
      </c>
      <c r="BD162" s="10">
        <f t="shared" si="172"/>
        <v>0</v>
      </c>
      <c r="BE162" s="10">
        <v>0</v>
      </c>
      <c r="BF162" s="10">
        <f>162</f>
        <v>162</v>
      </c>
      <c r="BH162" s="10">
        <f t="shared" si="173"/>
        <v>0</v>
      </c>
      <c r="BI162" s="10">
        <f t="shared" si="174"/>
        <v>0</v>
      </c>
      <c r="BJ162" s="10">
        <f t="shared" si="175"/>
        <v>0</v>
      </c>
      <c r="BK162" s="10"/>
      <c r="BL162" s="10">
        <v>783</v>
      </c>
    </row>
    <row r="163" spans="2:64" ht="15" customHeight="1">
      <c r="B163" s="25" t="s">
        <v>362</v>
      </c>
      <c r="C163" s="62" t="s">
        <v>363</v>
      </c>
      <c r="D163" s="62"/>
      <c r="E163" s="62"/>
      <c r="F163" s="62"/>
      <c r="G163" s="23" t="s">
        <v>60</v>
      </c>
      <c r="H163" s="10">
        <v>18</v>
      </c>
      <c r="I163" s="53">
        <v>0</v>
      </c>
      <c r="J163" s="10">
        <f t="shared" si="154"/>
        <v>0</v>
      </c>
      <c r="K163" s="10">
        <f t="shared" si="155"/>
        <v>0</v>
      </c>
      <c r="L163" s="10">
        <f t="shared" si="156"/>
        <v>0</v>
      </c>
      <c r="M163" s="47"/>
      <c r="Z163" s="10">
        <f t="shared" si="157"/>
        <v>0</v>
      </c>
      <c r="AB163" s="10">
        <f t="shared" si="158"/>
        <v>0</v>
      </c>
      <c r="AC163" s="10">
        <f t="shared" si="159"/>
        <v>0</v>
      </c>
      <c r="AD163" s="10">
        <f t="shared" si="160"/>
        <v>0</v>
      </c>
      <c r="AE163" s="10">
        <f t="shared" si="161"/>
        <v>0</v>
      </c>
      <c r="AF163" s="10">
        <f t="shared" si="162"/>
        <v>0</v>
      </c>
      <c r="AG163" s="10">
        <f t="shared" si="163"/>
        <v>0</v>
      </c>
      <c r="AH163" s="10">
        <f t="shared" si="164"/>
        <v>0</v>
      </c>
      <c r="AI163" s="43" t="s">
        <v>44</v>
      </c>
      <c r="AJ163" s="10">
        <f t="shared" si="165"/>
        <v>0</v>
      </c>
      <c r="AK163" s="10">
        <f t="shared" si="166"/>
        <v>0</v>
      </c>
      <c r="AL163" s="10">
        <f t="shared" si="167"/>
        <v>0</v>
      </c>
      <c r="AN163" s="10">
        <v>21</v>
      </c>
      <c r="AO163" s="10">
        <f>I163*0.395793103448276</f>
        <v>0</v>
      </c>
      <c r="AP163" s="10">
        <f>I163*(1-0.395793103448276)</f>
        <v>0</v>
      </c>
      <c r="AQ163" s="41" t="s">
        <v>68</v>
      </c>
      <c r="AV163" s="10">
        <f t="shared" si="168"/>
        <v>0</v>
      </c>
      <c r="AW163" s="10">
        <f t="shared" si="169"/>
        <v>0</v>
      </c>
      <c r="AX163" s="10">
        <f t="shared" si="170"/>
        <v>0</v>
      </c>
      <c r="AY163" s="41" t="s">
        <v>351</v>
      </c>
      <c r="AZ163" s="41" t="s">
        <v>335</v>
      </c>
      <c r="BA163" s="43" t="s">
        <v>51</v>
      </c>
      <c r="BC163" s="10">
        <f t="shared" si="171"/>
        <v>0</v>
      </c>
      <c r="BD163" s="10">
        <f t="shared" si="172"/>
        <v>0</v>
      </c>
      <c r="BE163" s="10">
        <v>0</v>
      </c>
      <c r="BF163" s="10">
        <f>163</f>
        <v>163</v>
      </c>
      <c r="BH163" s="10">
        <f t="shared" si="173"/>
        <v>0</v>
      </c>
      <c r="BI163" s="10">
        <f t="shared" si="174"/>
        <v>0</v>
      </c>
      <c r="BJ163" s="10">
        <f t="shared" si="175"/>
        <v>0</v>
      </c>
      <c r="BK163" s="10"/>
      <c r="BL163" s="10">
        <v>783</v>
      </c>
    </row>
    <row r="164" spans="2:47" ht="15" customHeight="1">
      <c r="B164" s="14" t="s">
        <v>44</v>
      </c>
      <c r="C164" s="78" t="s">
        <v>364</v>
      </c>
      <c r="D164" s="78"/>
      <c r="E164" s="78"/>
      <c r="F164" s="78"/>
      <c r="G164" s="19" t="s">
        <v>4</v>
      </c>
      <c r="H164" s="19" t="s">
        <v>4</v>
      </c>
      <c r="I164" s="19" t="s">
        <v>4</v>
      </c>
      <c r="J164" s="28">
        <f>SUM(J165:J177)</f>
        <v>0</v>
      </c>
      <c r="K164" s="28">
        <f>SUM(K165:K177)</f>
        <v>0</v>
      </c>
      <c r="L164" s="28">
        <f>SUM(L165:L177)</f>
        <v>0</v>
      </c>
      <c r="M164" s="2"/>
      <c r="AI164" s="43" t="s">
        <v>44</v>
      </c>
      <c r="AS164" s="28">
        <f>SUM(AJ165:AJ177)</f>
        <v>0</v>
      </c>
      <c r="AT164" s="28">
        <f>SUM(AK165:AK177)</f>
        <v>0</v>
      </c>
      <c r="AU164" s="28">
        <f>SUM(AL165:AL177)</f>
        <v>0</v>
      </c>
    </row>
    <row r="165" spans="2:64" ht="15" customHeight="1">
      <c r="B165" s="25" t="s">
        <v>365</v>
      </c>
      <c r="C165" s="62" t="s">
        <v>366</v>
      </c>
      <c r="D165" s="62"/>
      <c r="E165" s="62"/>
      <c r="F165" s="62"/>
      <c r="G165" s="23" t="s">
        <v>63</v>
      </c>
      <c r="H165" s="10">
        <v>607.92</v>
      </c>
      <c r="I165" s="53">
        <v>0</v>
      </c>
      <c r="J165" s="10">
        <f aca="true" t="shared" si="176" ref="J165:J177">H165*AO165</f>
        <v>0</v>
      </c>
      <c r="K165" s="10">
        <f aca="true" t="shared" si="177" ref="K165:K177">H165*AP165</f>
        <v>0</v>
      </c>
      <c r="L165" s="10">
        <f aca="true" t="shared" si="178" ref="L165:L177">H165*I165</f>
        <v>0</v>
      </c>
      <c r="M165" s="47"/>
      <c r="Z165" s="10">
        <f aca="true" t="shared" si="179" ref="Z165:Z177">IF(AQ165="5",BJ165,0)</f>
        <v>0</v>
      </c>
      <c r="AB165" s="10">
        <f aca="true" t="shared" si="180" ref="AB165:AB177">IF(AQ165="1",BH165,0)</f>
        <v>0</v>
      </c>
      <c r="AC165" s="10">
        <f aca="true" t="shared" si="181" ref="AC165:AC177">IF(AQ165="1",BI165,0)</f>
        <v>0</v>
      </c>
      <c r="AD165" s="10">
        <f aca="true" t="shared" si="182" ref="AD165:AD177">IF(AQ165="7",BH165,0)</f>
        <v>0</v>
      </c>
      <c r="AE165" s="10">
        <f aca="true" t="shared" si="183" ref="AE165:AE177">IF(AQ165="7",BI165,0)</f>
        <v>0</v>
      </c>
      <c r="AF165" s="10">
        <f aca="true" t="shared" si="184" ref="AF165:AF177">IF(AQ165="2",BH165,0)</f>
        <v>0</v>
      </c>
      <c r="AG165" s="10">
        <f aca="true" t="shared" si="185" ref="AG165:AG177">IF(AQ165="2",BI165,0)</f>
        <v>0</v>
      </c>
      <c r="AH165" s="10">
        <f aca="true" t="shared" si="186" ref="AH165:AH177">IF(AQ165="0",BJ165,0)</f>
        <v>0</v>
      </c>
      <c r="AI165" s="43" t="s">
        <v>44</v>
      </c>
      <c r="AJ165" s="10">
        <f aca="true" t="shared" si="187" ref="AJ165:AJ177">IF(AN165=0,L165,0)</f>
        <v>0</v>
      </c>
      <c r="AK165" s="10">
        <f aca="true" t="shared" si="188" ref="AK165:AK177">IF(AN165=15,L165,0)</f>
        <v>0</v>
      </c>
      <c r="AL165" s="10">
        <f aca="true" t="shared" si="189" ref="AL165:AL177">IF(AN165=21,L165,0)</f>
        <v>0</v>
      </c>
      <c r="AN165" s="10">
        <v>21</v>
      </c>
      <c r="AO165" s="10">
        <f>I165*0</f>
        <v>0</v>
      </c>
      <c r="AP165" s="10">
        <f>I165*(1-0)</f>
        <v>0</v>
      </c>
      <c r="AQ165" s="41" t="s">
        <v>68</v>
      </c>
      <c r="AV165" s="10">
        <f aca="true" t="shared" si="190" ref="AV165:AV177">AW165+AX165</f>
        <v>0</v>
      </c>
      <c r="AW165" s="10">
        <f aca="true" t="shared" si="191" ref="AW165:AW177">H165*AO165</f>
        <v>0</v>
      </c>
      <c r="AX165" s="10">
        <f aca="true" t="shared" si="192" ref="AX165:AX177">H165*AP165</f>
        <v>0</v>
      </c>
      <c r="AY165" s="41" t="s">
        <v>367</v>
      </c>
      <c r="AZ165" s="41" t="s">
        <v>335</v>
      </c>
      <c r="BA165" s="43" t="s">
        <v>51</v>
      </c>
      <c r="BC165" s="10">
        <f aca="true" t="shared" si="193" ref="BC165:BC177">AW165+AX165</f>
        <v>0</v>
      </c>
      <c r="BD165" s="10">
        <f aca="true" t="shared" si="194" ref="BD165:BD177">I165/(100-BE165)*100</f>
        <v>0</v>
      </c>
      <c r="BE165" s="10">
        <v>0</v>
      </c>
      <c r="BF165" s="10">
        <f>165</f>
        <v>165</v>
      </c>
      <c r="BH165" s="10">
        <f aca="true" t="shared" si="195" ref="BH165:BH177">H165*AO165</f>
        <v>0</v>
      </c>
      <c r="BI165" s="10">
        <f aca="true" t="shared" si="196" ref="BI165:BI177">H165*AP165</f>
        <v>0</v>
      </c>
      <c r="BJ165" s="10">
        <f aca="true" t="shared" si="197" ref="BJ165:BJ177">H165*I165</f>
        <v>0</v>
      </c>
      <c r="BK165" s="10"/>
      <c r="BL165" s="10">
        <v>784</v>
      </c>
    </row>
    <row r="166" spans="2:64" ht="15" customHeight="1">
      <c r="B166" s="25" t="s">
        <v>368</v>
      </c>
      <c r="C166" s="62" t="s">
        <v>369</v>
      </c>
      <c r="D166" s="62"/>
      <c r="E166" s="62"/>
      <c r="F166" s="62"/>
      <c r="G166" s="23" t="s">
        <v>55</v>
      </c>
      <c r="H166" s="10">
        <v>1144.8</v>
      </c>
      <c r="I166" s="53">
        <v>0</v>
      </c>
      <c r="J166" s="10">
        <f t="shared" si="176"/>
        <v>0</v>
      </c>
      <c r="K166" s="10">
        <f t="shared" si="177"/>
        <v>0</v>
      </c>
      <c r="L166" s="10">
        <f t="shared" si="178"/>
        <v>0</v>
      </c>
      <c r="M166" s="47"/>
      <c r="Z166" s="10">
        <f t="shared" si="179"/>
        <v>0</v>
      </c>
      <c r="AB166" s="10">
        <f t="shared" si="180"/>
        <v>0</v>
      </c>
      <c r="AC166" s="10">
        <f t="shared" si="181"/>
        <v>0</v>
      </c>
      <c r="AD166" s="10">
        <f t="shared" si="182"/>
        <v>0</v>
      </c>
      <c r="AE166" s="10">
        <f t="shared" si="183"/>
        <v>0</v>
      </c>
      <c r="AF166" s="10">
        <f t="shared" si="184"/>
        <v>0</v>
      </c>
      <c r="AG166" s="10">
        <f t="shared" si="185"/>
        <v>0</v>
      </c>
      <c r="AH166" s="10">
        <f t="shared" si="186"/>
        <v>0</v>
      </c>
      <c r="AI166" s="43" t="s">
        <v>44</v>
      </c>
      <c r="AJ166" s="10">
        <f t="shared" si="187"/>
        <v>0</v>
      </c>
      <c r="AK166" s="10">
        <f t="shared" si="188"/>
        <v>0</v>
      </c>
      <c r="AL166" s="10">
        <f t="shared" si="189"/>
        <v>0</v>
      </c>
      <c r="AN166" s="10">
        <v>21</v>
      </c>
      <c r="AO166" s="10">
        <f>I166*0.130344827586207</f>
        <v>0</v>
      </c>
      <c r="AP166" s="10">
        <f>I166*(1-0.130344827586207)</f>
        <v>0</v>
      </c>
      <c r="AQ166" s="41" t="s">
        <v>68</v>
      </c>
      <c r="AV166" s="10">
        <f t="shared" si="190"/>
        <v>0</v>
      </c>
      <c r="AW166" s="10">
        <f t="shared" si="191"/>
        <v>0</v>
      </c>
      <c r="AX166" s="10">
        <f t="shared" si="192"/>
        <v>0</v>
      </c>
      <c r="AY166" s="41" t="s">
        <v>367</v>
      </c>
      <c r="AZ166" s="41" t="s">
        <v>335</v>
      </c>
      <c r="BA166" s="43" t="s">
        <v>51</v>
      </c>
      <c r="BC166" s="10">
        <f t="shared" si="193"/>
        <v>0</v>
      </c>
      <c r="BD166" s="10">
        <f t="shared" si="194"/>
        <v>0</v>
      </c>
      <c r="BE166" s="10">
        <v>0</v>
      </c>
      <c r="BF166" s="10">
        <f>166</f>
        <v>166</v>
      </c>
      <c r="BH166" s="10">
        <f t="shared" si="195"/>
        <v>0</v>
      </c>
      <c r="BI166" s="10">
        <f t="shared" si="196"/>
        <v>0</v>
      </c>
      <c r="BJ166" s="10">
        <f t="shared" si="197"/>
        <v>0</v>
      </c>
      <c r="BK166" s="10"/>
      <c r="BL166" s="10">
        <v>784</v>
      </c>
    </row>
    <row r="167" spans="2:64" ht="15" customHeight="1">
      <c r="B167" s="25" t="s">
        <v>370</v>
      </c>
      <c r="C167" s="62" t="s">
        <v>371</v>
      </c>
      <c r="D167" s="62"/>
      <c r="E167" s="62"/>
      <c r="F167" s="62"/>
      <c r="G167" s="23" t="s">
        <v>63</v>
      </c>
      <c r="H167" s="10">
        <v>252</v>
      </c>
      <c r="I167" s="53">
        <v>0</v>
      </c>
      <c r="J167" s="10">
        <f t="shared" si="176"/>
        <v>0</v>
      </c>
      <c r="K167" s="10">
        <f t="shared" si="177"/>
        <v>0</v>
      </c>
      <c r="L167" s="10">
        <f t="shared" si="178"/>
        <v>0</v>
      </c>
      <c r="M167" s="47"/>
      <c r="Z167" s="10">
        <f t="shared" si="179"/>
        <v>0</v>
      </c>
      <c r="AB167" s="10">
        <f t="shared" si="180"/>
        <v>0</v>
      </c>
      <c r="AC167" s="10">
        <f t="shared" si="181"/>
        <v>0</v>
      </c>
      <c r="AD167" s="10">
        <f t="shared" si="182"/>
        <v>0</v>
      </c>
      <c r="AE167" s="10">
        <f t="shared" si="183"/>
        <v>0</v>
      </c>
      <c r="AF167" s="10">
        <f t="shared" si="184"/>
        <v>0</v>
      </c>
      <c r="AG167" s="10">
        <f t="shared" si="185"/>
        <v>0</v>
      </c>
      <c r="AH167" s="10">
        <f t="shared" si="186"/>
        <v>0</v>
      </c>
      <c r="AI167" s="43" t="s">
        <v>44</v>
      </c>
      <c r="AJ167" s="10">
        <f t="shared" si="187"/>
        <v>0</v>
      </c>
      <c r="AK167" s="10">
        <f t="shared" si="188"/>
        <v>0</v>
      </c>
      <c r="AL167" s="10">
        <f t="shared" si="189"/>
        <v>0</v>
      </c>
      <c r="AN167" s="10">
        <v>21</v>
      </c>
      <c r="AO167" s="10">
        <f>I167*0.255744680851064</f>
        <v>0</v>
      </c>
      <c r="AP167" s="10">
        <f>I167*(1-0.255744680851064)</f>
        <v>0</v>
      </c>
      <c r="AQ167" s="41" t="s">
        <v>68</v>
      </c>
      <c r="AV167" s="10">
        <f t="shared" si="190"/>
        <v>0</v>
      </c>
      <c r="AW167" s="10">
        <f t="shared" si="191"/>
        <v>0</v>
      </c>
      <c r="AX167" s="10">
        <f t="shared" si="192"/>
        <v>0</v>
      </c>
      <c r="AY167" s="41" t="s">
        <v>367</v>
      </c>
      <c r="AZ167" s="41" t="s">
        <v>335</v>
      </c>
      <c r="BA167" s="43" t="s">
        <v>51</v>
      </c>
      <c r="BC167" s="10">
        <f t="shared" si="193"/>
        <v>0</v>
      </c>
      <c r="BD167" s="10">
        <f t="shared" si="194"/>
        <v>0</v>
      </c>
      <c r="BE167" s="10">
        <v>0</v>
      </c>
      <c r="BF167" s="10">
        <f>167</f>
        <v>167</v>
      </c>
      <c r="BH167" s="10">
        <f t="shared" si="195"/>
        <v>0</v>
      </c>
      <c r="BI167" s="10">
        <f t="shared" si="196"/>
        <v>0</v>
      </c>
      <c r="BJ167" s="10">
        <f t="shared" si="197"/>
        <v>0</v>
      </c>
      <c r="BK167" s="10"/>
      <c r="BL167" s="10">
        <v>784</v>
      </c>
    </row>
    <row r="168" spans="2:64" ht="15" customHeight="1">
      <c r="B168" s="25" t="s">
        <v>372</v>
      </c>
      <c r="C168" s="62" t="s">
        <v>373</v>
      </c>
      <c r="D168" s="62"/>
      <c r="E168" s="62"/>
      <c r="F168" s="62"/>
      <c r="G168" s="23" t="s">
        <v>63</v>
      </c>
      <c r="H168" s="10">
        <v>114</v>
      </c>
      <c r="I168" s="53">
        <v>0</v>
      </c>
      <c r="J168" s="10">
        <f t="shared" si="176"/>
        <v>0</v>
      </c>
      <c r="K168" s="10">
        <f t="shared" si="177"/>
        <v>0</v>
      </c>
      <c r="L168" s="10">
        <f t="shared" si="178"/>
        <v>0</v>
      </c>
      <c r="M168" s="47"/>
      <c r="Z168" s="10">
        <f t="shared" si="179"/>
        <v>0</v>
      </c>
      <c r="AB168" s="10">
        <f t="shared" si="180"/>
        <v>0</v>
      </c>
      <c r="AC168" s="10">
        <f t="shared" si="181"/>
        <v>0</v>
      </c>
      <c r="AD168" s="10">
        <f t="shared" si="182"/>
        <v>0</v>
      </c>
      <c r="AE168" s="10">
        <f t="shared" si="183"/>
        <v>0</v>
      </c>
      <c r="AF168" s="10">
        <f t="shared" si="184"/>
        <v>0</v>
      </c>
      <c r="AG168" s="10">
        <f t="shared" si="185"/>
        <v>0</v>
      </c>
      <c r="AH168" s="10">
        <f t="shared" si="186"/>
        <v>0</v>
      </c>
      <c r="AI168" s="43" t="s">
        <v>44</v>
      </c>
      <c r="AJ168" s="10">
        <f t="shared" si="187"/>
        <v>0</v>
      </c>
      <c r="AK168" s="10">
        <f t="shared" si="188"/>
        <v>0</v>
      </c>
      <c r="AL168" s="10">
        <f t="shared" si="189"/>
        <v>0</v>
      </c>
      <c r="AN168" s="10">
        <v>21</v>
      </c>
      <c r="AO168" s="10">
        <f>I168*0.6068</f>
        <v>0</v>
      </c>
      <c r="AP168" s="10">
        <f>I168*(1-0.6068)</f>
        <v>0</v>
      </c>
      <c r="AQ168" s="41" t="s">
        <v>68</v>
      </c>
      <c r="AV168" s="10">
        <f t="shared" si="190"/>
        <v>0</v>
      </c>
      <c r="AW168" s="10">
        <f t="shared" si="191"/>
        <v>0</v>
      </c>
      <c r="AX168" s="10">
        <f t="shared" si="192"/>
        <v>0</v>
      </c>
      <c r="AY168" s="41" t="s">
        <v>367</v>
      </c>
      <c r="AZ168" s="41" t="s">
        <v>335</v>
      </c>
      <c r="BA168" s="43" t="s">
        <v>51</v>
      </c>
      <c r="BC168" s="10">
        <f t="shared" si="193"/>
        <v>0</v>
      </c>
      <c r="BD168" s="10">
        <f t="shared" si="194"/>
        <v>0</v>
      </c>
      <c r="BE168" s="10">
        <v>0</v>
      </c>
      <c r="BF168" s="10">
        <f>168</f>
        <v>168</v>
      </c>
      <c r="BH168" s="10">
        <f t="shared" si="195"/>
        <v>0</v>
      </c>
      <c r="BI168" s="10">
        <f t="shared" si="196"/>
        <v>0</v>
      </c>
      <c r="BJ168" s="10">
        <f t="shared" si="197"/>
        <v>0</v>
      </c>
      <c r="BK168" s="10"/>
      <c r="BL168" s="10">
        <v>784</v>
      </c>
    </row>
    <row r="169" spans="2:64" ht="15" customHeight="1">
      <c r="B169" s="25" t="s">
        <v>374</v>
      </c>
      <c r="C169" s="62" t="s">
        <v>375</v>
      </c>
      <c r="D169" s="62"/>
      <c r="E169" s="62"/>
      <c r="F169" s="62"/>
      <c r="G169" s="23" t="s">
        <v>55</v>
      </c>
      <c r="H169" s="10">
        <v>198</v>
      </c>
      <c r="I169" s="53">
        <v>0</v>
      </c>
      <c r="J169" s="10">
        <f t="shared" si="176"/>
        <v>0</v>
      </c>
      <c r="K169" s="10">
        <f t="shared" si="177"/>
        <v>0</v>
      </c>
      <c r="L169" s="10">
        <f t="shared" si="178"/>
        <v>0</v>
      </c>
      <c r="M169" s="47"/>
      <c r="Z169" s="10">
        <f t="shared" si="179"/>
        <v>0</v>
      </c>
      <c r="AB169" s="10">
        <f t="shared" si="180"/>
        <v>0</v>
      </c>
      <c r="AC169" s="10">
        <f t="shared" si="181"/>
        <v>0</v>
      </c>
      <c r="AD169" s="10">
        <f t="shared" si="182"/>
        <v>0</v>
      </c>
      <c r="AE169" s="10">
        <f t="shared" si="183"/>
        <v>0</v>
      </c>
      <c r="AF169" s="10">
        <f t="shared" si="184"/>
        <v>0</v>
      </c>
      <c r="AG169" s="10">
        <f t="shared" si="185"/>
        <v>0</v>
      </c>
      <c r="AH169" s="10">
        <f t="shared" si="186"/>
        <v>0</v>
      </c>
      <c r="AI169" s="43" t="s">
        <v>44</v>
      </c>
      <c r="AJ169" s="10">
        <f t="shared" si="187"/>
        <v>0</v>
      </c>
      <c r="AK169" s="10">
        <f t="shared" si="188"/>
        <v>0</v>
      </c>
      <c r="AL169" s="10">
        <f t="shared" si="189"/>
        <v>0</v>
      </c>
      <c r="AN169" s="10">
        <v>21</v>
      </c>
      <c r="AO169" s="10">
        <f>I169*0.184308681672026</f>
        <v>0</v>
      </c>
      <c r="AP169" s="10">
        <f>I169*(1-0.184308681672026)</f>
        <v>0</v>
      </c>
      <c r="AQ169" s="41" t="s">
        <v>68</v>
      </c>
      <c r="AV169" s="10">
        <f t="shared" si="190"/>
        <v>0</v>
      </c>
      <c r="AW169" s="10">
        <f t="shared" si="191"/>
        <v>0</v>
      </c>
      <c r="AX169" s="10">
        <f t="shared" si="192"/>
        <v>0</v>
      </c>
      <c r="AY169" s="41" t="s">
        <v>367</v>
      </c>
      <c r="AZ169" s="41" t="s">
        <v>335</v>
      </c>
      <c r="BA169" s="43" t="s">
        <v>51</v>
      </c>
      <c r="BC169" s="10">
        <f t="shared" si="193"/>
        <v>0</v>
      </c>
      <c r="BD169" s="10">
        <f t="shared" si="194"/>
        <v>0</v>
      </c>
      <c r="BE169" s="10">
        <v>0</v>
      </c>
      <c r="BF169" s="10">
        <f>169</f>
        <v>169</v>
      </c>
      <c r="BH169" s="10">
        <f t="shared" si="195"/>
        <v>0</v>
      </c>
      <c r="BI169" s="10">
        <f t="shared" si="196"/>
        <v>0</v>
      </c>
      <c r="BJ169" s="10">
        <f t="shared" si="197"/>
        <v>0</v>
      </c>
      <c r="BK169" s="10"/>
      <c r="BL169" s="10">
        <v>784</v>
      </c>
    </row>
    <row r="170" spans="2:64" ht="15" customHeight="1">
      <c r="B170" s="25" t="s">
        <v>376</v>
      </c>
      <c r="C170" s="62" t="s">
        <v>377</v>
      </c>
      <c r="D170" s="62"/>
      <c r="E170" s="62"/>
      <c r="F170" s="62"/>
      <c r="G170" s="23" t="s">
        <v>55</v>
      </c>
      <c r="H170" s="10">
        <v>163.8</v>
      </c>
      <c r="I170" s="53">
        <v>0</v>
      </c>
      <c r="J170" s="10">
        <f t="shared" si="176"/>
        <v>0</v>
      </c>
      <c r="K170" s="10">
        <f t="shared" si="177"/>
        <v>0</v>
      </c>
      <c r="L170" s="10">
        <f t="shared" si="178"/>
        <v>0</v>
      </c>
      <c r="M170" s="47"/>
      <c r="Z170" s="10">
        <f t="shared" si="179"/>
        <v>0</v>
      </c>
      <c r="AB170" s="10">
        <f t="shared" si="180"/>
        <v>0</v>
      </c>
      <c r="AC170" s="10">
        <f t="shared" si="181"/>
        <v>0</v>
      </c>
      <c r="AD170" s="10">
        <f t="shared" si="182"/>
        <v>0</v>
      </c>
      <c r="AE170" s="10">
        <f t="shared" si="183"/>
        <v>0</v>
      </c>
      <c r="AF170" s="10">
        <f t="shared" si="184"/>
        <v>0</v>
      </c>
      <c r="AG170" s="10">
        <f t="shared" si="185"/>
        <v>0</v>
      </c>
      <c r="AH170" s="10">
        <f t="shared" si="186"/>
        <v>0</v>
      </c>
      <c r="AI170" s="43" t="s">
        <v>44</v>
      </c>
      <c r="AJ170" s="10">
        <f t="shared" si="187"/>
        <v>0</v>
      </c>
      <c r="AK170" s="10">
        <f t="shared" si="188"/>
        <v>0</v>
      </c>
      <c r="AL170" s="10">
        <f t="shared" si="189"/>
        <v>0</v>
      </c>
      <c r="AN170" s="10">
        <v>21</v>
      </c>
      <c r="AO170" s="10">
        <f>I170*0.17264</f>
        <v>0</v>
      </c>
      <c r="AP170" s="10">
        <f>I170*(1-0.17264)</f>
        <v>0</v>
      </c>
      <c r="AQ170" s="41" t="s">
        <v>68</v>
      </c>
      <c r="AV170" s="10">
        <f t="shared" si="190"/>
        <v>0</v>
      </c>
      <c r="AW170" s="10">
        <f t="shared" si="191"/>
        <v>0</v>
      </c>
      <c r="AX170" s="10">
        <f t="shared" si="192"/>
        <v>0</v>
      </c>
      <c r="AY170" s="41" t="s">
        <v>367</v>
      </c>
      <c r="AZ170" s="41" t="s">
        <v>335</v>
      </c>
      <c r="BA170" s="43" t="s">
        <v>51</v>
      </c>
      <c r="BC170" s="10">
        <f t="shared" si="193"/>
        <v>0</v>
      </c>
      <c r="BD170" s="10">
        <f t="shared" si="194"/>
        <v>0</v>
      </c>
      <c r="BE170" s="10">
        <v>0</v>
      </c>
      <c r="BF170" s="10">
        <f>170</f>
        <v>170</v>
      </c>
      <c r="BH170" s="10">
        <f t="shared" si="195"/>
        <v>0</v>
      </c>
      <c r="BI170" s="10">
        <f t="shared" si="196"/>
        <v>0</v>
      </c>
      <c r="BJ170" s="10">
        <f t="shared" si="197"/>
        <v>0</v>
      </c>
      <c r="BK170" s="10"/>
      <c r="BL170" s="10">
        <v>784</v>
      </c>
    </row>
    <row r="171" spans="2:64" ht="15" customHeight="1">
      <c r="B171" s="25" t="s">
        <v>378</v>
      </c>
      <c r="C171" s="62" t="s">
        <v>379</v>
      </c>
      <c r="D171" s="62"/>
      <c r="E171" s="62"/>
      <c r="F171" s="62"/>
      <c r="G171" s="23" t="s">
        <v>63</v>
      </c>
      <c r="H171" s="10">
        <v>22.59</v>
      </c>
      <c r="I171" s="53">
        <v>0</v>
      </c>
      <c r="J171" s="10">
        <f t="shared" si="176"/>
        <v>0</v>
      </c>
      <c r="K171" s="10">
        <f t="shared" si="177"/>
        <v>0</v>
      </c>
      <c r="L171" s="10">
        <f t="shared" si="178"/>
        <v>0</v>
      </c>
      <c r="M171" s="47"/>
      <c r="Z171" s="10">
        <f t="shared" si="179"/>
        <v>0</v>
      </c>
      <c r="AB171" s="10">
        <f t="shared" si="180"/>
        <v>0</v>
      </c>
      <c r="AC171" s="10">
        <f t="shared" si="181"/>
        <v>0</v>
      </c>
      <c r="AD171" s="10">
        <f t="shared" si="182"/>
        <v>0</v>
      </c>
      <c r="AE171" s="10">
        <f t="shared" si="183"/>
        <v>0</v>
      </c>
      <c r="AF171" s="10">
        <f t="shared" si="184"/>
        <v>0</v>
      </c>
      <c r="AG171" s="10">
        <f t="shared" si="185"/>
        <v>0</v>
      </c>
      <c r="AH171" s="10">
        <f t="shared" si="186"/>
        <v>0</v>
      </c>
      <c r="AI171" s="43" t="s">
        <v>44</v>
      </c>
      <c r="AJ171" s="10">
        <f t="shared" si="187"/>
        <v>0</v>
      </c>
      <c r="AK171" s="10">
        <f t="shared" si="188"/>
        <v>0</v>
      </c>
      <c r="AL171" s="10">
        <f t="shared" si="189"/>
        <v>0</v>
      </c>
      <c r="AN171" s="10">
        <v>21</v>
      </c>
      <c r="AO171" s="10">
        <f>I171*0</f>
        <v>0</v>
      </c>
      <c r="AP171" s="10">
        <f>I171*(1-0)</f>
        <v>0</v>
      </c>
      <c r="AQ171" s="41" t="s">
        <v>68</v>
      </c>
      <c r="AV171" s="10">
        <f t="shared" si="190"/>
        <v>0</v>
      </c>
      <c r="AW171" s="10">
        <f t="shared" si="191"/>
        <v>0</v>
      </c>
      <c r="AX171" s="10">
        <f t="shared" si="192"/>
        <v>0</v>
      </c>
      <c r="AY171" s="41" t="s">
        <v>367</v>
      </c>
      <c r="AZ171" s="41" t="s">
        <v>335</v>
      </c>
      <c r="BA171" s="43" t="s">
        <v>51</v>
      </c>
      <c r="BC171" s="10">
        <f t="shared" si="193"/>
        <v>0</v>
      </c>
      <c r="BD171" s="10">
        <f t="shared" si="194"/>
        <v>0</v>
      </c>
      <c r="BE171" s="10">
        <v>0</v>
      </c>
      <c r="BF171" s="10">
        <f>171</f>
        <v>171</v>
      </c>
      <c r="BH171" s="10">
        <f t="shared" si="195"/>
        <v>0</v>
      </c>
      <c r="BI171" s="10">
        <f t="shared" si="196"/>
        <v>0</v>
      </c>
      <c r="BJ171" s="10">
        <f t="shared" si="197"/>
        <v>0</v>
      </c>
      <c r="BK171" s="10"/>
      <c r="BL171" s="10">
        <v>784</v>
      </c>
    </row>
    <row r="172" spans="2:64" ht="15" customHeight="1">
      <c r="B172" s="25" t="s">
        <v>380</v>
      </c>
      <c r="C172" s="62" t="s">
        <v>381</v>
      </c>
      <c r="D172" s="62"/>
      <c r="E172" s="62"/>
      <c r="F172" s="62"/>
      <c r="G172" s="23" t="s">
        <v>63</v>
      </c>
      <c r="H172" s="10">
        <v>607.92</v>
      </c>
      <c r="I172" s="53">
        <v>0</v>
      </c>
      <c r="J172" s="10">
        <f t="shared" si="176"/>
        <v>0</v>
      </c>
      <c r="K172" s="10">
        <f t="shared" si="177"/>
        <v>0</v>
      </c>
      <c r="L172" s="10">
        <f t="shared" si="178"/>
        <v>0</v>
      </c>
      <c r="M172" s="47"/>
      <c r="Z172" s="10">
        <f t="shared" si="179"/>
        <v>0</v>
      </c>
      <c r="AB172" s="10">
        <f t="shared" si="180"/>
        <v>0</v>
      </c>
      <c r="AC172" s="10">
        <f t="shared" si="181"/>
        <v>0</v>
      </c>
      <c r="AD172" s="10">
        <f t="shared" si="182"/>
        <v>0</v>
      </c>
      <c r="AE172" s="10">
        <f t="shared" si="183"/>
        <v>0</v>
      </c>
      <c r="AF172" s="10">
        <f t="shared" si="184"/>
        <v>0</v>
      </c>
      <c r="AG172" s="10">
        <f t="shared" si="185"/>
        <v>0</v>
      </c>
      <c r="AH172" s="10">
        <f t="shared" si="186"/>
        <v>0</v>
      </c>
      <c r="AI172" s="43" t="s">
        <v>44</v>
      </c>
      <c r="AJ172" s="10">
        <f t="shared" si="187"/>
        <v>0</v>
      </c>
      <c r="AK172" s="10">
        <f t="shared" si="188"/>
        <v>0</v>
      </c>
      <c r="AL172" s="10">
        <f t="shared" si="189"/>
        <v>0</v>
      </c>
      <c r="AN172" s="10">
        <v>21</v>
      </c>
      <c r="AO172" s="10">
        <f>I172*0.373673846181689</f>
        <v>0</v>
      </c>
      <c r="AP172" s="10">
        <f>I172*(1-0.373673846181689)</f>
        <v>0</v>
      </c>
      <c r="AQ172" s="41" t="s">
        <v>68</v>
      </c>
      <c r="AV172" s="10">
        <f t="shared" si="190"/>
        <v>0</v>
      </c>
      <c r="AW172" s="10">
        <f t="shared" si="191"/>
        <v>0</v>
      </c>
      <c r="AX172" s="10">
        <f t="shared" si="192"/>
        <v>0</v>
      </c>
      <c r="AY172" s="41" t="s">
        <v>367</v>
      </c>
      <c r="AZ172" s="41" t="s">
        <v>335</v>
      </c>
      <c r="BA172" s="43" t="s">
        <v>51</v>
      </c>
      <c r="BC172" s="10">
        <f t="shared" si="193"/>
        <v>0</v>
      </c>
      <c r="BD172" s="10">
        <f t="shared" si="194"/>
        <v>0</v>
      </c>
      <c r="BE172" s="10">
        <v>0</v>
      </c>
      <c r="BF172" s="10">
        <f>172</f>
        <v>172</v>
      </c>
      <c r="BH172" s="10">
        <f t="shared" si="195"/>
        <v>0</v>
      </c>
      <c r="BI172" s="10">
        <f t="shared" si="196"/>
        <v>0</v>
      </c>
      <c r="BJ172" s="10">
        <f t="shared" si="197"/>
        <v>0</v>
      </c>
      <c r="BK172" s="10"/>
      <c r="BL172" s="10">
        <v>784</v>
      </c>
    </row>
    <row r="173" spans="2:64" ht="15" customHeight="1">
      <c r="B173" s="25" t="s">
        <v>382</v>
      </c>
      <c r="C173" s="62" t="s">
        <v>383</v>
      </c>
      <c r="D173" s="62"/>
      <c r="E173" s="62"/>
      <c r="F173" s="62"/>
      <c r="G173" s="23" t="s">
        <v>63</v>
      </c>
      <c r="H173" s="10">
        <v>140.2</v>
      </c>
      <c r="I173" s="53">
        <v>0</v>
      </c>
      <c r="J173" s="10">
        <f t="shared" si="176"/>
        <v>0</v>
      </c>
      <c r="K173" s="10">
        <f t="shared" si="177"/>
        <v>0</v>
      </c>
      <c r="L173" s="10">
        <f t="shared" si="178"/>
        <v>0</v>
      </c>
      <c r="M173" s="47"/>
      <c r="Z173" s="10">
        <f t="shared" si="179"/>
        <v>0</v>
      </c>
      <c r="AB173" s="10">
        <f t="shared" si="180"/>
        <v>0</v>
      </c>
      <c r="AC173" s="10">
        <f t="shared" si="181"/>
        <v>0</v>
      </c>
      <c r="AD173" s="10">
        <f t="shared" si="182"/>
        <v>0</v>
      </c>
      <c r="AE173" s="10">
        <f t="shared" si="183"/>
        <v>0</v>
      </c>
      <c r="AF173" s="10">
        <f t="shared" si="184"/>
        <v>0</v>
      </c>
      <c r="AG173" s="10">
        <f t="shared" si="185"/>
        <v>0</v>
      </c>
      <c r="AH173" s="10">
        <f t="shared" si="186"/>
        <v>0</v>
      </c>
      <c r="AI173" s="43" t="s">
        <v>44</v>
      </c>
      <c r="AJ173" s="10">
        <f t="shared" si="187"/>
        <v>0</v>
      </c>
      <c r="AK173" s="10">
        <f t="shared" si="188"/>
        <v>0</v>
      </c>
      <c r="AL173" s="10">
        <f t="shared" si="189"/>
        <v>0</v>
      </c>
      <c r="AN173" s="10">
        <v>21</v>
      </c>
      <c r="AO173" s="10">
        <f>I173*0.425504417798736</f>
        <v>0</v>
      </c>
      <c r="AP173" s="10">
        <f>I173*(1-0.425504417798736)</f>
        <v>0</v>
      </c>
      <c r="AQ173" s="41" t="s">
        <v>68</v>
      </c>
      <c r="AV173" s="10">
        <f t="shared" si="190"/>
        <v>0</v>
      </c>
      <c r="AW173" s="10">
        <f t="shared" si="191"/>
        <v>0</v>
      </c>
      <c r="AX173" s="10">
        <f t="shared" si="192"/>
        <v>0</v>
      </c>
      <c r="AY173" s="41" t="s">
        <v>367</v>
      </c>
      <c r="AZ173" s="41" t="s">
        <v>335</v>
      </c>
      <c r="BA173" s="43" t="s">
        <v>51</v>
      </c>
      <c r="BC173" s="10">
        <f t="shared" si="193"/>
        <v>0</v>
      </c>
      <c r="BD173" s="10">
        <f t="shared" si="194"/>
        <v>0</v>
      </c>
      <c r="BE173" s="10">
        <v>0</v>
      </c>
      <c r="BF173" s="10">
        <f>173</f>
        <v>173</v>
      </c>
      <c r="BH173" s="10">
        <f t="shared" si="195"/>
        <v>0</v>
      </c>
      <c r="BI173" s="10">
        <f t="shared" si="196"/>
        <v>0</v>
      </c>
      <c r="BJ173" s="10">
        <f t="shared" si="197"/>
        <v>0</v>
      </c>
      <c r="BK173" s="10"/>
      <c r="BL173" s="10">
        <v>784</v>
      </c>
    </row>
    <row r="174" spans="2:64" ht="15" customHeight="1">
      <c r="B174" s="25" t="s">
        <v>384</v>
      </c>
      <c r="C174" s="62" t="s">
        <v>385</v>
      </c>
      <c r="D174" s="62"/>
      <c r="E174" s="62"/>
      <c r="F174" s="62"/>
      <c r="G174" s="23" t="s">
        <v>63</v>
      </c>
      <c r="H174" s="10">
        <v>22.59</v>
      </c>
      <c r="I174" s="53">
        <v>0</v>
      </c>
      <c r="J174" s="10">
        <f t="shared" si="176"/>
        <v>0</v>
      </c>
      <c r="K174" s="10">
        <f t="shared" si="177"/>
        <v>0</v>
      </c>
      <c r="L174" s="10">
        <f t="shared" si="178"/>
        <v>0</v>
      </c>
      <c r="M174" s="47"/>
      <c r="Z174" s="10">
        <f t="shared" si="179"/>
        <v>0</v>
      </c>
      <c r="AB174" s="10">
        <f t="shared" si="180"/>
        <v>0</v>
      </c>
      <c r="AC174" s="10">
        <f t="shared" si="181"/>
        <v>0</v>
      </c>
      <c r="AD174" s="10">
        <f t="shared" si="182"/>
        <v>0</v>
      </c>
      <c r="AE174" s="10">
        <f t="shared" si="183"/>
        <v>0</v>
      </c>
      <c r="AF174" s="10">
        <f t="shared" si="184"/>
        <v>0</v>
      </c>
      <c r="AG174" s="10">
        <f t="shared" si="185"/>
        <v>0</v>
      </c>
      <c r="AH174" s="10">
        <f t="shared" si="186"/>
        <v>0</v>
      </c>
      <c r="AI174" s="43" t="s">
        <v>44</v>
      </c>
      <c r="AJ174" s="10">
        <f t="shared" si="187"/>
        <v>0</v>
      </c>
      <c r="AK174" s="10">
        <f t="shared" si="188"/>
        <v>0</v>
      </c>
      <c r="AL174" s="10">
        <f t="shared" si="189"/>
        <v>0</v>
      </c>
      <c r="AN174" s="10">
        <v>21</v>
      </c>
      <c r="AO174" s="10">
        <f>I174*0.00270869214502169</f>
        <v>0</v>
      </c>
      <c r="AP174" s="10">
        <f>I174*(1-0.00270869214502169)</f>
        <v>0</v>
      </c>
      <c r="AQ174" s="41" t="s">
        <v>68</v>
      </c>
      <c r="AV174" s="10">
        <f t="shared" si="190"/>
        <v>0</v>
      </c>
      <c r="AW174" s="10">
        <f t="shared" si="191"/>
        <v>0</v>
      </c>
      <c r="AX174" s="10">
        <f t="shared" si="192"/>
        <v>0</v>
      </c>
      <c r="AY174" s="41" t="s">
        <v>367</v>
      </c>
      <c r="AZ174" s="41" t="s">
        <v>335</v>
      </c>
      <c r="BA174" s="43" t="s">
        <v>51</v>
      </c>
      <c r="BC174" s="10">
        <f t="shared" si="193"/>
        <v>0</v>
      </c>
      <c r="BD174" s="10">
        <f t="shared" si="194"/>
        <v>0</v>
      </c>
      <c r="BE174" s="10">
        <v>0</v>
      </c>
      <c r="BF174" s="10">
        <f>174</f>
        <v>174</v>
      </c>
      <c r="BH174" s="10">
        <f t="shared" si="195"/>
        <v>0</v>
      </c>
      <c r="BI174" s="10">
        <f t="shared" si="196"/>
        <v>0</v>
      </c>
      <c r="BJ174" s="10">
        <f t="shared" si="197"/>
        <v>0</v>
      </c>
      <c r="BK174" s="10"/>
      <c r="BL174" s="10">
        <v>784</v>
      </c>
    </row>
    <row r="175" spans="2:64" ht="15" customHeight="1">
      <c r="B175" s="25" t="s">
        <v>386</v>
      </c>
      <c r="C175" s="62" t="s">
        <v>387</v>
      </c>
      <c r="D175" s="62"/>
      <c r="E175" s="62"/>
      <c r="F175" s="62"/>
      <c r="G175" s="23" t="s">
        <v>63</v>
      </c>
      <c r="H175" s="10">
        <v>140.2</v>
      </c>
      <c r="I175" s="53">
        <v>0</v>
      </c>
      <c r="J175" s="10">
        <f t="shared" si="176"/>
        <v>0</v>
      </c>
      <c r="K175" s="10">
        <f t="shared" si="177"/>
        <v>0</v>
      </c>
      <c r="L175" s="10">
        <f t="shared" si="178"/>
        <v>0</v>
      </c>
      <c r="M175" s="47"/>
      <c r="Z175" s="10">
        <f t="shared" si="179"/>
        <v>0</v>
      </c>
      <c r="AB175" s="10">
        <f t="shared" si="180"/>
        <v>0</v>
      </c>
      <c r="AC175" s="10">
        <f t="shared" si="181"/>
        <v>0</v>
      </c>
      <c r="AD175" s="10">
        <f t="shared" si="182"/>
        <v>0</v>
      </c>
      <c r="AE175" s="10">
        <f t="shared" si="183"/>
        <v>0</v>
      </c>
      <c r="AF175" s="10">
        <f t="shared" si="184"/>
        <v>0</v>
      </c>
      <c r="AG175" s="10">
        <f t="shared" si="185"/>
        <v>0</v>
      </c>
      <c r="AH175" s="10">
        <f t="shared" si="186"/>
        <v>0</v>
      </c>
      <c r="AI175" s="43" t="s">
        <v>44</v>
      </c>
      <c r="AJ175" s="10">
        <f t="shared" si="187"/>
        <v>0</v>
      </c>
      <c r="AK175" s="10">
        <f t="shared" si="188"/>
        <v>0</v>
      </c>
      <c r="AL175" s="10">
        <f t="shared" si="189"/>
        <v>0</v>
      </c>
      <c r="AN175" s="10">
        <v>21</v>
      </c>
      <c r="AO175" s="10">
        <f>I175*0.222820512820513</f>
        <v>0</v>
      </c>
      <c r="AP175" s="10">
        <f>I175*(1-0.222820512820513)</f>
        <v>0</v>
      </c>
      <c r="AQ175" s="41" t="s">
        <v>68</v>
      </c>
      <c r="AV175" s="10">
        <f t="shared" si="190"/>
        <v>0</v>
      </c>
      <c r="AW175" s="10">
        <f t="shared" si="191"/>
        <v>0</v>
      </c>
      <c r="AX175" s="10">
        <f t="shared" si="192"/>
        <v>0</v>
      </c>
      <c r="AY175" s="41" t="s">
        <v>367</v>
      </c>
      <c r="AZ175" s="41" t="s">
        <v>335</v>
      </c>
      <c r="BA175" s="43" t="s">
        <v>51</v>
      </c>
      <c r="BC175" s="10">
        <f t="shared" si="193"/>
        <v>0</v>
      </c>
      <c r="BD175" s="10">
        <f t="shared" si="194"/>
        <v>0</v>
      </c>
      <c r="BE175" s="10">
        <v>0</v>
      </c>
      <c r="BF175" s="10">
        <f>175</f>
        <v>175</v>
      </c>
      <c r="BH175" s="10">
        <f t="shared" si="195"/>
        <v>0</v>
      </c>
      <c r="BI175" s="10">
        <f t="shared" si="196"/>
        <v>0</v>
      </c>
      <c r="BJ175" s="10">
        <f t="shared" si="197"/>
        <v>0</v>
      </c>
      <c r="BK175" s="10"/>
      <c r="BL175" s="10">
        <v>784</v>
      </c>
    </row>
    <row r="176" spans="2:64" ht="15" customHeight="1">
      <c r="B176" s="25" t="s">
        <v>388</v>
      </c>
      <c r="C176" s="62" t="s">
        <v>389</v>
      </c>
      <c r="D176" s="62"/>
      <c r="E176" s="62"/>
      <c r="F176" s="62"/>
      <c r="G176" s="23" t="s">
        <v>63</v>
      </c>
      <c r="H176" s="10">
        <v>607.92</v>
      </c>
      <c r="I176" s="53">
        <v>0</v>
      </c>
      <c r="J176" s="10">
        <f t="shared" si="176"/>
        <v>0</v>
      </c>
      <c r="K176" s="10">
        <f t="shared" si="177"/>
        <v>0</v>
      </c>
      <c r="L176" s="10">
        <f t="shared" si="178"/>
        <v>0</v>
      </c>
      <c r="M176" s="47"/>
      <c r="Z176" s="10">
        <f t="shared" si="179"/>
        <v>0</v>
      </c>
      <c r="AB176" s="10">
        <f t="shared" si="180"/>
        <v>0</v>
      </c>
      <c r="AC176" s="10">
        <f t="shared" si="181"/>
        <v>0</v>
      </c>
      <c r="AD176" s="10">
        <f t="shared" si="182"/>
        <v>0</v>
      </c>
      <c r="AE176" s="10">
        <f t="shared" si="183"/>
        <v>0</v>
      </c>
      <c r="AF176" s="10">
        <f t="shared" si="184"/>
        <v>0</v>
      </c>
      <c r="AG176" s="10">
        <f t="shared" si="185"/>
        <v>0</v>
      </c>
      <c r="AH176" s="10">
        <f t="shared" si="186"/>
        <v>0</v>
      </c>
      <c r="AI176" s="43" t="s">
        <v>44</v>
      </c>
      <c r="AJ176" s="10">
        <f t="shared" si="187"/>
        <v>0</v>
      </c>
      <c r="AK176" s="10">
        <f t="shared" si="188"/>
        <v>0</v>
      </c>
      <c r="AL176" s="10">
        <f t="shared" si="189"/>
        <v>0</v>
      </c>
      <c r="AN176" s="10">
        <v>21</v>
      </c>
      <c r="AO176" s="10">
        <f>I176*0.393645833333333</f>
        <v>0</v>
      </c>
      <c r="AP176" s="10">
        <f>I176*(1-0.393645833333333)</f>
        <v>0</v>
      </c>
      <c r="AQ176" s="41" t="s">
        <v>68</v>
      </c>
      <c r="AV176" s="10">
        <f t="shared" si="190"/>
        <v>0</v>
      </c>
      <c r="AW176" s="10">
        <f t="shared" si="191"/>
        <v>0</v>
      </c>
      <c r="AX176" s="10">
        <f t="shared" si="192"/>
        <v>0</v>
      </c>
      <c r="AY176" s="41" t="s">
        <v>367</v>
      </c>
      <c r="AZ176" s="41" t="s">
        <v>335</v>
      </c>
      <c r="BA176" s="43" t="s">
        <v>51</v>
      </c>
      <c r="BC176" s="10">
        <f t="shared" si="193"/>
        <v>0</v>
      </c>
      <c r="BD176" s="10">
        <f t="shared" si="194"/>
        <v>0</v>
      </c>
      <c r="BE176" s="10">
        <v>0</v>
      </c>
      <c r="BF176" s="10">
        <f>176</f>
        <v>176</v>
      </c>
      <c r="BH176" s="10">
        <f t="shared" si="195"/>
        <v>0</v>
      </c>
      <c r="BI176" s="10">
        <f t="shared" si="196"/>
        <v>0</v>
      </c>
      <c r="BJ176" s="10">
        <f t="shared" si="197"/>
        <v>0</v>
      </c>
      <c r="BK176" s="10"/>
      <c r="BL176" s="10">
        <v>784</v>
      </c>
    </row>
    <row r="177" spans="2:64" ht="15" customHeight="1">
      <c r="B177" s="25" t="s">
        <v>390</v>
      </c>
      <c r="C177" s="62" t="s">
        <v>391</v>
      </c>
      <c r="D177" s="62"/>
      <c r="E177" s="62"/>
      <c r="F177" s="62"/>
      <c r="G177" s="23" t="s">
        <v>55</v>
      </c>
      <c r="H177" s="10">
        <v>27.6</v>
      </c>
      <c r="I177" s="53">
        <v>0</v>
      </c>
      <c r="J177" s="10">
        <f t="shared" si="176"/>
        <v>0</v>
      </c>
      <c r="K177" s="10">
        <f t="shared" si="177"/>
        <v>0</v>
      </c>
      <c r="L177" s="10">
        <f t="shared" si="178"/>
        <v>0</v>
      </c>
      <c r="M177" s="47"/>
      <c r="Z177" s="10">
        <f t="shared" si="179"/>
        <v>0</v>
      </c>
      <c r="AB177" s="10">
        <f t="shared" si="180"/>
        <v>0</v>
      </c>
      <c r="AC177" s="10">
        <f t="shared" si="181"/>
        <v>0</v>
      </c>
      <c r="AD177" s="10">
        <f t="shared" si="182"/>
        <v>0</v>
      </c>
      <c r="AE177" s="10">
        <f t="shared" si="183"/>
        <v>0</v>
      </c>
      <c r="AF177" s="10">
        <f t="shared" si="184"/>
        <v>0</v>
      </c>
      <c r="AG177" s="10">
        <f t="shared" si="185"/>
        <v>0</v>
      </c>
      <c r="AH177" s="10">
        <f t="shared" si="186"/>
        <v>0</v>
      </c>
      <c r="AI177" s="43" t="s">
        <v>44</v>
      </c>
      <c r="AJ177" s="10">
        <f t="shared" si="187"/>
        <v>0</v>
      </c>
      <c r="AK177" s="10">
        <f t="shared" si="188"/>
        <v>0</v>
      </c>
      <c r="AL177" s="10">
        <f t="shared" si="189"/>
        <v>0</v>
      </c>
      <c r="AN177" s="10">
        <v>21</v>
      </c>
      <c r="AO177" s="10">
        <f>I177*0.175684210526316</f>
        <v>0</v>
      </c>
      <c r="AP177" s="10">
        <f>I177*(1-0.175684210526316)</f>
        <v>0</v>
      </c>
      <c r="AQ177" s="41" t="s">
        <v>68</v>
      </c>
      <c r="AV177" s="10">
        <f t="shared" si="190"/>
        <v>0</v>
      </c>
      <c r="AW177" s="10">
        <f t="shared" si="191"/>
        <v>0</v>
      </c>
      <c r="AX177" s="10">
        <f t="shared" si="192"/>
        <v>0</v>
      </c>
      <c r="AY177" s="41" t="s">
        <v>367</v>
      </c>
      <c r="AZ177" s="41" t="s">
        <v>335</v>
      </c>
      <c r="BA177" s="43" t="s">
        <v>51</v>
      </c>
      <c r="BC177" s="10">
        <f t="shared" si="193"/>
        <v>0</v>
      </c>
      <c r="BD177" s="10">
        <f t="shared" si="194"/>
        <v>0</v>
      </c>
      <c r="BE177" s="10">
        <v>0</v>
      </c>
      <c r="BF177" s="10">
        <f>177</f>
        <v>177</v>
      </c>
      <c r="BH177" s="10">
        <f t="shared" si="195"/>
        <v>0</v>
      </c>
      <c r="BI177" s="10">
        <f t="shared" si="196"/>
        <v>0</v>
      </c>
      <c r="BJ177" s="10">
        <f t="shared" si="197"/>
        <v>0</v>
      </c>
      <c r="BK177" s="10"/>
      <c r="BL177" s="10">
        <v>784</v>
      </c>
    </row>
    <row r="178" spans="2:47" ht="15" customHeight="1">
      <c r="B178" s="14" t="s">
        <v>44</v>
      </c>
      <c r="C178" s="78" t="s">
        <v>392</v>
      </c>
      <c r="D178" s="78"/>
      <c r="E178" s="78"/>
      <c r="F178" s="78"/>
      <c r="G178" s="19" t="s">
        <v>4</v>
      </c>
      <c r="H178" s="19" t="s">
        <v>4</v>
      </c>
      <c r="I178" s="19" t="s">
        <v>4</v>
      </c>
      <c r="J178" s="28">
        <f>SUM(J179:J179)</f>
        <v>0</v>
      </c>
      <c r="K178" s="28">
        <f>SUM(K179:K179)</f>
        <v>0</v>
      </c>
      <c r="L178" s="28">
        <f>SUM(L179:L179)</f>
        <v>0</v>
      </c>
      <c r="M178" s="2"/>
      <c r="AI178" s="43" t="s">
        <v>44</v>
      </c>
      <c r="AS178" s="28">
        <f>SUM(AJ179:AJ179)</f>
        <v>0</v>
      </c>
      <c r="AT178" s="28">
        <f>SUM(AK179:AK179)</f>
        <v>0</v>
      </c>
      <c r="AU178" s="28">
        <f>SUM(AL179:AL179)</f>
        <v>0</v>
      </c>
    </row>
    <row r="179" spans="2:64" ht="15" customHeight="1">
      <c r="B179" s="25" t="s">
        <v>393</v>
      </c>
      <c r="C179" s="62" t="s">
        <v>394</v>
      </c>
      <c r="D179" s="62"/>
      <c r="E179" s="62"/>
      <c r="F179" s="62"/>
      <c r="G179" s="23" t="s">
        <v>55</v>
      </c>
      <c r="H179" s="10">
        <v>152</v>
      </c>
      <c r="I179" s="53">
        <v>0</v>
      </c>
      <c r="J179" s="10">
        <f>H179*AO179</f>
        <v>0</v>
      </c>
      <c r="K179" s="10">
        <f>H179*AP179</f>
        <v>0</v>
      </c>
      <c r="L179" s="10">
        <f>H179*I179</f>
        <v>0</v>
      </c>
      <c r="M179" s="47"/>
      <c r="Z179" s="10">
        <f>IF(AQ179="5",BJ179,0)</f>
        <v>0</v>
      </c>
      <c r="AB179" s="10">
        <f>IF(AQ179="1",BH179,0)</f>
        <v>0</v>
      </c>
      <c r="AC179" s="10">
        <f>IF(AQ179="1",BI179,0)</f>
        <v>0</v>
      </c>
      <c r="AD179" s="10">
        <f>IF(AQ179="7",BH179,0)</f>
        <v>0</v>
      </c>
      <c r="AE179" s="10">
        <f>IF(AQ179="7",BI179,0)</f>
        <v>0</v>
      </c>
      <c r="AF179" s="10">
        <f>IF(AQ179="2",BH179,0)</f>
        <v>0</v>
      </c>
      <c r="AG179" s="10">
        <f>IF(AQ179="2",BI179,0)</f>
        <v>0</v>
      </c>
      <c r="AH179" s="10">
        <f>IF(AQ179="0",BJ179,0)</f>
        <v>0</v>
      </c>
      <c r="AI179" s="43" t="s">
        <v>44</v>
      </c>
      <c r="AJ179" s="10">
        <f>IF(AN179=0,L179,0)</f>
        <v>0</v>
      </c>
      <c r="AK179" s="10">
        <f>IF(AN179=15,L179,0)</f>
        <v>0</v>
      </c>
      <c r="AL179" s="10">
        <f>IF(AN179=21,L179,0)</f>
        <v>0</v>
      </c>
      <c r="AN179" s="10">
        <v>21</v>
      </c>
      <c r="AO179" s="10">
        <f>I179*0.129538461538462</f>
        <v>0</v>
      </c>
      <c r="AP179" s="10">
        <f>I179*(1-0.129538461538462)</f>
        <v>0</v>
      </c>
      <c r="AQ179" s="41" t="s">
        <v>46</v>
      </c>
      <c r="AV179" s="10">
        <f>AW179+AX179</f>
        <v>0</v>
      </c>
      <c r="AW179" s="10">
        <f>H179*AO179</f>
        <v>0</v>
      </c>
      <c r="AX179" s="10">
        <f>H179*AP179</f>
        <v>0</v>
      </c>
      <c r="AY179" s="41" t="s">
        <v>395</v>
      </c>
      <c r="AZ179" s="41" t="s">
        <v>396</v>
      </c>
      <c r="BA179" s="43" t="s">
        <v>51</v>
      </c>
      <c r="BC179" s="10">
        <f>AW179+AX179</f>
        <v>0</v>
      </c>
      <c r="BD179" s="10">
        <f>I179/(100-BE179)*100</f>
        <v>0</v>
      </c>
      <c r="BE179" s="10">
        <v>0</v>
      </c>
      <c r="BF179" s="10">
        <f>179</f>
        <v>179</v>
      </c>
      <c r="BH179" s="10">
        <f>H179*AO179</f>
        <v>0</v>
      </c>
      <c r="BI179" s="10">
        <f>H179*AP179</f>
        <v>0</v>
      </c>
      <c r="BJ179" s="10">
        <f>H179*I179</f>
        <v>0</v>
      </c>
      <c r="BK179" s="10"/>
      <c r="BL179" s="10">
        <v>89</v>
      </c>
    </row>
    <row r="180" spans="2:47" ht="15" customHeight="1">
      <c r="B180" s="14" t="s">
        <v>44</v>
      </c>
      <c r="C180" s="78" t="s">
        <v>397</v>
      </c>
      <c r="D180" s="78"/>
      <c r="E180" s="78"/>
      <c r="F180" s="78"/>
      <c r="G180" s="19" t="s">
        <v>4</v>
      </c>
      <c r="H180" s="19" t="s">
        <v>4</v>
      </c>
      <c r="I180" s="19" t="s">
        <v>4</v>
      </c>
      <c r="J180" s="28">
        <f>SUM(J181:J182)</f>
        <v>0</v>
      </c>
      <c r="K180" s="28">
        <f>SUM(K181:K182)</f>
        <v>0</v>
      </c>
      <c r="L180" s="28">
        <f>SUM(L181:L182)</f>
        <v>0</v>
      </c>
      <c r="M180" s="2"/>
      <c r="AI180" s="43" t="s">
        <v>44</v>
      </c>
      <c r="AS180" s="28">
        <f>SUM(AJ181:AJ182)</f>
        <v>0</v>
      </c>
      <c r="AT180" s="28">
        <f>SUM(AK181:AK182)</f>
        <v>0</v>
      </c>
      <c r="AU180" s="28">
        <f>SUM(AL181:AL182)</f>
        <v>0</v>
      </c>
    </row>
    <row r="181" spans="2:64" ht="15" customHeight="1">
      <c r="B181" s="25" t="s">
        <v>398</v>
      </c>
      <c r="C181" s="62" t="s">
        <v>399</v>
      </c>
      <c r="D181" s="62"/>
      <c r="E181" s="62"/>
      <c r="F181" s="62"/>
      <c r="G181" s="23" t="s">
        <v>400</v>
      </c>
      <c r="H181" s="10">
        <v>6</v>
      </c>
      <c r="I181" s="53">
        <v>0</v>
      </c>
      <c r="J181" s="10">
        <f>H181*AO181</f>
        <v>0</v>
      </c>
      <c r="K181" s="10">
        <f>H181*AP181</f>
        <v>0</v>
      </c>
      <c r="L181" s="10">
        <f>H181*I181</f>
        <v>0</v>
      </c>
      <c r="M181" s="47"/>
      <c r="Z181" s="10">
        <f>IF(AQ181="5",BJ181,0)</f>
        <v>0</v>
      </c>
      <c r="AB181" s="10">
        <f>IF(AQ181="1",BH181,0)</f>
        <v>0</v>
      </c>
      <c r="AC181" s="10">
        <f>IF(AQ181="1",BI181,0)</f>
        <v>0</v>
      </c>
      <c r="AD181" s="10">
        <f>IF(AQ181="7",BH181,0)</f>
        <v>0</v>
      </c>
      <c r="AE181" s="10">
        <f>IF(AQ181="7",BI181,0)</f>
        <v>0</v>
      </c>
      <c r="AF181" s="10">
        <f>IF(AQ181="2",BH181,0)</f>
        <v>0</v>
      </c>
      <c r="AG181" s="10">
        <f>IF(AQ181="2",BI181,0)</f>
        <v>0</v>
      </c>
      <c r="AH181" s="10">
        <f>IF(AQ181="0",BJ181,0)</f>
        <v>0</v>
      </c>
      <c r="AI181" s="43" t="s">
        <v>44</v>
      </c>
      <c r="AJ181" s="10">
        <f>IF(AN181=0,L181,0)</f>
        <v>0</v>
      </c>
      <c r="AK181" s="10">
        <f>IF(AN181=15,L181,0)</f>
        <v>0</v>
      </c>
      <c r="AL181" s="10">
        <f>IF(AN181=21,L181,0)</f>
        <v>0</v>
      </c>
      <c r="AN181" s="10">
        <v>21</v>
      </c>
      <c r="AO181" s="10">
        <f>I181*0</f>
        <v>0</v>
      </c>
      <c r="AP181" s="10">
        <f>I181*(1-0)</f>
        <v>0</v>
      </c>
      <c r="AQ181" s="41" t="s">
        <v>46</v>
      </c>
      <c r="AV181" s="10">
        <f>AW181+AX181</f>
        <v>0</v>
      </c>
      <c r="AW181" s="10">
        <f>H181*AO181</f>
        <v>0</v>
      </c>
      <c r="AX181" s="10">
        <f>H181*AP181</f>
        <v>0</v>
      </c>
      <c r="AY181" s="41" t="s">
        <v>401</v>
      </c>
      <c r="AZ181" s="41" t="s">
        <v>402</v>
      </c>
      <c r="BA181" s="43" t="s">
        <v>51</v>
      </c>
      <c r="BC181" s="10">
        <f>AW181+AX181</f>
        <v>0</v>
      </c>
      <c r="BD181" s="10">
        <f>I181/(100-BE181)*100</f>
        <v>0</v>
      </c>
      <c r="BE181" s="10">
        <v>0</v>
      </c>
      <c r="BF181" s="10">
        <f>181</f>
        <v>181</v>
      </c>
      <c r="BH181" s="10">
        <f>H181*AO181</f>
        <v>0</v>
      </c>
      <c r="BI181" s="10">
        <f>H181*AP181</f>
        <v>0</v>
      </c>
      <c r="BJ181" s="10">
        <f>H181*I181</f>
        <v>0</v>
      </c>
      <c r="BK181" s="10"/>
      <c r="BL181" s="10">
        <v>90</v>
      </c>
    </row>
    <row r="182" spans="2:64" ht="15" customHeight="1">
      <c r="B182" s="25" t="s">
        <v>403</v>
      </c>
      <c r="C182" s="62" t="s">
        <v>404</v>
      </c>
      <c r="D182" s="62"/>
      <c r="E182" s="62"/>
      <c r="F182" s="62"/>
      <c r="G182" s="23" t="s">
        <v>400</v>
      </c>
      <c r="H182" s="10">
        <v>30</v>
      </c>
      <c r="I182" s="53">
        <v>0</v>
      </c>
      <c r="J182" s="10">
        <f>H182*AO182</f>
        <v>0</v>
      </c>
      <c r="K182" s="10">
        <f>H182*AP182</f>
        <v>0</v>
      </c>
      <c r="L182" s="10">
        <f>H182*I182</f>
        <v>0</v>
      </c>
      <c r="M182" s="47"/>
      <c r="Z182" s="10">
        <f>IF(AQ182="5",BJ182,0)</f>
        <v>0</v>
      </c>
      <c r="AB182" s="10">
        <f>IF(AQ182="1",BH182,0)</f>
        <v>0</v>
      </c>
      <c r="AC182" s="10">
        <f>IF(AQ182="1",BI182,0)</f>
        <v>0</v>
      </c>
      <c r="AD182" s="10">
        <f>IF(AQ182="7",BH182,0)</f>
        <v>0</v>
      </c>
      <c r="AE182" s="10">
        <f>IF(AQ182="7",BI182,0)</f>
        <v>0</v>
      </c>
      <c r="AF182" s="10">
        <f>IF(AQ182="2",BH182,0)</f>
        <v>0</v>
      </c>
      <c r="AG182" s="10">
        <f>IF(AQ182="2",BI182,0)</f>
        <v>0</v>
      </c>
      <c r="AH182" s="10">
        <f>IF(AQ182="0",BJ182,0)</f>
        <v>0</v>
      </c>
      <c r="AI182" s="43" t="s">
        <v>44</v>
      </c>
      <c r="AJ182" s="10">
        <f>IF(AN182=0,L182,0)</f>
        <v>0</v>
      </c>
      <c r="AK182" s="10">
        <f>IF(AN182=15,L182,0)</f>
        <v>0</v>
      </c>
      <c r="AL182" s="10">
        <f>IF(AN182=21,L182,0)</f>
        <v>0</v>
      </c>
      <c r="AN182" s="10">
        <v>21</v>
      </c>
      <c r="AO182" s="10">
        <f>I182*0</f>
        <v>0</v>
      </c>
      <c r="AP182" s="10">
        <f>I182*(1-0)</f>
        <v>0</v>
      </c>
      <c r="AQ182" s="41" t="s">
        <v>46</v>
      </c>
      <c r="AV182" s="10">
        <f>AW182+AX182</f>
        <v>0</v>
      </c>
      <c r="AW182" s="10">
        <f>H182*AO182</f>
        <v>0</v>
      </c>
      <c r="AX182" s="10">
        <f>H182*AP182</f>
        <v>0</v>
      </c>
      <c r="AY182" s="41" t="s">
        <v>401</v>
      </c>
      <c r="AZ182" s="41" t="s">
        <v>402</v>
      </c>
      <c r="BA182" s="43" t="s">
        <v>51</v>
      </c>
      <c r="BC182" s="10">
        <f>AW182+AX182</f>
        <v>0</v>
      </c>
      <c r="BD182" s="10">
        <f>I182/(100-BE182)*100</f>
        <v>0</v>
      </c>
      <c r="BE182" s="10">
        <v>0</v>
      </c>
      <c r="BF182" s="10">
        <f>182</f>
        <v>182</v>
      </c>
      <c r="BH182" s="10">
        <f>H182*AO182</f>
        <v>0</v>
      </c>
      <c r="BI182" s="10">
        <f>H182*AP182</f>
        <v>0</v>
      </c>
      <c r="BJ182" s="10">
        <f>H182*I182</f>
        <v>0</v>
      </c>
      <c r="BK182" s="10"/>
      <c r="BL182" s="10">
        <v>90</v>
      </c>
    </row>
    <row r="183" spans="2:47" ht="15" customHeight="1">
      <c r="B183" s="14" t="s">
        <v>44</v>
      </c>
      <c r="C183" s="78" t="s">
        <v>405</v>
      </c>
      <c r="D183" s="78"/>
      <c r="E183" s="78"/>
      <c r="F183" s="78"/>
      <c r="G183" s="19" t="s">
        <v>4</v>
      </c>
      <c r="H183" s="19" t="s">
        <v>4</v>
      </c>
      <c r="I183" s="19" t="s">
        <v>4</v>
      </c>
      <c r="J183" s="28">
        <f>SUM(J184:J187)</f>
        <v>0</v>
      </c>
      <c r="K183" s="28">
        <f>SUM(K184:K187)</f>
        <v>0</v>
      </c>
      <c r="L183" s="28">
        <f>SUM(L184:L187)</f>
        <v>0</v>
      </c>
      <c r="M183" s="2"/>
      <c r="AI183" s="43" t="s">
        <v>44</v>
      </c>
      <c r="AS183" s="28">
        <f>SUM(AJ184:AJ187)</f>
        <v>0</v>
      </c>
      <c r="AT183" s="28">
        <f>SUM(AK184:AK187)</f>
        <v>0</v>
      </c>
      <c r="AU183" s="28">
        <f>SUM(AL184:AL187)</f>
        <v>0</v>
      </c>
    </row>
    <row r="184" spans="2:64" ht="15" customHeight="1">
      <c r="B184" s="25" t="s">
        <v>406</v>
      </c>
      <c r="C184" s="62" t="s">
        <v>407</v>
      </c>
      <c r="D184" s="62"/>
      <c r="E184" s="62"/>
      <c r="F184" s="62"/>
      <c r="G184" s="23" t="s">
        <v>408</v>
      </c>
      <c r="H184" s="10">
        <v>1</v>
      </c>
      <c r="I184" s="53">
        <v>0</v>
      </c>
      <c r="J184" s="10">
        <f>H184*AO184</f>
        <v>0</v>
      </c>
      <c r="K184" s="10">
        <f>H184*AP184</f>
        <v>0</v>
      </c>
      <c r="L184" s="10">
        <f>H184*I184</f>
        <v>0</v>
      </c>
      <c r="M184" s="47"/>
      <c r="Z184" s="10">
        <f>IF(AQ184="5",BJ184,0)</f>
        <v>0</v>
      </c>
      <c r="AB184" s="10">
        <f>IF(AQ184="1",BH184,0)</f>
        <v>0</v>
      </c>
      <c r="AC184" s="10">
        <f>IF(AQ184="1",BI184,0)</f>
        <v>0</v>
      </c>
      <c r="AD184" s="10">
        <f>IF(AQ184="7",BH184,0)</f>
        <v>0</v>
      </c>
      <c r="AE184" s="10">
        <f>IF(AQ184="7",BI184,0)</f>
        <v>0</v>
      </c>
      <c r="AF184" s="10">
        <f>IF(AQ184="2",BH184,0)</f>
        <v>0</v>
      </c>
      <c r="AG184" s="10">
        <f>IF(AQ184="2",BI184,0)</f>
        <v>0</v>
      </c>
      <c r="AH184" s="10">
        <f>IF(AQ184="0",BJ184,0)</f>
        <v>0</v>
      </c>
      <c r="AI184" s="43" t="s">
        <v>44</v>
      </c>
      <c r="AJ184" s="10">
        <f>IF(AN184=0,L184,0)</f>
        <v>0</v>
      </c>
      <c r="AK184" s="10">
        <f>IF(AN184=15,L184,0)</f>
        <v>0</v>
      </c>
      <c r="AL184" s="10">
        <f>IF(AN184=21,L184,0)</f>
        <v>0</v>
      </c>
      <c r="AN184" s="10">
        <v>21</v>
      </c>
      <c r="AO184" s="10">
        <f>I184*0</f>
        <v>0</v>
      </c>
      <c r="AP184" s="10">
        <f>I184*(1-0)</f>
        <v>0</v>
      </c>
      <c r="AQ184" s="41" t="s">
        <v>46</v>
      </c>
      <c r="AV184" s="10">
        <f>AW184+AX184</f>
        <v>0</v>
      </c>
      <c r="AW184" s="10">
        <f>H184*AO184</f>
        <v>0</v>
      </c>
      <c r="AX184" s="10">
        <f>H184*AP184</f>
        <v>0</v>
      </c>
      <c r="AY184" s="41" t="s">
        <v>409</v>
      </c>
      <c r="AZ184" s="41" t="s">
        <v>402</v>
      </c>
      <c r="BA184" s="43" t="s">
        <v>51</v>
      </c>
      <c r="BC184" s="10">
        <f>AW184+AX184</f>
        <v>0</v>
      </c>
      <c r="BD184" s="10">
        <f>I184/(100-BE184)*100</f>
        <v>0</v>
      </c>
      <c r="BE184" s="10">
        <v>0</v>
      </c>
      <c r="BF184" s="10">
        <f>184</f>
        <v>184</v>
      </c>
      <c r="BH184" s="10">
        <f>H184*AO184</f>
        <v>0</v>
      </c>
      <c r="BI184" s="10">
        <f>H184*AP184</f>
        <v>0</v>
      </c>
      <c r="BJ184" s="10">
        <f>H184*I184</f>
        <v>0</v>
      </c>
      <c r="BK184" s="10"/>
      <c r="BL184" s="10">
        <v>94</v>
      </c>
    </row>
    <row r="185" spans="2:64" ht="15" customHeight="1">
      <c r="B185" s="25" t="s">
        <v>410</v>
      </c>
      <c r="C185" s="62" t="s">
        <v>411</v>
      </c>
      <c r="D185" s="62"/>
      <c r="E185" s="62"/>
      <c r="F185" s="62"/>
      <c r="G185" s="23" t="s">
        <v>48</v>
      </c>
      <c r="H185" s="10">
        <v>78.615</v>
      </c>
      <c r="I185" s="53">
        <v>0</v>
      </c>
      <c r="J185" s="10">
        <f>H185*AO185</f>
        <v>0</v>
      </c>
      <c r="K185" s="10">
        <f>H185*AP185</f>
        <v>0</v>
      </c>
      <c r="L185" s="10">
        <f>H185*I185</f>
        <v>0</v>
      </c>
      <c r="M185" s="47"/>
      <c r="Z185" s="10">
        <f>IF(AQ185="5",BJ185,0)</f>
        <v>0</v>
      </c>
      <c r="AB185" s="10">
        <f>IF(AQ185="1",BH185,0)</f>
        <v>0</v>
      </c>
      <c r="AC185" s="10">
        <f>IF(AQ185="1",BI185,0)</f>
        <v>0</v>
      </c>
      <c r="AD185" s="10">
        <f>IF(AQ185="7",BH185,0)</f>
        <v>0</v>
      </c>
      <c r="AE185" s="10">
        <f>IF(AQ185="7",BI185,0)</f>
        <v>0</v>
      </c>
      <c r="AF185" s="10">
        <f>IF(AQ185="2",BH185,0)</f>
        <v>0</v>
      </c>
      <c r="AG185" s="10">
        <f>IF(AQ185="2",BI185,0)</f>
        <v>0</v>
      </c>
      <c r="AH185" s="10">
        <f>IF(AQ185="0",BJ185,0)</f>
        <v>0</v>
      </c>
      <c r="AI185" s="43" t="s">
        <v>44</v>
      </c>
      <c r="AJ185" s="10">
        <f>IF(AN185=0,L185,0)</f>
        <v>0</v>
      </c>
      <c r="AK185" s="10">
        <f>IF(AN185=15,L185,0)</f>
        <v>0</v>
      </c>
      <c r="AL185" s="10">
        <f>IF(AN185=21,L185,0)</f>
        <v>0</v>
      </c>
      <c r="AN185" s="10">
        <v>21</v>
      </c>
      <c r="AO185" s="10">
        <f>I185*0.0008</f>
        <v>0</v>
      </c>
      <c r="AP185" s="10">
        <f>I185*(1-0.0008)</f>
        <v>0</v>
      </c>
      <c r="AQ185" s="41" t="s">
        <v>46</v>
      </c>
      <c r="AV185" s="10">
        <f>AW185+AX185</f>
        <v>0</v>
      </c>
      <c r="AW185" s="10">
        <f>H185*AO185</f>
        <v>0</v>
      </c>
      <c r="AX185" s="10">
        <f>H185*AP185</f>
        <v>0</v>
      </c>
      <c r="AY185" s="41" t="s">
        <v>409</v>
      </c>
      <c r="AZ185" s="41" t="s">
        <v>402</v>
      </c>
      <c r="BA185" s="43" t="s">
        <v>51</v>
      </c>
      <c r="BC185" s="10">
        <f>AW185+AX185</f>
        <v>0</v>
      </c>
      <c r="BD185" s="10">
        <f>I185/(100-BE185)*100</f>
        <v>0</v>
      </c>
      <c r="BE185" s="10">
        <v>0</v>
      </c>
      <c r="BF185" s="10">
        <f>185</f>
        <v>185</v>
      </c>
      <c r="BH185" s="10">
        <f>H185*AO185</f>
        <v>0</v>
      </c>
      <c r="BI185" s="10">
        <f>H185*AP185</f>
        <v>0</v>
      </c>
      <c r="BJ185" s="10">
        <f>H185*I185</f>
        <v>0</v>
      </c>
      <c r="BK185" s="10"/>
      <c r="BL185" s="10">
        <v>94</v>
      </c>
    </row>
    <row r="186" spans="2:64" ht="15" customHeight="1">
      <c r="B186" s="25" t="s">
        <v>412</v>
      </c>
      <c r="C186" s="62" t="s">
        <v>413</v>
      </c>
      <c r="D186" s="62"/>
      <c r="E186" s="62"/>
      <c r="F186" s="62"/>
      <c r="G186" s="23" t="s">
        <v>63</v>
      </c>
      <c r="H186" s="10">
        <v>157.23</v>
      </c>
      <c r="I186" s="53">
        <v>0</v>
      </c>
      <c r="J186" s="10">
        <f>H186*AO186</f>
        <v>0</v>
      </c>
      <c r="K186" s="10">
        <f>H186*AP186</f>
        <v>0</v>
      </c>
      <c r="L186" s="10">
        <f>H186*I186</f>
        <v>0</v>
      </c>
      <c r="M186" s="47"/>
      <c r="Z186" s="10">
        <f>IF(AQ186="5",BJ186,0)</f>
        <v>0</v>
      </c>
      <c r="AB186" s="10">
        <f>IF(AQ186="1",BH186,0)</f>
        <v>0</v>
      </c>
      <c r="AC186" s="10">
        <f>IF(AQ186="1",BI186,0)</f>
        <v>0</v>
      </c>
      <c r="AD186" s="10">
        <f>IF(AQ186="7",BH186,0)</f>
        <v>0</v>
      </c>
      <c r="AE186" s="10">
        <f>IF(AQ186="7",BI186,0)</f>
        <v>0</v>
      </c>
      <c r="AF186" s="10">
        <f>IF(AQ186="2",BH186,0)</f>
        <v>0</v>
      </c>
      <c r="AG186" s="10">
        <f>IF(AQ186="2",BI186,0)</f>
        <v>0</v>
      </c>
      <c r="AH186" s="10">
        <f>IF(AQ186="0",BJ186,0)</f>
        <v>0</v>
      </c>
      <c r="AI186" s="43" t="s">
        <v>44</v>
      </c>
      <c r="AJ186" s="10">
        <f>IF(AN186=0,L186,0)</f>
        <v>0</v>
      </c>
      <c r="AK186" s="10">
        <f>IF(AN186=15,L186,0)</f>
        <v>0</v>
      </c>
      <c r="AL186" s="10">
        <f>IF(AN186=21,L186,0)</f>
        <v>0</v>
      </c>
      <c r="AN186" s="10">
        <v>21</v>
      </c>
      <c r="AO186" s="10">
        <f>I186*0.418257491494907</f>
        <v>0</v>
      </c>
      <c r="AP186" s="10">
        <f>I186*(1-0.418257491494907)</f>
        <v>0</v>
      </c>
      <c r="AQ186" s="41" t="s">
        <v>46</v>
      </c>
      <c r="AV186" s="10">
        <f>AW186+AX186</f>
        <v>0</v>
      </c>
      <c r="AW186" s="10">
        <f>H186*AO186</f>
        <v>0</v>
      </c>
      <c r="AX186" s="10">
        <f>H186*AP186</f>
        <v>0</v>
      </c>
      <c r="AY186" s="41" t="s">
        <v>409</v>
      </c>
      <c r="AZ186" s="41" t="s">
        <v>402</v>
      </c>
      <c r="BA186" s="43" t="s">
        <v>51</v>
      </c>
      <c r="BC186" s="10">
        <f>AW186+AX186</f>
        <v>0</v>
      </c>
      <c r="BD186" s="10">
        <f>I186/(100-BE186)*100</f>
        <v>0</v>
      </c>
      <c r="BE186" s="10">
        <v>0</v>
      </c>
      <c r="BF186" s="10">
        <f>186</f>
        <v>186</v>
      </c>
      <c r="BH186" s="10">
        <f>H186*AO186</f>
        <v>0</v>
      </c>
      <c r="BI186" s="10">
        <f>H186*AP186</f>
        <v>0</v>
      </c>
      <c r="BJ186" s="10">
        <f>H186*I186</f>
        <v>0</v>
      </c>
      <c r="BK186" s="10"/>
      <c r="BL186" s="10">
        <v>94</v>
      </c>
    </row>
    <row r="187" spans="2:64" ht="15" customHeight="1">
      <c r="B187" s="25" t="s">
        <v>414</v>
      </c>
      <c r="C187" s="62" t="s">
        <v>415</v>
      </c>
      <c r="D187" s="62"/>
      <c r="E187" s="62"/>
      <c r="F187" s="62"/>
      <c r="G187" s="23" t="s">
        <v>48</v>
      </c>
      <c r="H187" s="10">
        <v>78.615</v>
      </c>
      <c r="I187" s="53">
        <v>0</v>
      </c>
      <c r="J187" s="10">
        <f>H187*AO187</f>
        <v>0</v>
      </c>
      <c r="K187" s="10">
        <f>H187*AP187</f>
        <v>0</v>
      </c>
      <c r="L187" s="10">
        <f>H187*I187</f>
        <v>0</v>
      </c>
      <c r="M187" s="47"/>
      <c r="Z187" s="10">
        <f>IF(AQ187="5",BJ187,0)</f>
        <v>0</v>
      </c>
      <c r="AB187" s="10">
        <f>IF(AQ187="1",BH187,0)</f>
        <v>0</v>
      </c>
      <c r="AC187" s="10">
        <f>IF(AQ187="1",BI187,0)</f>
        <v>0</v>
      </c>
      <c r="AD187" s="10">
        <f>IF(AQ187="7",BH187,0)</f>
        <v>0</v>
      </c>
      <c r="AE187" s="10">
        <f>IF(AQ187="7",BI187,0)</f>
        <v>0</v>
      </c>
      <c r="AF187" s="10">
        <f>IF(AQ187="2",BH187,0)</f>
        <v>0</v>
      </c>
      <c r="AG187" s="10">
        <f>IF(AQ187="2",BI187,0)</f>
        <v>0</v>
      </c>
      <c r="AH187" s="10">
        <f>IF(AQ187="0",BJ187,0)</f>
        <v>0</v>
      </c>
      <c r="AI187" s="43" t="s">
        <v>44</v>
      </c>
      <c r="AJ187" s="10">
        <f>IF(AN187=0,L187,0)</f>
        <v>0</v>
      </c>
      <c r="AK187" s="10">
        <f>IF(AN187=15,L187,0)</f>
        <v>0</v>
      </c>
      <c r="AL187" s="10">
        <f>IF(AN187=21,L187,0)</f>
        <v>0</v>
      </c>
      <c r="AN187" s="10">
        <v>21</v>
      </c>
      <c r="AO187" s="10">
        <f>I187*0</f>
        <v>0</v>
      </c>
      <c r="AP187" s="10">
        <f>I187*(1-0)</f>
        <v>0</v>
      </c>
      <c r="AQ187" s="41" t="s">
        <v>46</v>
      </c>
      <c r="AV187" s="10">
        <f>AW187+AX187</f>
        <v>0</v>
      </c>
      <c r="AW187" s="10">
        <f>H187*AO187</f>
        <v>0</v>
      </c>
      <c r="AX187" s="10">
        <f>H187*AP187</f>
        <v>0</v>
      </c>
      <c r="AY187" s="41" t="s">
        <v>409</v>
      </c>
      <c r="AZ187" s="41" t="s">
        <v>402</v>
      </c>
      <c r="BA187" s="43" t="s">
        <v>51</v>
      </c>
      <c r="BC187" s="10">
        <f>AW187+AX187</f>
        <v>0</v>
      </c>
      <c r="BD187" s="10">
        <f>I187/(100-BE187)*100</f>
        <v>0</v>
      </c>
      <c r="BE187" s="10">
        <v>0</v>
      </c>
      <c r="BF187" s="10">
        <f>187</f>
        <v>187</v>
      </c>
      <c r="BH187" s="10">
        <f>H187*AO187</f>
        <v>0</v>
      </c>
      <c r="BI187" s="10">
        <f>H187*AP187</f>
        <v>0</v>
      </c>
      <c r="BJ187" s="10">
        <f>H187*I187</f>
        <v>0</v>
      </c>
      <c r="BK187" s="10"/>
      <c r="BL187" s="10">
        <v>94</v>
      </c>
    </row>
    <row r="188" spans="2:47" ht="15" customHeight="1">
      <c r="B188" s="14" t="s">
        <v>44</v>
      </c>
      <c r="C188" s="78" t="s">
        <v>416</v>
      </c>
      <c r="D188" s="78"/>
      <c r="E188" s="78"/>
      <c r="F188" s="78"/>
      <c r="G188" s="19" t="s">
        <v>4</v>
      </c>
      <c r="H188" s="19" t="s">
        <v>4</v>
      </c>
      <c r="I188" s="19" t="s">
        <v>4</v>
      </c>
      <c r="J188" s="28">
        <f>SUM(J189:J190)</f>
        <v>0</v>
      </c>
      <c r="K188" s="28">
        <f>SUM(K189:K190)</f>
        <v>0</v>
      </c>
      <c r="L188" s="28">
        <f>SUM(L189:L190)</f>
        <v>0</v>
      </c>
      <c r="M188" s="2"/>
      <c r="AI188" s="43" t="s">
        <v>44</v>
      </c>
      <c r="AS188" s="28">
        <f>SUM(AJ189:AJ190)</f>
        <v>0</v>
      </c>
      <c r="AT188" s="28">
        <f>SUM(AK189:AK190)</f>
        <v>0</v>
      </c>
      <c r="AU188" s="28">
        <f>SUM(AL189:AL190)</f>
        <v>0</v>
      </c>
    </row>
    <row r="189" spans="2:64" ht="15" customHeight="1">
      <c r="B189" s="25" t="s">
        <v>417</v>
      </c>
      <c r="C189" s="62" t="s">
        <v>418</v>
      </c>
      <c r="D189" s="62"/>
      <c r="E189" s="62"/>
      <c r="F189" s="62"/>
      <c r="G189" s="23" t="s">
        <v>63</v>
      </c>
      <c r="H189" s="10">
        <v>9720</v>
      </c>
      <c r="I189" s="53">
        <v>0</v>
      </c>
      <c r="J189" s="10">
        <f>H189*AO189</f>
        <v>0</v>
      </c>
      <c r="K189" s="10">
        <f>H189*AP189</f>
        <v>0</v>
      </c>
      <c r="L189" s="10">
        <f>H189*I189</f>
        <v>0</v>
      </c>
      <c r="M189" s="47"/>
      <c r="Z189" s="10">
        <f>IF(AQ189="5",BJ189,0)</f>
        <v>0</v>
      </c>
      <c r="AB189" s="10">
        <f>IF(AQ189="1",BH189,0)</f>
        <v>0</v>
      </c>
      <c r="AC189" s="10">
        <f>IF(AQ189="1",BI189,0)</f>
        <v>0</v>
      </c>
      <c r="AD189" s="10">
        <f>IF(AQ189="7",BH189,0)</f>
        <v>0</v>
      </c>
      <c r="AE189" s="10">
        <f>IF(AQ189="7",BI189,0)</f>
        <v>0</v>
      </c>
      <c r="AF189" s="10">
        <f>IF(AQ189="2",BH189,0)</f>
        <v>0</v>
      </c>
      <c r="AG189" s="10">
        <f>IF(AQ189="2",BI189,0)</f>
        <v>0</v>
      </c>
      <c r="AH189" s="10">
        <f>IF(AQ189="0",BJ189,0)</f>
        <v>0</v>
      </c>
      <c r="AI189" s="43" t="s">
        <v>44</v>
      </c>
      <c r="AJ189" s="10">
        <f>IF(AN189=0,L189,0)</f>
        <v>0</v>
      </c>
      <c r="AK189" s="10">
        <f>IF(AN189=15,L189,0)</f>
        <v>0</v>
      </c>
      <c r="AL189" s="10">
        <f>IF(AN189=21,L189,0)</f>
        <v>0</v>
      </c>
      <c r="AN189" s="10">
        <v>21</v>
      </c>
      <c r="AO189" s="10">
        <f>I189*0</f>
        <v>0</v>
      </c>
      <c r="AP189" s="10">
        <f>I189*(1-0)</f>
        <v>0</v>
      </c>
      <c r="AQ189" s="41" t="s">
        <v>46</v>
      </c>
      <c r="AV189" s="10">
        <f>AW189+AX189</f>
        <v>0</v>
      </c>
      <c r="AW189" s="10">
        <f>H189*AO189</f>
        <v>0</v>
      </c>
      <c r="AX189" s="10">
        <f>H189*AP189</f>
        <v>0</v>
      </c>
      <c r="AY189" s="41" t="s">
        <v>419</v>
      </c>
      <c r="AZ189" s="41" t="s">
        <v>402</v>
      </c>
      <c r="BA189" s="43" t="s">
        <v>51</v>
      </c>
      <c r="BC189" s="10">
        <f>AW189+AX189</f>
        <v>0</v>
      </c>
      <c r="BD189" s="10">
        <f>I189/(100-BE189)*100</f>
        <v>0</v>
      </c>
      <c r="BE189" s="10">
        <v>0</v>
      </c>
      <c r="BF189" s="10">
        <f>189</f>
        <v>189</v>
      </c>
      <c r="BH189" s="10">
        <f>H189*AO189</f>
        <v>0</v>
      </c>
      <c r="BI189" s="10">
        <f>H189*AP189</f>
        <v>0</v>
      </c>
      <c r="BJ189" s="10">
        <f>H189*I189</f>
        <v>0</v>
      </c>
      <c r="BK189" s="10"/>
      <c r="BL189" s="10">
        <v>95</v>
      </c>
    </row>
    <row r="190" spans="2:64" ht="15" customHeight="1">
      <c r="B190" s="25" t="s">
        <v>420</v>
      </c>
      <c r="C190" s="62" t="s">
        <v>421</v>
      </c>
      <c r="D190" s="62"/>
      <c r="E190" s="62"/>
      <c r="F190" s="62"/>
      <c r="G190" s="23" t="s">
        <v>60</v>
      </c>
      <c r="H190" s="10">
        <v>10</v>
      </c>
      <c r="I190" s="53">
        <v>0</v>
      </c>
      <c r="J190" s="10">
        <f>H190*AO190</f>
        <v>0</v>
      </c>
      <c r="K190" s="10">
        <f>H190*AP190</f>
        <v>0</v>
      </c>
      <c r="L190" s="10">
        <f>H190*I190</f>
        <v>0</v>
      </c>
      <c r="M190" s="47"/>
      <c r="Z190" s="10">
        <f>IF(AQ190="5",BJ190,0)</f>
        <v>0</v>
      </c>
      <c r="AB190" s="10">
        <f>IF(AQ190="1",BH190,0)</f>
        <v>0</v>
      </c>
      <c r="AC190" s="10">
        <f>IF(AQ190="1",BI190,0)</f>
        <v>0</v>
      </c>
      <c r="AD190" s="10">
        <f>IF(AQ190="7",BH190,0)</f>
        <v>0</v>
      </c>
      <c r="AE190" s="10">
        <f>IF(AQ190="7",BI190,0)</f>
        <v>0</v>
      </c>
      <c r="AF190" s="10">
        <f>IF(AQ190="2",BH190,0)</f>
        <v>0</v>
      </c>
      <c r="AG190" s="10">
        <f>IF(AQ190="2",BI190,0)</f>
        <v>0</v>
      </c>
      <c r="AH190" s="10">
        <f>IF(AQ190="0",BJ190,0)</f>
        <v>0</v>
      </c>
      <c r="AI190" s="43" t="s">
        <v>44</v>
      </c>
      <c r="AJ190" s="10">
        <f>IF(AN190=0,L190,0)</f>
        <v>0</v>
      </c>
      <c r="AK190" s="10">
        <f>IF(AN190=15,L190,0)</f>
        <v>0</v>
      </c>
      <c r="AL190" s="10">
        <f>IF(AN190=21,L190,0)</f>
        <v>0</v>
      </c>
      <c r="AN190" s="10">
        <v>21</v>
      </c>
      <c r="AO190" s="10">
        <f>I190*0.0579085583462393</f>
        <v>0</v>
      </c>
      <c r="AP190" s="10">
        <f>I190*(1-0.0579085583462393)</f>
        <v>0</v>
      </c>
      <c r="AQ190" s="41" t="s">
        <v>46</v>
      </c>
      <c r="AV190" s="10">
        <f>AW190+AX190</f>
        <v>0</v>
      </c>
      <c r="AW190" s="10">
        <f>H190*AO190</f>
        <v>0</v>
      </c>
      <c r="AX190" s="10">
        <f>H190*AP190</f>
        <v>0</v>
      </c>
      <c r="AY190" s="41" t="s">
        <v>419</v>
      </c>
      <c r="AZ190" s="41" t="s">
        <v>402</v>
      </c>
      <c r="BA190" s="43" t="s">
        <v>51</v>
      </c>
      <c r="BC190" s="10">
        <f>AW190+AX190</f>
        <v>0</v>
      </c>
      <c r="BD190" s="10">
        <f>I190/(100-BE190)*100</f>
        <v>0</v>
      </c>
      <c r="BE190" s="10">
        <v>0</v>
      </c>
      <c r="BF190" s="10">
        <f>190</f>
        <v>190</v>
      </c>
      <c r="BH190" s="10">
        <f>H190*AO190</f>
        <v>0</v>
      </c>
      <c r="BI190" s="10">
        <f>H190*AP190</f>
        <v>0</v>
      </c>
      <c r="BJ190" s="10">
        <f>H190*I190</f>
        <v>0</v>
      </c>
      <c r="BK190" s="10"/>
      <c r="BL190" s="10">
        <v>95</v>
      </c>
    </row>
    <row r="191" spans="2:47" ht="15" customHeight="1">
      <c r="B191" s="14" t="s">
        <v>44</v>
      </c>
      <c r="C191" s="78" t="s">
        <v>422</v>
      </c>
      <c r="D191" s="78"/>
      <c r="E191" s="78"/>
      <c r="F191" s="78"/>
      <c r="G191" s="19" t="s">
        <v>4</v>
      </c>
      <c r="H191" s="19" t="s">
        <v>4</v>
      </c>
      <c r="I191" s="19" t="s">
        <v>4</v>
      </c>
      <c r="J191" s="28">
        <f>SUM(J192:J199)</f>
        <v>0</v>
      </c>
      <c r="K191" s="28">
        <f>SUM(K192:K199)</f>
        <v>0</v>
      </c>
      <c r="L191" s="28">
        <f>SUM(L192:L199)</f>
        <v>0</v>
      </c>
      <c r="M191" s="2"/>
      <c r="AI191" s="43" t="s">
        <v>44</v>
      </c>
      <c r="AS191" s="28">
        <f>SUM(AJ192:AJ199)</f>
        <v>0</v>
      </c>
      <c r="AT191" s="28">
        <f>SUM(AK192:AK199)</f>
        <v>0</v>
      </c>
      <c r="AU191" s="28">
        <f>SUM(AL192:AL199)</f>
        <v>0</v>
      </c>
    </row>
    <row r="192" spans="2:64" ht="15" customHeight="1">
      <c r="B192" s="25" t="s">
        <v>423</v>
      </c>
      <c r="C192" s="62" t="s">
        <v>424</v>
      </c>
      <c r="D192" s="62"/>
      <c r="E192" s="62"/>
      <c r="F192" s="62"/>
      <c r="G192" s="23" t="s">
        <v>60</v>
      </c>
      <c r="H192" s="10">
        <v>44</v>
      </c>
      <c r="I192" s="53">
        <v>0</v>
      </c>
      <c r="J192" s="10">
        <f aca="true" t="shared" si="198" ref="J192:J199">H192*AO192</f>
        <v>0</v>
      </c>
      <c r="K192" s="10">
        <f aca="true" t="shared" si="199" ref="K192:K199">H192*AP192</f>
        <v>0</v>
      </c>
      <c r="L192" s="10">
        <f aca="true" t="shared" si="200" ref="L192:L199">H192*I192</f>
        <v>0</v>
      </c>
      <c r="M192" s="47"/>
      <c r="Z192" s="10">
        <f aca="true" t="shared" si="201" ref="Z192:Z199">IF(AQ192="5",BJ192,0)</f>
        <v>0</v>
      </c>
      <c r="AB192" s="10">
        <f aca="true" t="shared" si="202" ref="AB192:AB199">IF(AQ192="1",BH192,0)</f>
        <v>0</v>
      </c>
      <c r="AC192" s="10">
        <f aca="true" t="shared" si="203" ref="AC192:AC199">IF(AQ192="1",BI192,0)</f>
        <v>0</v>
      </c>
      <c r="AD192" s="10">
        <f aca="true" t="shared" si="204" ref="AD192:AD199">IF(AQ192="7",BH192,0)</f>
        <v>0</v>
      </c>
      <c r="AE192" s="10">
        <f aca="true" t="shared" si="205" ref="AE192:AE199">IF(AQ192="7",BI192,0)</f>
        <v>0</v>
      </c>
      <c r="AF192" s="10">
        <f aca="true" t="shared" si="206" ref="AF192:AF199">IF(AQ192="2",BH192,0)</f>
        <v>0</v>
      </c>
      <c r="AG192" s="10">
        <f aca="true" t="shared" si="207" ref="AG192:AG199">IF(AQ192="2",BI192,0)</f>
        <v>0</v>
      </c>
      <c r="AH192" s="10">
        <f aca="true" t="shared" si="208" ref="AH192:AH199">IF(AQ192="0",BJ192,0)</f>
        <v>0</v>
      </c>
      <c r="AI192" s="43" t="s">
        <v>44</v>
      </c>
      <c r="AJ192" s="10">
        <f aca="true" t="shared" si="209" ref="AJ192:AJ199">IF(AN192=0,L192,0)</f>
        <v>0</v>
      </c>
      <c r="AK192" s="10">
        <f aca="true" t="shared" si="210" ref="AK192:AK199">IF(AN192=15,L192,0)</f>
        <v>0</v>
      </c>
      <c r="AL192" s="10">
        <f aca="true" t="shared" si="211" ref="AL192:AL199">IF(AN192=21,L192,0)</f>
        <v>0</v>
      </c>
      <c r="AN192" s="10">
        <v>21</v>
      </c>
      <c r="AO192" s="10">
        <f>I192*0</f>
        <v>0</v>
      </c>
      <c r="AP192" s="10">
        <f>I192*(1-0)</f>
        <v>0</v>
      </c>
      <c r="AQ192" s="41" t="s">
        <v>46</v>
      </c>
      <c r="AV192" s="10">
        <f aca="true" t="shared" si="212" ref="AV192:AV199">AW192+AX192</f>
        <v>0</v>
      </c>
      <c r="AW192" s="10">
        <f aca="true" t="shared" si="213" ref="AW192:AW199">H192*AO192</f>
        <v>0</v>
      </c>
      <c r="AX192" s="10">
        <f aca="true" t="shared" si="214" ref="AX192:AX199">H192*AP192</f>
        <v>0</v>
      </c>
      <c r="AY192" s="41" t="s">
        <v>425</v>
      </c>
      <c r="AZ192" s="41" t="s">
        <v>402</v>
      </c>
      <c r="BA192" s="43" t="s">
        <v>51</v>
      </c>
      <c r="BC192" s="10">
        <f aca="true" t="shared" si="215" ref="BC192:BC199">AW192+AX192</f>
        <v>0</v>
      </c>
      <c r="BD192" s="10">
        <f aca="true" t="shared" si="216" ref="BD192:BD199">I192/(100-BE192)*100</f>
        <v>0</v>
      </c>
      <c r="BE192" s="10">
        <v>0</v>
      </c>
      <c r="BF192" s="10">
        <f>192</f>
        <v>192</v>
      </c>
      <c r="BH192" s="10">
        <f aca="true" t="shared" si="217" ref="BH192:BH199">H192*AO192</f>
        <v>0</v>
      </c>
      <c r="BI192" s="10">
        <f aca="true" t="shared" si="218" ref="BI192:BI199">H192*AP192</f>
        <v>0</v>
      </c>
      <c r="BJ192" s="10">
        <f aca="true" t="shared" si="219" ref="BJ192:BJ199">H192*I192</f>
        <v>0</v>
      </c>
      <c r="BK192" s="10"/>
      <c r="BL192" s="10">
        <v>96</v>
      </c>
    </row>
    <row r="193" spans="2:64" ht="15" customHeight="1">
      <c r="B193" s="25" t="s">
        <v>426</v>
      </c>
      <c r="C193" s="62" t="s">
        <v>427</v>
      </c>
      <c r="D193" s="62"/>
      <c r="E193" s="62"/>
      <c r="F193" s="62"/>
      <c r="G193" s="23" t="s">
        <v>63</v>
      </c>
      <c r="H193" s="10">
        <v>161</v>
      </c>
      <c r="I193" s="53">
        <v>0</v>
      </c>
      <c r="J193" s="10">
        <f t="shared" si="198"/>
        <v>0</v>
      </c>
      <c r="K193" s="10">
        <f t="shared" si="199"/>
        <v>0</v>
      </c>
      <c r="L193" s="10">
        <f t="shared" si="200"/>
        <v>0</v>
      </c>
      <c r="M193" s="47"/>
      <c r="Z193" s="10">
        <f t="shared" si="201"/>
        <v>0</v>
      </c>
      <c r="AB193" s="10">
        <f t="shared" si="202"/>
        <v>0</v>
      </c>
      <c r="AC193" s="10">
        <f t="shared" si="203"/>
        <v>0</v>
      </c>
      <c r="AD193" s="10">
        <f t="shared" si="204"/>
        <v>0</v>
      </c>
      <c r="AE193" s="10">
        <f t="shared" si="205"/>
        <v>0</v>
      </c>
      <c r="AF193" s="10">
        <f t="shared" si="206"/>
        <v>0</v>
      </c>
      <c r="AG193" s="10">
        <f t="shared" si="207"/>
        <v>0</v>
      </c>
      <c r="AH193" s="10">
        <f t="shared" si="208"/>
        <v>0</v>
      </c>
      <c r="AI193" s="43" t="s">
        <v>44</v>
      </c>
      <c r="AJ193" s="10">
        <f t="shared" si="209"/>
        <v>0</v>
      </c>
      <c r="AK193" s="10">
        <f t="shared" si="210"/>
        <v>0</v>
      </c>
      <c r="AL193" s="10">
        <f t="shared" si="211"/>
        <v>0</v>
      </c>
      <c r="AN193" s="10">
        <v>21</v>
      </c>
      <c r="AO193" s="10">
        <f>I193*0.179389925747542</f>
        <v>0</v>
      </c>
      <c r="AP193" s="10">
        <f>I193*(1-0.179389925747542)</f>
        <v>0</v>
      </c>
      <c r="AQ193" s="41" t="s">
        <v>46</v>
      </c>
      <c r="AV193" s="10">
        <f t="shared" si="212"/>
        <v>0</v>
      </c>
      <c r="AW193" s="10">
        <f t="shared" si="213"/>
        <v>0</v>
      </c>
      <c r="AX193" s="10">
        <f t="shared" si="214"/>
        <v>0</v>
      </c>
      <c r="AY193" s="41" t="s">
        <v>425</v>
      </c>
      <c r="AZ193" s="41" t="s">
        <v>402</v>
      </c>
      <c r="BA193" s="43" t="s">
        <v>51</v>
      </c>
      <c r="BC193" s="10">
        <f t="shared" si="215"/>
        <v>0</v>
      </c>
      <c r="BD193" s="10">
        <f t="shared" si="216"/>
        <v>0</v>
      </c>
      <c r="BE193" s="10">
        <v>0</v>
      </c>
      <c r="BF193" s="10">
        <f>193</f>
        <v>193</v>
      </c>
      <c r="BH193" s="10">
        <f t="shared" si="217"/>
        <v>0</v>
      </c>
      <c r="BI193" s="10">
        <f t="shared" si="218"/>
        <v>0</v>
      </c>
      <c r="BJ193" s="10">
        <f t="shared" si="219"/>
        <v>0</v>
      </c>
      <c r="BK193" s="10"/>
      <c r="BL193" s="10">
        <v>96</v>
      </c>
    </row>
    <row r="194" spans="2:64" ht="15" customHeight="1">
      <c r="B194" s="25" t="s">
        <v>428</v>
      </c>
      <c r="C194" s="62" t="s">
        <v>429</v>
      </c>
      <c r="D194" s="62"/>
      <c r="E194" s="62"/>
      <c r="F194" s="62"/>
      <c r="G194" s="23" t="s">
        <v>63</v>
      </c>
      <c r="H194" s="10">
        <v>230.14</v>
      </c>
      <c r="I194" s="53">
        <v>0</v>
      </c>
      <c r="J194" s="10">
        <f t="shared" si="198"/>
        <v>0</v>
      </c>
      <c r="K194" s="10">
        <f t="shared" si="199"/>
        <v>0</v>
      </c>
      <c r="L194" s="10">
        <f t="shared" si="200"/>
        <v>0</v>
      </c>
      <c r="M194" s="47"/>
      <c r="Z194" s="10">
        <f t="shared" si="201"/>
        <v>0</v>
      </c>
      <c r="AB194" s="10">
        <f t="shared" si="202"/>
        <v>0</v>
      </c>
      <c r="AC194" s="10">
        <f t="shared" si="203"/>
        <v>0</v>
      </c>
      <c r="AD194" s="10">
        <f t="shared" si="204"/>
        <v>0</v>
      </c>
      <c r="AE194" s="10">
        <f t="shared" si="205"/>
        <v>0</v>
      </c>
      <c r="AF194" s="10">
        <f t="shared" si="206"/>
        <v>0</v>
      </c>
      <c r="AG194" s="10">
        <f t="shared" si="207"/>
        <v>0</v>
      </c>
      <c r="AH194" s="10">
        <f t="shared" si="208"/>
        <v>0</v>
      </c>
      <c r="AI194" s="43" t="s">
        <v>44</v>
      </c>
      <c r="AJ194" s="10">
        <f t="shared" si="209"/>
        <v>0</v>
      </c>
      <c r="AK194" s="10">
        <f t="shared" si="210"/>
        <v>0</v>
      </c>
      <c r="AL194" s="10">
        <f t="shared" si="211"/>
        <v>0</v>
      </c>
      <c r="AN194" s="10">
        <v>21</v>
      </c>
      <c r="AO194" s="10">
        <f>I194*0</f>
        <v>0</v>
      </c>
      <c r="AP194" s="10">
        <f>I194*(1-0)</f>
        <v>0</v>
      </c>
      <c r="AQ194" s="41" t="s">
        <v>46</v>
      </c>
      <c r="AV194" s="10">
        <f t="shared" si="212"/>
        <v>0</v>
      </c>
      <c r="AW194" s="10">
        <f t="shared" si="213"/>
        <v>0</v>
      </c>
      <c r="AX194" s="10">
        <f t="shared" si="214"/>
        <v>0</v>
      </c>
      <c r="AY194" s="41" t="s">
        <v>425</v>
      </c>
      <c r="AZ194" s="41" t="s">
        <v>402</v>
      </c>
      <c r="BA194" s="43" t="s">
        <v>51</v>
      </c>
      <c r="BC194" s="10">
        <f t="shared" si="215"/>
        <v>0</v>
      </c>
      <c r="BD194" s="10">
        <f t="shared" si="216"/>
        <v>0</v>
      </c>
      <c r="BE194" s="10">
        <v>0</v>
      </c>
      <c r="BF194" s="10">
        <f>194</f>
        <v>194</v>
      </c>
      <c r="BH194" s="10">
        <f t="shared" si="217"/>
        <v>0</v>
      </c>
      <c r="BI194" s="10">
        <f t="shared" si="218"/>
        <v>0</v>
      </c>
      <c r="BJ194" s="10">
        <f t="shared" si="219"/>
        <v>0</v>
      </c>
      <c r="BK194" s="10"/>
      <c r="BL194" s="10">
        <v>96</v>
      </c>
    </row>
    <row r="195" spans="2:64" ht="15" customHeight="1">
      <c r="B195" s="25" t="s">
        <v>430</v>
      </c>
      <c r="C195" s="62" t="s">
        <v>431</v>
      </c>
      <c r="D195" s="62"/>
      <c r="E195" s="62"/>
      <c r="F195" s="62"/>
      <c r="G195" s="23" t="s">
        <v>48</v>
      </c>
      <c r="H195" s="10">
        <v>5.7535</v>
      </c>
      <c r="I195" s="53">
        <v>0</v>
      </c>
      <c r="J195" s="10">
        <f t="shared" si="198"/>
        <v>0</v>
      </c>
      <c r="K195" s="10">
        <f t="shared" si="199"/>
        <v>0</v>
      </c>
      <c r="L195" s="10">
        <f t="shared" si="200"/>
        <v>0</v>
      </c>
      <c r="M195" s="47"/>
      <c r="Z195" s="10">
        <f t="shared" si="201"/>
        <v>0</v>
      </c>
      <c r="AB195" s="10">
        <f t="shared" si="202"/>
        <v>0</v>
      </c>
      <c r="AC195" s="10">
        <f t="shared" si="203"/>
        <v>0</v>
      </c>
      <c r="AD195" s="10">
        <f t="shared" si="204"/>
        <v>0</v>
      </c>
      <c r="AE195" s="10">
        <f t="shared" si="205"/>
        <v>0</v>
      </c>
      <c r="AF195" s="10">
        <f t="shared" si="206"/>
        <v>0</v>
      </c>
      <c r="AG195" s="10">
        <f t="shared" si="207"/>
        <v>0</v>
      </c>
      <c r="AH195" s="10">
        <f t="shared" si="208"/>
        <v>0</v>
      </c>
      <c r="AI195" s="43" t="s">
        <v>44</v>
      </c>
      <c r="AJ195" s="10">
        <f t="shared" si="209"/>
        <v>0</v>
      </c>
      <c r="AK195" s="10">
        <f t="shared" si="210"/>
        <v>0</v>
      </c>
      <c r="AL195" s="10">
        <f t="shared" si="211"/>
        <v>0</v>
      </c>
      <c r="AN195" s="10">
        <v>21</v>
      </c>
      <c r="AO195" s="10">
        <f>I195*0</f>
        <v>0</v>
      </c>
      <c r="AP195" s="10">
        <f>I195*(1-0)</f>
        <v>0</v>
      </c>
      <c r="AQ195" s="41" t="s">
        <v>46</v>
      </c>
      <c r="AV195" s="10">
        <f t="shared" si="212"/>
        <v>0</v>
      </c>
      <c r="AW195" s="10">
        <f t="shared" si="213"/>
        <v>0</v>
      </c>
      <c r="AX195" s="10">
        <f t="shared" si="214"/>
        <v>0</v>
      </c>
      <c r="AY195" s="41" t="s">
        <v>425</v>
      </c>
      <c r="AZ195" s="41" t="s">
        <v>402</v>
      </c>
      <c r="BA195" s="43" t="s">
        <v>51</v>
      </c>
      <c r="BC195" s="10">
        <f t="shared" si="215"/>
        <v>0</v>
      </c>
      <c r="BD195" s="10">
        <f t="shared" si="216"/>
        <v>0</v>
      </c>
      <c r="BE195" s="10">
        <v>0</v>
      </c>
      <c r="BF195" s="10">
        <f>195</f>
        <v>195</v>
      </c>
      <c r="BH195" s="10">
        <f t="shared" si="217"/>
        <v>0</v>
      </c>
      <c r="BI195" s="10">
        <f t="shared" si="218"/>
        <v>0</v>
      </c>
      <c r="BJ195" s="10">
        <f t="shared" si="219"/>
        <v>0</v>
      </c>
      <c r="BK195" s="10"/>
      <c r="BL195" s="10">
        <v>96</v>
      </c>
    </row>
    <row r="196" spans="2:64" ht="15" customHeight="1">
      <c r="B196" s="25" t="s">
        <v>432</v>
      </c>
      <c r="C196" s="62" t="s">
        <v>433</v>
      </c>
      <c r="D196" s="62"/>
      <c r="E196" s="62"/>
      <c r="F196" s="62"/>
      <c r="G196" s="23" t="s">
        <v>55</v>
      </c>
      <c r="H196" s="10">
        <v>64.1</v>
      </c>
      <c r="I196" s="53">
        <v>0</v>
      </c>
      <c r="J196" s="10">
        <f t="shared" si="198"/>
        <v>0</v>
      </c>
      <c r="K196" s="10">
        <f t="shared" si="199"/>
        <v>0</v>
      </c>
      <c r="L196" s="10">
        <f t="shared" si="200"/>
        <v>0</v>
      </c>
      <c r="M196" s="47"/>
      <c r="Z196" s="10">
        <f t="shared" si="201"/>
        <v>0</v>
      </c>
      <c r="AB196" s="10">
        <f t="shared" si="202"/>
        <v>0</v>
      </c>
      <c r="AC196" s="10">
        <f t="shared" si="203"/>
        <v>0</v>
      </c>
      <c r="AD196" s="10">
        <f t="shared" si="204"/>
        <v>0</v>
      </c>
      <c r="AE196" s="10">
        <f t="shared" si="205"/>
        <v>0</v>
      </c>
      <c r="AF196" s="10">
        <f t="shared" si="206"/>
        <v>0</v>
      </c>
      <c r="AG196" s="10">
        <f t="shared" si="207"/>
        <v>0</v>
      </c>
      <c r="AH196" s="10">
        <f t="shared" si="208"/>
        <v>0</v>
      </c>
      <c r="AI196" s="43" t="s">
        <v>44</v>
      </c>
      <c r="AJ196" s="10">
        <f t="shared" si="209"/>
        <v>0</v>
      </c>
      <c r="AK196" s="10">
        <f t="shared" si="210"/>
        <v>0</v>
      </c>
      <c r="AL196" s="10">
        <f t="shared" si="211"/>
        <v>0</v>
      </c>
      <c r="AN196" s="10">
        <v>21</v>
      </c>
      <c r="AO196" s="10">
        <f>I196*0</f>
        <v>0</v>
      </c>
      <c r="AP196" s="10">
        <f>I196*(1-0)</f>
        <v>0</v>
      </c>
      <c r="AQ196" s="41" t="s">
        <v>46</v>
      </c>
      <c r="AV196" s="10">
        <f t="shared" si="212"/>
        <v>0</v>
      </c>
      <c r="AW196" s="10">
        <f t="shared" si="213"/>
        <v>0</v>
      </c>
      <c r="AX196" s="10">
        <f t="shared" si="214"/>
        <v>0</v>
      </c>
      <c r="AY196" s="41" t="s">
        <v>425</v>
      </c>
      <c r="AZ196" s="41" t="s">
        <v>402</v>
      </c>
      <c r="BA196" s="43" t="s">
        <v>51</v>
      </c>
      <c r="BC196" s="10">
        <f t="shared" si="215"/>
        <v>0</v>
      </c>
      <c r="BD196" s="10">
        <f t="shared" si="216"/>
        <v>0</v>
      </c>
      <c r="BE196" s="10">
        <v>0</v>
      </c>
      <c r="BF196" s="10">
        <f>196</f>
        <v>196</v>
      </c>
      <c r="BH196" s="10">
        <f t="shared" si="217"/>
        <v>0</v>
      </c>
      <c r="BI196" s="10">
        <f t="shared" si="218"/>
        <v>0</v>
      </c>
      <c r="BJ196" s="10">
        <f t="shared" si="219"/>
        <v>0</v>
      </c>
      <c r="BK196" s="10"/>
      <c r="BL196" s="10">
        <v>96</v>
      </c>
    </row>
    <row r="197" spans="2:64" ht="15" customHeight="1">
      <c r="B197" s="25" t="s">
        <v>434</v>
      </c>
      <c r="C197" s="62" t="s">
        <v>435</v>
      </c>
      <c r="D197" s="62"/>
      <c r="E197" s="62"/>
      <c r="F197" s="62"/>
      <c r="G197" s="23" t="s">
        <v>244</v>
      </c>
      <c r="H197" s="10">
        <v>116.4685</v>
      </c>
      <c r="I197" s="53">
        <v>0</v>
      </c>
      <c r="J197" s="10">
        <f t="shared" si="198"/>
        <v>0</v>
      </c>
      <c r="K197" s="10">
        <f t="shared" si="199"/>
        <v>0</v>
      </c>
      <c r="L197" s="10">
        <f t="shared" si="200"/>
        <v>0</v>
      </c>
      <c r="M197" s="47"/>
      <c r="Z197" s="10">
        <f t="shared" si="201"/>
        <v>0</v>
      </c>
      <c r="AB197" s="10">
        <f t="shared" si="202"/>
        <v>0</v>
      </c>
      <c r="AC197" s="10">
        <f t="shared" si="203"/>
        <v>0</v>
      </c>
      <c r="AD197" s="10">
        <f t="shared" si="204"/>
        <v>0</v>
      </c>
      <c r="AE197" s="10">
        <f t="shared" si="205"/>
        <v>0</v>
      </c>
      <c r="AF197" s="10">
        <f t="shared" si="206"/>
        <v>0</v>
      </c>
      <c r="AG197" s="10">
        <f t="shared" si="207"/>
        <v>0</v>
      </c>
      <c r="AH197" s="10">
        <f t="shared" si="208"/>
        <v>0</v>
      </c>
      <c r="AI197" s="43" t="s">
        <v>44</v>
      </c>
      <c r="AJ197" s="10">
        <f t="shared" si="209"/>
        <v>0</v>
      </c>
      <c r="AK197" s="10">
        <f t="shared" si="210"/>
        <v>0</v>
      </c>
      <c r="AL197" s="10">
        <f t="shared" si="211"/>
        <v>0</v>
      </c>
      <c r="AN197" s="10">
        <v>21</v>
      </c>
      <c r="AO197" s="10">
        <f>I197*0</f>
        <v>0</v>
      </c>
      <c r="AP197" s="10">
        <f>I197*(1-0)</f>
        <v>0</v>
      </c>
      <c r="AQ197" s="41" t="s">
        <v>64</v>
      </c>
      <c r="AV197" s="10">
        <f t="shared" si="212"/>
        <v>0</v>
      </c>
      <c r="AW197" s="10">
        <f t="shared" si="213"/>
        <v>0</v>
      </c>
      <c r="AX197" s="10">
        <f t="shared" si="214"/>
        <v>0</v>
      </c>
      <c r="AY197" s="41" t="s">
        <v>425</v>
      </c>
      <c r="AZ197" s="41" t="s">
        <v>402</v>
      </c>
      <c r="BA197" s="43" t="s">
        <v>51</v>
      </c>
      <c r="BC197" s="10">
        <f t="shared" si="215"/>
        <v>0</v>
      </c>
      <c r="BD197" s="10">
        <f t="shared" si="216"/>
        <v>0</v>
      </c>
      <c r="BE197" s="10">
        <v>0</v>
      </c>
      <c r="BF197" s="10">
        <f>197</f>
        <v>197</v>
      </c>
      <c r="BH197" s="10">
        <f t="shared" si="217"/>
        <v>0</v>
      </c>
      <c r="BI197" s="10">
        <f t="shared" si="218"/>
        <v>0</v>
      </c>
      <c r="BJ197" s="10">
        <f t="shared" si="219"/>
        <v>0</v>
      </c>
      <c r="BK197" s="10"/>
      <c r="BL197" s="10">
        <v>96</v>
      </c>
    </row>
    <row r="198" spans="2:64" ht="15" customHeight="1">
      <c r="B198" s="25" t="s">
        <v>436</v>
      </c>
      <c r="C198" s="62" t="s">
        <v>437</v>
      </c>
      <c r="D198" s="62"/>
      <c r="E198" s="62"/>
      <c r="F198" s="62"/>
      <c r="G198" s="23" t="s">
        <v>244</v>
      </c>
      <c r="H198" s="10">
        <v>160.8085</v>
      </c>
      <c r="I198" s="53">
        <v>0</v>
      </c>
      <c r="J198" s="10">
        <f t="shared" si="198"/>
        <v>0</v>
      </c>
      <c r="K198" s="10">
        <f t="shared" si="199"/>
        <v>0</v>
      </c>
      <c r="L198" s="10">
        <f t="shared" si="200"/>
        <v>0</v>
      </c>
      <c r="M198" s="47"/>
      <c r="Z198" s="10">
        <f t="shared" si="201"/>
        <v>0</v>
      </c>
      <c r="AB198" s="10">
        <f t="shared" si="202"/>
        <v>0</v>
      </c>
      <c r="AC198" s="10">
        <f t="shared" si="203"/>
        <v>0</v>
      </c>
      <c r="AD198" s="10">
        <f t="shared" si="204"/>
        <v>0</v>
      </c>
      <c r="AE198" s="10">
        <f t="shared" si="205"/>
        <v>0</v>
      </c>
      <c r="AF198" s="10">
        <f t="shared" si="206"/>
        <v>0</v>
      </c>
      <c r="AG198" s="10">
        <f t="shared" si="207"/>
        <v>0</v>
      </c>
      <c r="AH198" s="10">
        <f t="shared" si="208"/>
        <v>0</v>
      </c>
      <c r="AI198" s="43" t="s">
        <v>44</v>
      </c>
      <c r="AJ198" s="10">
        <f t="shared" si="209"/>
        <v>0</v>
      </c>
      <c r="AK198" s="10">
        <f t="shared" si="210"/>
        <v>0</v>
      </c>
      <c r="AL198" s="10">
        <f t="shared" si="211"/>
        <v>0</v>
      </c>
      <c r="AN198" s="10">
        <v>21</v>
      </c>
      <c r="AO198" s="10">
        <f>I198*0</f>
        <v>0</v>
      </c>
      <c r="AP198" s="10">
        <f>I198*(1-0)</f>
        <v>0</v>
      </c>
      <c r="AQ198" s="41" t="s">
        <v>64</v>
      </c>
      <c r="AV198" s="10">
        <f t="shared" si="212"/>
        <v>0</v>
      </c>
      <c r="AW198" s="10">
        <f t="shared" si="213"/>
        <v>0</v>
      </c>
      <c r="AX198" s="10">
        <f t="shared" si="214"/>
        <v>0</v>
      </c>
      <c r="AY198" s="41" t="s">
        <v>425</v>
      </c>
      <c r="AZ198" s="41" t="s">
        <v>402</v>
      </c>
      <c r="BA198" s="43" t="s">
        <v>51</v>
      </c>
      <c r="BC198" s="10">
        <f t="shared" si="215"/>
        <v>0</v>
      </c>
      <c r="BD198" s="10">
        <f t="shared" si="216"/>
        <v>0</v>
      </c>
      <c r="BE198" s="10">
        <v>0</v>
      </c>
      <c r="BF198" s="10">
        <f>198</f>
        <v>198</v>
      </c>
      <c r="BH198" s="10">
        <f t="shared" si="217"/>
        <v>0</v>
      </c>
      <c r="BI198" s="10">
        <f t="shared" si="218"/>
        <v>0</v>
      </c>
      <c r="BJ198" s="10">
        <f t="shared" si="219"/>
        <v>0</v>
      </c>
      <c r="BK198" s="10"/>
      <c r="BL198" s="10">
        <v>96</v>
      </c>
    </row>
    <row r="199" spans="2:64" ht="15" customHeight="1">
      <c r="B199" s="25" t="s">
        <v>438</v>
      </c>
      <c r="C199" s="62" t="s">
        <v>439</v>
      </c>
      <c r="D199" s="62"/>
      <c r="E199" s="62"/>
      <c r="F199" s="62"/>
      <c r="G199" s="23" t="s">
        <v>244</v>
      </c>
      <c r="H199" s="10">
        <v>116.4685</v>
      </c>
      <c r="I199" s="53">
        <v>0</v>
      </c>
      <c r="J199" s="10">
        <f t="shared" si="198"/>
        <v>0</v>
      </c>
      <c r="K199" s="10">
        <f t="shared" si="199"/>
        <v>0</v>
      </c>
      <c r="L199" s="10">
        <f t="shared" si="200"/>
        <v>0</v>
      </c>
      <c r="M199" s="47"/>
      <c r="Z199" s="10">
        <f t="shared" si="201"/>
        <v>0</v>
      </c>
      <c r="AB199" s="10">
        <f t="shared" si="202"/>
        <v>0</v>
      </c>
      <c r="AC199" s="10">
        <f t="shared" si="203"/>
        <v>0</v>
      </c>
      <c r="AD199" s="10">
        <f t="shared" si="204"/>
        <v>0</v>
      </c>
      <c r="AE199" s="10">
        <f t="shared" si="205"/>
        <v>0</v>
      </c>
      <c r="AF199" s="10">
        <f t="shared" si="206"/>
        <v>0</v>
      </c>
      <c r="AG199" s="10">
        <f t="shared" si="207"/>
        <v>0</v>
      </c>
      <c r="AH199" s="10">
        <f t="shared" si="208"/>
        <v>0</v>
      </c>
      <c r="AI199" s="43" t="s">
        <v>44</v>
      </c>
      <c r="AJ199" s="10">
        <f t="shared" si="209"/>
        <v>0</v>
      </c>
      <c r="AK199" s="10">
        <f t="shared" si="210"/>
        <v>0</v>
      </c>
      <c r="AL199" s="10">
        <f t="shared" si="211"/>
        <v>0</v>
      </c>
      <c r="AN199" s="10">
        <v>21</v>
      </c>
      <c r="AO199" s="10">
        <f>I199*0.00998699570855703</f>
        <v>0</v>
      </c>
      <c r="AP199" s="10">
        <f>I199*(1-0.00998699570855703)</f>
        <v>0</v>
      </c>
      <c r="AQ199" s="41" t="s">
        <v>64</v>
      </c>
      <c r="AV199" s="10">
        <f t="shared" si="212"/>
        <v>0</v>
      </c>
      <c r="AW199" s="10">
        <f t="shared" si="213"/>
        <v>0</v>
      </c>
      <c r="AX199" s="10">
        <f t="shared" si="214"/>
        <v>0</v>
      </c>
      <c r="AY199" s="41" t="s">
        <v>425</v>
      </c>
      <c r="AZ199" s="41" t="s">
        <v>402</v>
      </c>
      <c r="BA199" s="43" t="s">
        <v>51</v>
      </c>
      <c r="BC199" s="10">
        <f t="shared" si="215"/>
        <v>0</v>
      </c>
      <c r="BD199" s="10">
        <f t="shared" si="216"/>
        <v>0</v>
      </c>
      <c r="BE199" s="10">
        <v>0</v>
      </c>
      <c r="BF199" s="10">
        <f>199</f>
        <v>199</v>
      </c>
      <c r="BH199" s="10">
        <f t="shared" si="217"/>
        <v>0</v>
      </c>
      <c r="BI199" s="10">
        <f t="shared" si="218"/>
        <v>0</v>
      </c>
      <c r="BJ199" s="10">
        <f t="shared" si="219"/>
        <v>0</v>
      </c>
      <c r="BK199" s="10"/>
      <c r="BL199" s="10">
        <v>96</v>
      </c>
    </row>
    <row r="200" spans="2:47" ht="15" customHeight="1">
      <c r="B200" s="14" t="s">
        <v>44</v>
      </c>
      <c r="C200" s="78" t="s">
        <v>440</v>
      </c>
      <c r="D200" s="78"/>
      <c r="E200" s="78"/>
      <c r="F200" s="78"/>
      <c r="G200" s="19" t="s">
        <v>4</v>
      </c>
      <c r="H200" s="19" t="s">
        <v>4</v>
      </c>
      <c r="I200" s="19" t="s">
        <v>4</v>
      </c>
      <c r="J200" s="28">
        <f>SUM(J201:J209)</f>
        <v>0</v>
      </c>
      <c r="K200" s="28">
        <f>SUM(K201:K209)</f>
        <v>0</v>
      </c>
      <c r="L200" s="28">
        <f>SUM(L201:L209)</f>
        <v>0</v>
      </c>
      <c r="M200" s="2"/>
      <c r="AI200" s="43" t="s">
        <v>44</v>
      </c>
      <c r="AS200" s="28">
        <f>SUM(AJ201:AJ209)</f>
        <v>0</v>
      </c>
      <c r="AT200" s="28">
        <f>SUM(AK201:AK209)</f>
        <v>0</v>
      </c>
      <c r="AU200" s="28">
        <f>SUM(AL201:AL209)</f>
        <v>0</v>
      </c>
    </row>
    <row r="201" spans="2:64" ht="15" customHeight="1">
      <c r="B201" s="25" t="s">
        <v>441</v>
      </c>
      <c r="C201" s="62" t="s">
        <v>442</v>
      </c>
      <c r="D201" s="62"/>
      <c r="E201" s="62"/>
      <c r="F201" s="62"/>
      <c r="G201" s="23" t="s">
        <v>63</v>
      </c>
      <c r="H201" s="10">
        <v>301.86</v>
      </c>
      <c r="I201" s="53">
        <v>0</v>
      </c>
      <c r="J201" s="10">
        <f aca="true" t="shared" si="220" ref="J201:J209">H201*AO201</f>
        <v>0</v>
      </c>
      <c r="K201" s="10">
        <f aca="true" t="shared" si="221" ref="K201:K209">H201*AP201</f>
        <v>0</v>
      </c>
      <c r="L201" s="10">
        <f aca="true" t="shared" si="222" ref="L201:L209">H201*I201</f>
        <v>0</v>
      </c>
      <c r="M201" s="47"/>
      <c r="Z201" s="10">
        <f aca="true" t="shared" si="223" ref="Z201:Z209">IF(AQ201="5",BJ201,0)</f>
        <v>0</v>
      </c>
      <c r="AB201" s="10">
        <f aca="true" t="shared" si="224" ref="AB201:AB209">IF(AQ201="1",BH201,0)</f>
        <v>0</v>
      </c>
      <c r="AC201" s="10">
        <f aca="true" t="shared" si="225" ref="AC201:AC209">IF(AQ201="1",BI201,0)</f>
        <v>0</v>
      </c>
      <c r="AD201" s="10">
        <f aca="true" t="shared" si="226" ref="AD201:AD209">IF(AQ201="7",BH201,0)</f>
        <v>0</v>
      </c>
      <c r="AE201" s="10">
        <f aca="true" t="shared" si="227" ref="AE201:AE209">IF(AQ201="7",BI201,0)</f>
        <v>0</v>
      </c>
      <c r="AF201" s="10">
        <f aca="true" t="shared" si="228" ref="AF201:AF209">IF(AQ201="2",BH201,0)</f>
        <v>0</v>
      </c>
      <c r="AG201" s="10">
        <f aca="true" t="shared" si="229" ref="AG201:AG209">IF(AQ201="2",BI201,0)</f>
        <v>0</v>
      </c>
      <c r="AH201" s="10">
        <f aca="true" t="shared" si="230" ref="AH201:AH209">IF(AQ201="0",BJ201,0)</f>
        <v>0</v>
      </c>
      <c r="AI201" s="43" t="s">
        <v>44</v>
      </c>
      <c r="AJ201" s="10">
        <f aca="true" t="shared" si="231" ref="AJ201:AJ209">IF(AN201=0,L201,0)</f>
        <v>0</v>
      </c>
      <c r="AK201" s="10">
        <f aca="true" t="shared" si="232" ref="AK201:AK209">IF(AN201=15,L201,0)</f>
        <v>0</v>
      </c>
      <c r="AL201" s="10">
        <f aca="true" t="shared" si="233" ref="AL201:AL209">IF(AN201=21,L201,0)</f>
        <v>0</v>
      </c>
      <c r="AN201" s="10">
        <v>21</v>
      </c>
      <c r="AO201" s="10">
        <f>I201*0</f>
        <v>0</v>
      </c>
      <c r="AP201" s="10">
        <f>I201*(1-0)</f>
        <v>0</v>
      </c>
      <c r="AQ201" s="41" t="s">
        <v>46</v>
      </c>
      <c r="AV201" s="10">
        <f aca="true" t="shared" si="234" ref="AV201:AV209">AW201+AX201</f>
        <v>0</v>
      </c>
      <c r="AW201" s="10">
        <f aca="true" t="shared" si="235" ref="AW201:AW209">H201*AO201</f>
        <v>0</v>
      </c>
      <c r="AX201" s="10">
        <f aca="true" t="shared" si="236" ref="AX201:AX209">H201*AP201</f>
        <v>0</v>
      </c>
      <c r="AY201" s="41" t="s">
        <v>443</v>
      </c>
      <c r="AZ201" s="41" t="s">
        <v>402</v>
      </c>
      <c r="BA201" s="43" t="s">
        <v>51</v>
      </c>
      <c r="BC201" s="10">
        <f aca="true" t="shared" si="237" ref="BC201:BC209">AW201+AX201</f>
        <v>0</v>
      </c>
      <c r="BD201" s="10">
        <f aca="true" t="shared" si="238" ref="BD201:BD209">I201/(100-BE201)*100</f>
        <v>0</v>
      </c>
      <c r="BE201" s="10">
        <v>0</v>
      </c>
      <c r="BF201" s="10">
        <f>201</f>
        <v>201</v>
      </c>
      <c r="BH201" s="10">
        <f aca="true" t="shared" si="239" ref="BH201:BH209">H201*AO201</f>
        <v>0</v>
      </c>
      <c r="BI201" s="10">
        <f aca="true" t="shared" si="240" ref="BI201:BI209">H201*AP201</f>
        <v>0</v>
      </c>
      <c r="BJ201" s="10">
        <f aca="true" t="shared" si="241" ref="BJ201:BJ209">H201*I201</f>
        <v>0</v>
      </c>
      <c r="BK201" s="10"/>
      <c r="BL201" s="10">
        <v>97</v>
      </c>
    </row>
    <row r="202" spans="2:64" ht="15" customHeight="1">
      <c r="B202" s="25" t="s">
        <v>444</v>
      </c>
      <c r="C202" s="62" t="s">
        <v>445</v>
      </c>
      <c r="D202" s="62"/>
      <c r="E202" s="62"/>
      <c r="F202" s="62"/>
      <c r="G202" s="23" t="s">
        <v>60</v>
      </c>
      <c r="H202" s="10">
        <v>23</v>
      </c>
      <c r="I202" s="53">
        <v>0</v>
      </c>
      <c r="J202" s="10">
        <f t="shared" si="220"/>
        <v>0</v>
      </c>
      <c r="K202" s="10">
        <f t="shared" si="221"/>
        <v>0</v>
      </c>
      <c r="L202" s="10">
        <f t="shared" si="222"/>
        <v>0</v>
      </c>
      <c r="M202" s="47"/>
      <c r="Z202" s="10">
        <f t="shared" si="223"/>
        <v>0</v>
      </c>
      <c r="AB202" s="10">
        <f t="shared" si="224"/>
        <v>0</v>
      </c>
      <c r="AC202" s="10">
        <f t="shared" si="225"/>
        <v>0</v>
      </c>
      <c r="AD202" s="10">
        <f t="shared" si="226"/>
        <v>0</v>
      </c>
      <c r="AE202" s="10">
        <f t="shared" si="227"/>
        <v>0</v>
      </c>
      <c r="AF202" s="10">
        <f t="shared" si="228"/>
        <v>0</v>
      </c>
      <c r="AG202" s="10">
        <f t="shared" si="229"/>
        <v>0</v>
      </c>
      <c r="AH202" s="10">
        <f t="shared" si="230"/>
        <v>0</v>
      </c>
      <c r="AI202" s="43" t="s">
        <v>44</v>
      </c>
      <c r="AJ202" s="10">
        <f t="shared" si="231"/>
        <v>0</v>
      </c>
      <c r="AK202" s="10">
        <f t="shared" si="232"/>
        <v>0</v>
      </c>
      <c r="AL202" s="10">
        <f t="shared" si="233"/>
        <v>0</v>
      </c>
      <c r="AN202" s="10">
        <v>21</v>
      </c>
      <c r="AO202" s="10">
        <f>I202*0</f>
        <v>0</v>
      </c>
      <c r="AP202" s="10">
        <f>I202*(1-0)</f>
        <v>0</v>
      </c>
      <c r="AQ202" s="41" t="s">
        <v>46</v>
      </c>
      <c r="AV202" s="10">
        <f t="shared" si="234"/>
        <v>0</v>
      </c>
      <c r="AW202" s="10">
        <f t="shared" si="235"/>
        <v>0</v>
      </c>
      <c r="AX202" s="10">
        <f t="shared" si="236"/>
        <v>0</v>
      </c>
      <c r="AY202" s="41" t="s">
        <v>443</v>
      </c>
      <c r="AZ202" s="41" t="s">
        <v>402</v>
      </c>
      <c r="BA202" s="43" t="s">
        <v>51</v>
      </c>
      <c r="BC202" s="10">
        <f t="shared" si="237"/>
        <v>0</v>
      </c>
      <c r="BD202" s="10">
        <f t="shared" si="238"/>
        <v>0</v>
      </c>
      <c r="BE202" s="10">
        <v>0</v>
      </c>
      <c r="BF202" s="10">
        <f>202</f>
        <v>202</v>
      </c>
      <c r="BH202" s="10">
        <f t="shared" si="239"/>
        <v>0</v>
      </c>
      <c r="BI202" s="10">
        <f t="shared" si="240"/>
        <v>0</v>
      </c>
      <c r="BJ202" s="10">
        <f t="shared" si="241"/>
        <v>0</v>
      </c>
      <c r="BK202" s="10"/>
      <c r="BL202" s="10">
        <v>97</v>
      </c>
    </row>
    <row r="203" spans="2:64" ht="15" customHeight="1">
      <c r="B203" s="25" t="s">
        <v>446</v>
      </c>
      <c r="C203" s="62" t="s">
        <v>447</v>
      </c>
      <c r="D203" s="62"/>
      <c r="E203" s="62"/>
      <c r="F203" s="62"/>
      <c r="G203" s="23" t="s">
        <v>63</v>
      </c>
      <c r="H203" s="10">
        <v>73.98</v>
      </c>
      <c r="I203" s="53">
        <v>0</v>
      </c>
      <c r="J203" s="10">
        <f t="shared" si="220"/>
        <v>0</v>
      </c>
      <c r="K203" s="10">
        <f t="shared" si="221"/>
        <v>0</v>
      </c>
      <c r="L203" s="10">
        <f t="shared" si="222"/>
        <v>0</v>
      </c>
      <c r="M203" s="47"/>
      <c r="Z203" s="10">
        <f t="shared" si="223"/>
        <v>0</v>
      </c>
      <c r="AB203" s="10">
        <f t="shared" si="224"/>
        <v>0</v>
      </c>
      <c r="AC203" s="10">
        <f t="shared" si="225"/>
        <v>0</v>
      </c>
      <c r="AD203" s="10">
        <f t="shared" si="226"/>
        <v>0</v>
      </c>
      <c r="AE203" s="10">
        <f t="shared" si="227"/>
        <v>0</v>
      </c>
      <c r="AF203" s="10">
        <f t="shared" si="228"/>
        <v>0</v>
      </c>
      <c r="AG203" s="10">
        <f t="shared" si="229"/>
        <v>0</v>
      </c>
      <c r="AH203" s="10">
        <f t="shared" si="230"/>
        <v>0</v>
      </c>
      <c r="AI203" s="43" t="s">
        <v>44</v>
      </c>
      <c r="AJ203" s="10">
        <f t="shared" si="231"/>
        <v>0</v>
      </c>
      <c r="AK203" s="10">
        <f t="shared" si="232"/>
        <v>0</v>
      </c>
      <c r="AL203" s="10">
        <f t="shared" si="233"/>
        <v>0</v>
      </c>
      <c r="AN203" s="10">
        <v>21</v>
      </c>
      <c r="AO203" s="10">
        <f>I203*0.0110821470265925</f>
        <v>0</v>
      </c>
      <c r="AP203" s="10">
        <f>I203*(1-0.0110821470265925)</f>
        <v>0</v>
      </c>
      <c r="AQ203" s="41" t="s">
        <v>46</v>
      </c>
      <c r="AV203" s="10">
        <f t="shared" si="234"/>
        <v>0</v>
      </c>
      <c r="AW203" s="10">
        <f t="shared" si="235"/>
        <v>0</v>
      </c>
      <c r="AX203" s="10">
        <f t="shared" si="236"/>
        <v>0</v>
      </c>
      <c r="AY203" s="41" t="s">
        <v>443</v>
      </c>
      <c r="AZ203" s="41" t="s">
        <v>402</v>
      </c>
      <c r="BA203" s="43" t="s">
        <v>51</v>
      </c>
      <c r="BC203" s="10">
        <f t="shared" si="237"/>
        <v>0</v>
      </c>
      <c r="BD203" s="10">
        <f t="shared" si="238"/>
        <v>0</v>
      </c>
      <c r="BE203" s="10">
        <v>0</v>
      </c>
      <c r="BF203" s="10">
        <f>203</f>
        <v>203</v>
      </c>
      <c r="BH203" s="10">
        <f t="shared" si="239"/>
        <v>0</v>
      </c>
      <c r="BI203" s="10">
        <f t="shared" si="240"/>
        <v>0</v>
      </c>
      <c r="BJ203" s="10">
        <f t="shared" si="241"/>
        <v>0</v>
      </c>
      <c r="BK203" s="10"/>
      <c r="BL203" s="10">
        <v>97</v>
      </c>
    </row>
    <row r="204" spans="2:64" ht="15" customHeight="1">
      <c r="B204" s="25" t="s">
        <v>448</v>
      </c>
      <c r="C204" s="62" t="s">
        <v>449</v>
      </c>
      <c r="D204" s="62"/>
      <c r="E204" s="62"/>
      <c r="F204" s="62"/>
      <c r="G204" s="23" t="s">
        <v>63</v>
      </c>
      <c r="H204" s="10">
        <v>479.32</v>
      </c>
      <c r="I204" s="53">
        <v>0</v>
      </c>
      <c r="J204" s="10">
        <f t="shared" si="220"/>
        <v>0</v>
      </c>
      <c r="K204" s="10">
        <f t="shared" si="221"/>
        <v>0</v>
      </c>
      <c r="L204" s="10">
        <f t="shared" si="222"/>
        <v>0</v>
      </c>
      <c r="M204" s="47"/>
      <c r="Z204" s="10">
        <f t="shared" si="223"/>
        <v>0</v>
      </c>
      <c r="AB204" s="10">
        <f t="shared" si="224"/>
        <v>0</v>
      </c>
      <c r="AC204" s="10">
        <f t="shared" si="225"/>
        <v>0</v>
      </c>
      <c r="AD204" s="10">
        <f t="shared" si="226"/>
        <v>0</v>
      </c>
      <c r="AE204" s="10">
        <f t="shared" si="227"/>
        <v>0</v>
      </c>
      <c r="AF204" s="10">
        <f t="shared" si="228"/>
        <v>0</v>
      </c>
      <c r="AG204" s="10">
        <f t="shared" si="229"/>
        <v>0</v>
      </c>
      <c r="AH204" s="10">
        <f t="shared" si="230"/>
        <v>0</v>
      </c>
      <c r="AI204" s="43" t="s">
        <v>44</v>
      </c>
      <c r="AJ204" s="10">
        <f t="shared" si="231"/>
        <v>0</v>
      </c>
      <c r="AK204" s="10">
        <f t="shared" si="232"/>
        <v>0</v>
      </c>
      <c r="AL204" s="10">
        <f t="shared" si="233"/>
        <v>0</v>
      </c>
      <c r="AN204" s="10">
        <v>21</v>
      </c>
      <c r="AO204" s="10">
        <f>I204*0</f>
        <v>0</v>
      </c>
      <c r="AP204" s="10">
        <f>I204*(1-0)</f>
        <v>0</v>
      </c>
      <c r="AQ204" s="41" t="s">
        <v>46</v>
      </c>
      <c r="AV204" s="10">
        <f t="shared" si="234"/>
        <v>0</v>
      </c>
      <c r="AW204" s="10">
        <f t="shared" si="235"/>
        <v>0</v>
      </c>
      <c r="AX204" s="10">
        <f t="shared" si="236"/>
        <v>0</v>
      </c>
      <c r="AY204" s="41" t="s">
        <v>443</v>
      </c>
      <c r="AZ204" s="41" t="s">
        <v>402</v>
      </c>
      <c r="BA204" s="43" t="s">
        <v>51</v>
      </c>
      <c r="BC204" s="10">
        <f t="shared" si="237"/>
        <v>0</v>
      </c>
      <c r="BD204" s="10">
        <f t="shared" si="238"/>
        <v>0</v>
      </c>
      <c r="BE204" s="10">
        <v>0</v>
      </c>
      <c r="BF204" s="10">
        <f>204</f>
        <v>204</v>
      </c>
      <c r="BH204" s="10">
        <f t="shared" si="239"/>
        <v>0</v>
      </c>
      <c r="BI204" s="10">
        <f t="shared" si="240"/>
        <v>0</v>
      </c>
      <c r="BJ204" s="10">
        <f t="shared" si="241"/>
        <v>0</v>
      </c>
      <c r="BK204" s="10"/>
      <c r="BL204" s="10">
        <v>97</v>
      </c>
    </row>
    <row r="205" spans="2:64" ht="15" customHeight="1">
      <c r="B205" s="25" t="s">
        <v>450</v>
      </c>
      <c r="C205" s="62" t="s">
        <v>451</v>
      </c>
      <c r="D205" s="62"/>
      <c r="E205" s="62"/>
      <c r="F205" s="62"/>
      <c r="G205" s="23" t="s">
        <v>452</v>
      </c>
      <c r="H205" s="10">
        <v>120</v>
      </c>
      <c r="I205" s="53">
        <v>0</v>
      </c>
      <c r="J205" s="10">
        <f t="shared" si="220"/>
        <v>0</v>
      </c>
      <c r="K205" s="10">
        <f t="shared" si="221"/>
        <v>0</v>
      </c>
      <c r="L205" s="10">
        <f t="shared" si="222"/>
        <v>0</v>
      </c>
      <c r="M205" s="47"/>
      <c r="Z205" s="10">
        <f t="shared" si="223"/>
        <v>0</v>
      </c>
      <c r="AB205" s="10">
        <f t="shared" si="224"/>
        <v>0</v>
      </c>
      <c r="AC205" s="10">
        <f t="shared" si="225"/>
        <v>0</v>
      </c>
      <c r="AD205" s="10">
        <f t="shared" si="226"/>
        <v>0</v>
      </c>
      <c r="AE205" s="10">
        <f t="shared" si="227"/>
        <v>0</v>
      </c>
      <c r="AF205" s="10">
        <f t="shared" si="228"/>
        <v>0</v>
      </c>
      <c r="AG205" s="10">
        <f t="shared" si="229"/>
        <v>0</v>
      </c>
      <c r="AH205" s="10">
        <f t="shared" si="230"/>
        <v>0</v>
      </c>
      <c r="AI205" s="43" t="s">
        <v>44</v>
      </c>
      <c r="AJ205" s="10">
        <f t="shared" si="231"/>
        <v>0</v>
      </c>
      <c r="AK205" s="10">
        <f t="shared" si="232"/>
        <v>0</v>
      </c>
      <c r="AL205" s="10">
        <f t="shared" si="233"/>
        <v>0</v>
      </c>
      <c r="AN205" s="10">
        <v>21</v>
      </c>
      <c r="AO205" s="10">
        <f>I205*0</f>
        <v>0</v>
      </c>
      <c r="AP205" s="10">
        <f>I205*(1-0)</f>
        <v>0</v>
      </c>
      <c r="AQ205" s="41" t="s">
        <v>46</v>
      </c>
      <c r="AV205" s="10">
        <f t="shared" si="234"/>
        <v>0</v>
      </c>
      <c r="AW205" s="10">
        <f t="shared" si="235"/>
        <v>0</v>
      </c>
      <c r="AX205" s="10">
        <f t="shared" si="236"/>
        <v>0</v>
      </c>
      <c r="AY205" s="41" t="s">
        <v>443</v>
      </c>
      <c r="AZ205" s="41" t="s">
        <v>402</v>
      </c>
      <c r="BA205" s="43" t="s">
        <v>51</v>
      </c>
      <c r="BC205" s="10">
        <f t="shared" si="237"/>
        <v>0</v>
      </c>
      <c r="BD205" s="10">
        <f t="shared" si="238"/>
        <v>0</v>
      </c>
      <c r="BE205" s="10">
        <v>0</v>
      </c>
      <c r="BF205" s="10">
        <f>205</f>
        <v>205</v>
      </c>
      <c r="BH205" s="10">
        <f t="shared" si="239"/>
        <v>0</v>
      </c>
      <c r="BI205" s="10">
        <f t="shared" si="240"/>
        <v>0</v>
      </c>
      <c r="BJ205" s="10">
        <f t="shared" si="241"/>
        <v>0</v>
      </c>
      <c r="BK205" s="10"/>
      <c r="BL205" s="10">
        <v>97</v>
      </c>
    </row>
    <row r="206" spans="2:64" ht="15" customHeight="1">
      <c r="B206" s="25" t="s">
        <v>453</v>
      </c>
      <c r="C206" s="62" t="s">
        <v>454</v>
      </c>
      <c r="D206" s="62"/>
      <c r="E206" s="62"/>
      <c r="F206" s="62"/>
      <c r="G206" s="23" t="s">
        <v>63</v>
      </c>
      <c r="H206" s="10">
        <v>78.55</v>
      </c>
      <c r="I206" s="53">
        <v>0</v>
      </c>
      <c r="J206" s="10">
        <f t="shared" si="220"/>
        <v>0</v>
      </c>
      <c r="K206" s="10">
        <f t="shared" si="221"/>
        <v>0</v>
      </c>
      <c r="L206" s="10">
        <f t="shared" si="222"/>
        <v>0</v>
      </c>
      <c r="M206" s="47"/>
      <c r="Z206" s="10">
        <f t="shared" si="223"/>
        <v>0</v>
      </c>
      <c r="AB206" s="10">
        <f t="shared" si="224"/>
        <v>0</v>
      </c>
      <c r="AC206" s="10">
        <f t="shared" si="225"/>
        <v>0</v>
      </c>
      <c r="AD206" s="10">
        <f t="shared" si="226"/>
        <v>0</v>
      </c>
      <c r="AE206" s="10">
        <f t="shared" si="227"/>
        <v>0</v>
      </c>
      <c r="AF206" s="10">
        <f t="shared" si="228"/>
        <v>0</v>
      </c>
      <c r="AG206" s="10">
        <f t="shared" si="229"/>
        <v>0</v>
      </c>
      <c r="AH206" s="10">
        <f t="shared" si="230"/>
        <v>0</v>
      </c>
      <c r="AI206" s="43" t="s">
        <v>44</v>
      </c>
      <c r="AJ206" s="10">
        <f t="shared" si="231"/>
        <v>0</v>
      </c>
      <c r="AK206" s="10">
        <f t="shared" si="232"/>
        <v>0</v>
      </c>
      <c r="AL206" s="10">
        <f t="shared" si="233"/>
        <v>0</v>
      </c>
      <c r="AN206" s="10">
        <v>21</v>
      </c>
      <c r="AO206" s="10">
        <f>I206*0</f>
        <v>0</v>
      </c>
      <c r="AP206" s="10">
        <f>I206*(1-0)</f>
        <v>0</v>
      </c>
      <c r="AQ206" s="41" t="s">
        <v>46</v>
      </c>
      <c r="AV206" s="10">
        <f t="shared" si="234"/>
        <v>0</v>
      </c>
      <c r="AW206" s="10">
        <f t="shared" si="235"/>
        <v>0</v>
      </c>
      <c r="AX206" s="10">
        <f t="shared" si="236"/>
        <v>0</v>
      </c>
      <c r="AY206" s="41" t="s">
        <v>443</v>
      </c>
      <c r="AZ206" s="41" t="s">
        <v>402</v>
      </c>
      <c r="BA206" s="43" t="s">
        <v>51</v>
      </c>
      <c r="BC206" s="10">
        <f t="shared" si="237"/>
        <v>0</v>
      </c>
      <c r="BD206" s="10">
        <f t="shared" si="238"/>
        <v>0</v>
      </c>
      <c r="BE206" s="10">
        <v>0</v>
      </c>
      <c r="BF206" s="10">
        <f>206</f>
        <v>206</v>
      </c>
      <c r="BH206" s="10">
        <f t="shared" si="239"/>
        <v>0</v>
      </c>
      <c r="BI206" s="10">
        <f t="shared" si="240"/>
        <v>0</v>
      </c>
      <c r="BJ206" s="10">
        <f t="shared" si="241"/>
        <v>0</v>
      </c>
      <c r="BK206" s="10"/>
      <c r="BL206" s="10">
        <v>97</v>
      </c>
    </row>
    <row r="207" spans="2:64" ht="15" customHeight="1">
      <c r="B207" s="25" t="s">
        <v>455</v>
      </c>
      <c r="C207" s="62" t="s">
        <v>456</v>
      </c>
      <c r="D207" s="62"/>
      <c r="E207" s="62"/>
      <c r="F207" s="62"/>
      <c r="G207" s="23" t="s">
        <v>48</v>
      </c>
      <c r="H207" s="10">
        <v>2.808</v>
      </c>
      <c r="I207" s="53">
        <v>0</v>
      </c>
      <c r="J207" s="10">
        <f t="shared" si="220"/>
        <v>0</v>
      </c>
      <c r="K207" s="10">
        <f t="shared" si="221"/>
        <v>0</v>
      </c>
      <c r="L207" s="10">
        <f t="shared" si="222"/>
        <v>0</v>
      </c>
      <c r="M207" s="47"/>
      <c r="Z207" s="10">
        <f t="shared" si="223"/>
        <v>0</v>
      </c>
      <c r="AB207" s="10">
        <f t="shared" si="224"/>
        <v>0</v>
      </c>
      <c r="AC207" s="10">
        <f t="shared" si="225"/>
        <v>0</v>
      </c>
      <c r="AD207" s="10">
        <f t="shared" si="226"/>
        <v>0</v>
      </c>
      <c r="AE207" s="10">
        <f t="shared" si="227"/>
        <v>0</v>
      </c>
      <c r="AF207" s="10">
        <f t="shared" si="228"/>
        <v>0</v>
      </c>
      <c r="AG207" s="10">
        <f t="shared" si="229"/>
        <v>0</v>
      </c>
      <c r="AH207" s="10">
        <f t="shared" si="230"/>
        <v>0</v>
      </c>
      <c r="AI207" s="43" t="s">
        <v>44</v>
      </c>
      <c r="AJ207" s="10">
        <f t="shared" si="231"/>
        <v>0</v>
      </c>
      <c r="AK207" s="10">
        <f t="shared" si="232"/>
        <v>0</v>
      </c>
      <c r="AL207" s="10">
        <f t="shared" si="233"/>
        <v>0</v>
      </c>
      <c r="AN207" s="10">
        <v>21</v>
      </c>
      <c r="AO207" s="10">
        <f>I207*0.0110816044260028</f>
        <v>0</v>
      </c>
      <c r="AP207" s="10">
        <f>I207*(1-0.0110816044260028)</f>
        <v>0</v>
      </c>
      <c r="AQ207" s="41" t="s">
        <v>46</v>
      </c>
      <c r="AV207" s="10">
        <f t="shared" si="234"/>
        <v>0</v>
      </c>
      <c r="AW207" s="10">
        <f t="shared" si="235"/>
        <v>0</v>
      </c>
      <c r="AX207" s="10">
        <f t="shared" si="236"/>
        <v>0</v>
      </c>
      <c r="AY207" s="41" t="s">
        <v>443</v>
      </c>
      <c r="AZ207" s="41" t="s">
        <v>402</v>
      </c>
      <c r="BA207" s="43" t="s">
        <v>51</v>
      </c>
      <c r="BC207" s="10">
        <f t="shared" si="237"/>
        <v>0</v>
      </c>
      <c r="BD207" s="10">
        <f t="shared" si="238"/>
        <v>0</v>
      </c>
      <c r="BE207" s="10">
        <v>0</v>
      </c>
      <c r="BF207" s="10">
        <f>207</f>
        <v>207</v>
      </c>
      <c r="BH207" s="10">
        <f t="shared" si="239"/>
        <v>0</v>
      </c>
      <c r="BI207" s="10">
        <f t="shared" si="240"/>
        <v>0</v>
      </c>
      <c r="BJ207" s="10">
        <f t="shared" si="241"/>
        <v>0</v>
      </c>
      <c r="BK207" s="10"/>
      <c r="BL207" s="10">
        <v>97</v>
      </c>
    </row>
    <row r="208" spans="2:64" ht="15" customHeight="1">
      <c r="B208" s="25" t="s">
        <v>457</v>
      </c>
      <c r="C208" s="62" t="s">
        <v>458</v>
      </c>
      <c r="D208" s="62"/>
      <c r="E208" s="62"/>
      <c r="F208" s="62"/>
      <c r="G208" s="23" t="s">
        <v>55</v>
      </c>
      <c r="H208" s="10">
        <v>144</v>
      </c>
      <c r="I208" s="53">
        <v>0</v>
      </c>
      <c r="J208" s="10">
        <f t="shared" si="220"/>
        <v>0</v>
      </c>
      <c r="K208" s="10">
        <f t="shared" si="221"/>
        <v>0</v>
      </c>
      <c r="L208" s="10">
        <f t="shared" si="222"/>
        <v>0</v>
      </c>
      <c r="M208" s="47"/>
      <c r="Z208" s="10">
        <f t="shared" si="223"/>
        <v>0</v>
      </c>
      <c r="AB208" s="10">
        <f t="shared" si="224"/>
        <v>0</v>
      </c>
      <c r="AC208" s="10">
        <f t="shared" si="225"/>
        <v>0</v>
      </c>
      <c r="AD208" s="10">
        <f t="shared" si="226"/>
        <v>0</v>
      </c>
      <c r="AE208" s="10">
        <f t="shared" si="227"/>
        <v>0</v>
      </c>
      <c r="AF208" s="10">
        <f t="shared" si="228"/>
        <v>0</v>
      </c>
      <c r="AG208" s="10">
        <f t="shared" si="229"/>
        <v>0</v>
      </c>
      <c r="AH208" s="10">
        <f t="shared" si="230"/>
        <v>0</v>
      </c>
      <c r="AI208" s="43" t="s">
        <v>44</v>
      </c>
      <c r="AJ208" s="10">
        <f t="shared" si="231"/>
        <v>0</v>
      </c>
      <c r="AK208" s="10">
        <f t="shared" si="232"/>
        <v>0</v>
      </c>
      <c r="AL208" s="10">
        <f t="shared" si="233"/>
        <v>0</v>
      </c>
      <c r="AN208" s="10">
        <v>21</v>
      </c>
      <c r="AO208" s="10">
        <f>I208*0.144012944983819</f>
        <v>0</v>
      </c>
      <c r="AP208" s="10">
        <f>I208*(1-0.144012944983819)</f>
        <v>0</v>
      </c>
      <c r="AQ208" s="41" t="s">
        <v>46</v>
      </c>
      <c r="AV208" s="10">
        <f t="shared" si="234"/>
        <v>0</v>
      </c>
      <c r="AW208" s="10">
        <f t="shared" si="235"/>
        <v>0</v>
      </c>
      <c r="AX208" s="10">
        <f t="shared" si="236"/>
        <v>0</v>
      </c>
      <c r="AY208" s="41" t="s">
        <v>443</v>
      </c>
      <c r="AZ208" s="41" t="s">
        <v>402</v>
      </c>
      <c r="BA208" s="43" t="s">
        <v>51</v>
      </c>
      <c r="BC208" s="10">
        <f t="shared" si="237"/>
        <v>0</v>
      </c>
      <c r="BD208" s="10">
        <f t="shared" si="238"/>
        <v>0</v>
      </c>
      <c r="BE208" s="10">
        <v>0</v>
      </c>
      <c r="BF208" s="10">
        <f>208</f>
        <v>208</v>
      </c>
      <c r="BH208" s="10">
        <f t="shared" si="239"/>
        <v>0</v>
      </c>
      <c r="BI208" s="10">
        <f t="shared" si="240"/>
        <v>0</v>
      </c>
      <c r="BJ208" s="10">
        <f t="shared" si="241"/>
        <v>0</v>
      </c>
      <c r="BK208" s="10"/>
      <c r="BL208" s="10">
        <v>97</v>
      </c>
    </row>
    <row r="209" spans="2:64" ht="15" customHeight="1">
      <c r="B209" s="25" t="s">
        <v>459</v>
      </c>
      <c r="C209" s="62" t="s">
        <v>460</v>
      </c>
      <c r="D209" s="62"/>
      <c r="E209" s="62"/>
      <c r="F209" s="62"/>
      <c r="G209" s="23" t="s">
        <v>173</v>
      </c>
      <c r="H209" s="10">
        <v>8</v>
      </c>
      <c r="I209" s="53">
        <v>0</v>
      </c>
      <c r="J209" s="10">
        <f t="shared" si="220"/>
        <v>0</v>
      </c>
      <c r="K209" s="10">
        <f t="shared" si="221"/>
        <v>0</v>
      </c>
      <c r="L209" s="10">
        <f t="shared" si="222"/>
        <v>0</v>
      </c>
      <c r="M209" s="47"/>
      <c r="Z209" s="10">
        <f t="shared" si="223"/>
        <v>0</v>
      </c>
      <c r="AB209" s="10">
        <f t="shared" si="224"/>
        <v>0</v>
      </c>
      <c r="AC209" s="10">
        <f t="shared" si="225"/>
        <v>0</v>
      </c>
      <c r="AD209" s="10">
        <f t="shared" si="226"/>
        <v>0</v>
      </c>
      <c r="AE209" s="10">
        <f t="shared" si="227"/>
        <v>0</v>
      </c>
      <c r="AF209" s="10">
        <f t="shared" si="228"/>
        <v>0</v>
      </c>
      <c r="AG209" s="10">
        <f t="shared" si="229"/>
        <v>0</v>
      </c>
      <c r="AH209" s="10">
        <f t="shared" si="230"/>
        <v>0</v>
      </c>
      <c r="AI209" s="43" t="s">
        <v>44</v>
      </c>
      <c r="AJ209" s="10">
        <f t="shared" si="231"/>
        <v>0</v>
      </c>
      <c r="AK209" s="10">
        <f t="shared" si="232"/>
        <v>0</v>
      </c>
      <c r="AL209" s="10">
        <f t="shared" si="233"/>
        <v>0</v>
      </c>
      <c r="AN209" s="10">
        <v>21</v>
      </c>
      <c r="AO209" s="10">
        <f>I209*0.0370307692307692</f>
        <v>0</v>
      </c>
      <c r="AP209" s="10">
        <f>I209*(1-0.0370307692307692)</f>
        <v>0</v>
      </c>
      <c r="AQ209" s="41" t="s">
        <v>46</v>
      </c>
      <c r="AV209" s="10">
        <f t="shared" si="234"/>
        <v>0</v>
      </c>
      <c r="AW209" s="10">
        <f t="shared" si="235"/>
        <v>0</v>
      </c>
      <c r="AX209" s="10">
        <f t="shared" si="236"/>
        <v>0</v>
      </c>
      <c r="AY209" s="41" t="s">
        <v>443</v>
      </c>
      <c r="AZ209" s="41" t="s">
        <v>402</v>
      </c>
      <c r="BA209" s="43" t="s">
        <v>51</v>
      </c>
      <c r="BC209" s="10">
        <f t="shared" si="237"/>
        <v>0</v>
      </c>
      <c r="BD209" s="10">
        <f t="shared" si="238"/>
        <v>0</v>
      </c>
      <c r="BE209" s="10">
        <v>0</v>
      </c>
      <c r="BF209" s="10">
        <f>209</f>
        <v>209</v>
      </c>
      <c r="BH209" s="10">
        <f t="shared" si="239"/>
        <v>0</v>
      </c>
      <c r="BI209" s="10">
        <f t="shared" si="240"/>
        <v>0</v>
      </c>
      <c r="BJ209" s="10">
        <f t="shared" si="241"/>
        <v>0</v>
      </c>
      <c r="BK209" s="10"/>
      <c r="BL209" s="10">
        <v>97</v>
      </c>
    </row>
    <row r="210" spans="2:47" ht="15" customHeight="1">
      <c r="B210" s="14" t="s">
        <v>44</v>
      </c>
      <c r="C210" s="78" t="s">
        <v>461</v>
      </c>
      <c r="D210" s="78"/>
      <c r="E210" s="78"/>
      <c r="F210" s="78"/>
      <c r="G210" s="19" t="s">
        <v>4</v>
      </c>
      <c r="H210" s="19" t="s">
        <v>4</v>
      </c>
      <c r="I210" s="19" t="s">
        <v>4</v>
      </c>
      <c r="J210" s="28">
        <f>SUM(J211:J212)</f>
        <v>0</v>
      </c>
      <c r="K210" s="28">
        <f>SUM(K211:K212)</f>
        <v>0</v>
      </c>
      <c r="L210" s="28">
        <f>SUM(L211:L212)</f>
        <v>0</v>
      </c>
      <c r="M210" s="2"/>
      <c r="AI210" s="43" t="s">
        <v>44</v>
      </c>
      <c r="AS210" s="28">
        <f>SUM(AJ211:AJ212)</f>
        <v>0</v>
      </c>
      <c r="AT210" s="28">
        <f>SUM(AK211:AK212)</f>
        <v>0</v>
      </c>
      <c r="AU210" s="28">
        <f>SUM(AL211:AL212)</f>
        <v>0</v>
      </c>
    </row>
    <row r="211" spans="2:64" ht="15" customHeight="1">
      <c r="B211" s="25" t="s">
        <v>462</v>
      </c>
      <c r="C211" s="62" t="s">
        <v>463</v>
      </c>
      <c r="D211" s="62"/>
      <c r="E211" s="62"/>
      <c r="F211" s="62"/>
      <c r="G211" s="23" t="s">
        <v>244</v>
      </c>
      <c r="H211" s="10">
        <v>0.83</v>
      </c>
      <c r="I211" s="53">
        <v>0</v>
      </c>
      <c r="J211" s="10">
        <f>H211*AO211</f>
        <v>0</v>
      </c>
      <c r="K211" s="10">
        <f>H211*AP211</f>
        <v>0</v>
      </c>
      <c r="L211" s="10">
        <f>H211*I211</f>
        <v>0</v>
      </c>
      <c r="M211" s="47"/>
      <c r="Z211" s="10">
        <f>IF(AQ211="5",BJ211,0)</f>
        <v>0</v>
      </c>
      <c r="AB211" s="10">
        <f>IF(AQ211="1",BH211,0)</f>
        <v>0</v>
      </c>
      <c r="AC211" s="10">
        <f>IF(AQ211="1",BI211,0)</f>
        <v>0</v>
      </c>
      <c r="AD211" s="10">
        <f>IF(AQ211="7",BH211,0)</f>
        <v>0</v>
      </c>
      <c r="AE211" s="10">
        <f>IF(AQ211="7",BI211,0)</f>
        <v>0</v>
      </c>
      <c r="AF211" s="10">
        <f>IF(AQ211="2",BH211,0)</f>
        <v>0</v>
      </c>
      <c r="AG211" s="10">
        <f>IF(AQ211="2",BI211,0)</f>
        <v>0</v>
      </c>
      <c r="AH211" s="10">
        <f>IF(AQ211="0",BJ211,0)</f>
        <v>0</v>
      </c>
      <c r="AI211" s="43" t="s">
        <v>44</v>
      </c>
      <c r="AJ211" s="10">
        <f>IF(AN211=0,L211,0)</f>
        <v>0</v>
      </c>
      <c r="AK211" s="10">
        <f>IF(AN211=15,L211,0)</f>
        <v>0</v>
      </c>
      <c r="AL211" s="10">
        <f>IF(AN211=21,L211,0)</f>
        <v>0</v>
      </c>
      <c r="AN211" s="10">
        <v>21</v>
      </c>
      <c r="AO211" s="10">
        <f>I211*0</f>
        <v>0</v>
      </c>
      <c r="AP211" s="10">
        <f>I211*(1-0)</f>
        <v>0</v>
      </c>
      <c r="AQ211" s="41" t="s">
        <v>64</v>
      </c>
      <c r="AV211" s="10">
        <f>AW211+AX211</f>
        <v>0</v>
      </c>
      <c r="AW211" s="10">
        <f>H211*AO211</f>
        <v>0</v>
      </c>
      <c r="AX211" s="10">
        <f>H211*AP211</f>
        <v>0</v>
      </c>
      <c r="AY211" s="41" t="s">
        <v>464</v>
      </c>
      <c r="AZ211" s="41" t="s">
        <v>402</v>
      </c>
      <c r="BA211" s="43" t="s">
        <v>51</v>
      </c>
      <c r="BC211" s="10">
        <f>AW211+AX211</f>
        <v>0</v>
      </c>
      <c r="BD211" s="10">
        <f>I211/(100-BE211)*100</f>
        <v>0</v>
      </c>
      <c r="BE211" s="10">
        <v>0</v>
      </c>
      <c r="BF211" s="10">
        <f>211</f>
        <v>211</v>
      </c>
      <c r="BH211" s="10">
        <f>H211*AO211</f>
        <v>0</v>
      </c>
      <c r="BI211" s="10">
        <f>H211*AP211</f>
        <v>0</v>
      </c>
      <c r="BJ211" s="10">
        <f>H211*I211</f>
        <v>0</v>
      </c>
      <c r="BK211" s="10"/>
      <c r="BL211" s="10"/>
    </row>
    <row r="212" spans="2:64" ht="15" customHeight="1">
      <c r="B212" s="25" t="s">
        <v>465</v>
      </c>
      <c r="C212" s="62" t="s">
        <v>466</v>
      </c>
      <c r="D212" s="62"/>
      <c r="E212" s="62"/>
      <c r="F212" s="62"/>
      <c r="G212" s="23" t="s">
        <v>244</v>
      </c>
      <c r="H212" s="10">
        <v>0.83</v>
      </c>
      <c r="I212" s="53">
        <v>0</v>
      </c>
      <c r="J212" s="10">
        <f>H212*AO212</f>
        <v>0</v>
      </c>
      <c r="K212" s="10">
        <f>H212*AP212</f>
        <v>0</v>
      </c>
      <c r="L212" s="10">
        <f>H212*I212</f>
        <v>0</v>
      </c>
      <c r="M212" s="47"/>
      <c r="Z212" s="10">
        <f>IF(AQ212="5",BJ212,0)</f>
        <v>0</v>
      </c>
      <c r="AB212" s="10">
        <f>IF(AQ212="1",BH212,0)</f>
        <v>0</v>
      </c>
      <c r="AC212" s="10">
        <f>IF(AQ212="1",BI212,0)</f>
        <v>0</v>
      </c>
      <c r="AD212" s="10">
        <f>IF(AQ212="7",BH212,0)</f>
        <v>0</v>
      </c>
      <c r="AE212" s="10">
        <f>IF(AQ212="7",BI212,0)</f>
        <v>0</v>
      </c>
      <c r="AF212" s="10">
        <f>IF(AQ212="2",BH212,0)</f>
        <v>0</v>
      </c>
      <c r="AG212" s="10">
        <f>IF(AQ212="2",BI212,0)</f>
        <v>0</v>
      </c>
      <c r="AH212" s="10">
        <f>IF(AQ212="0",BJ212,0)</f>
        <v>0</v>
      </c>
      <c r="AI212" s="43" t="s">
        <v>44</v>
      </c>
      <c r="AJ212" s="10">
        <f>IF(AN212=0,L212,0)</f>
        <v>0</v>
      </c>
      <c r="AK212" s="10">
        <f>IF(AN212=15,L212,0)</f>
        <v>0</v>
      </c>
      <c r="AL212" s="10">
        <f>IF(AN212=21,L212,0)</f>
        <v>0</v>
      </c>
      <c r="AN212" s="10">
        <v>21</v>
      </c>
      <c r="AO212" s="10">
        <f>I212*0</f>
        <v>0</v>
      </c>
      <c r="AP212" s="10">
        <f>I212*(1-0)</f>
        <v>0</v>
      </c>
      <c r="AQ212" s="41" t="s">
        <v>64</v>
      </c>
      <c r="AV212" s="10">
        <f>AW212+AX212</f>
        <v>0</v>
      </c>
      <c r="AW212" s="10">
        <f>H212*AO212</f>
        <v>0</v>
      </c>
      <c r="AX212" s="10">
        <f>H212*AP212</f>
        <v>0</v>
      </c>
      <c r="AY212" s="41" t="s">
        <v>464</v>
      </c>
      <c r="AZ212" s="41" t="s">
        <v>402</v>
      </c>
      <c r="BA212" s="43" t="s">
        <v>51</v>
      </c>
      <c r="BC212" s="10">
        <f>AW212+AX212</f>
        <v>0</v>
      </c>
      <c r="BD212" s="10">
        <f>I212/(100-BE212)*100</f>
        <v>0</v>
      </c>
      <c r="BE212" s="10">
        <v>0</v>
      </c>
      <c r="BF212" s="10">
        <f>212</f>
        <v>212</v>
      </c>
      <c r="BH212" s="10">
        <f>H212*AO212</f>
        <v>0</v>
      </c>
      <c r="BI212" s="10">
        <f>H212*AP212</f>
        <v>0</v>
      </c>
      <c r="BJ212" s="10">
        <f>H212*I212</f>
        <v>0</v>
      </c>
      <c r="BK212" s="10"/>
      <c r="BL212" s="10"/>
    </row>
    <row r="213" spans="2:47" ht="15" customHeight="1">
      <c r="B213" s="14" t="s">
        <v>44</v>
      </c>
      <c r="C213" s="78" t="s">
        <v>467</v>
      </c>
      <c r="D213" s="78"/>
      <c r="E213" s="78"/>
      <c r="F213" s="78"/>
      <c r="G213" s="19" t="s">
        <v>4</v>
      </c>
      <c r="H213" s="19" t="s">
        <v>4</v>
      </c>
      <c r="I213" s="19" t="s">
        <v>4</v>
      </c>
      <c r="J213" s="28">
        <f>SUM(J214:J215)</f>
        <v>0</v>
      </c>
      <c r="K213" s="28">
        <f>SUM(K214:K215)</f>
        <v>0</v>
      </c>
      <c r="L213" s="28">
        <f>SUM(L214:L215)</f>
        <v>0</v>
      </c>
      <c r="M213" s="2"/>
      <c r="AI213" s="43" t="s">
        <v>44</v>
      </c>
      <c r="AS213" s="28">
        <f>SUM(AJ214:AJ215)</f>
        <v>0</v>
      </c>
      <c r="AT213" s="28">
        <f>SUM(AK214:AK215)</f>
        <v>0</v>
      </c>
      <c r="AU213" s="28">
        <f>SUM(AL214:AL215)</f>
        <v>0</v>
      </c>
    </row>
    <row r="214" spans="2:64" ht="15" customHeight="1">
      <c r="B214" s="25" t="s">
        <v>468</v>
      </c>
      <c r="C214" s="62" t="s">
        <v>469</v>
      </c>
      <c r="D214" s="62"/>
      <c r="E214" s="62"/>
      <c r="F214" s="62"/>
      <c r="G214" s="23" t="s">
        <v>244</v>
      </c>
      <c r="H214" s="10">
        <v>130.3381</v>
      </c>
      <c r="I214" s="53">
        <v>0</v>
      </c>
      <c r="J214" s="10">
        <f>H214*AO214</f>
        <v>0</v>
      </c>
      <c r="K214" s="10">
        <f>H214*AP214</f>
        <v>0</v>
      </c>
      <c r="L214" s="10">
        <f>H214*I214</f>
        <v>0</v>
      </c>
      <c r="M214" s="47"/>
      <c r="Z214" s="10">
        <f>IF(AQ214="5",BJ214,0)</f>
        <v>0</v>
      </c>
      <c r="AB214" s="10">
        <f>IF(AQ214="1",BH214,0)</f>
        <v>0</v>
      </c>
      <c r="AC214" s="10">
        <f>IF(AQ214="1",BI214,0)</f>
        <v>0</v>
      </c>
      <c r="AD214" s="10">
        <f>IF(AQ214="7",BH214,0)</f>
        <v>0</v>
      </c>
      <c r="AE214" s="10">
        <f>IF(AQ214="7",BI214,0)</f>
        <v>0</v>
      </c>
      <c r="AF214" s="10">
        <f>IF(AQ214="2",BH214,0)</f>
        <v>0</v>
      </c>
      <c r="AG214" s="10">
        <f>IF(AQ214="2",BI214,0)</f>
        <v>0</v>
      </c>
      <c r="AH214" s="10">
        <f>IF(AQ214="0",BJ214,0)</f>
        <v>0</v>
      </c>
      <c r="AI214" s="43" t="s">
        <v>44</v>
      </c>
      <c r="AJ214" s="10">
        <f>IF(AN214=0,L214,0)</f>
        <v>0</v>
      </c>
      <c r="AK214" s="10">
        <f>IF(AN214=15,L214,0)</f>
        <v>0</v>
      </c>
      <c r="AL214" s="10">
        <f>IF(AN214=21,L214,0)</f>
        <v>0</v>
      </c>
      <c r="AN214" s="10">
        <v>21</v>
      </c>
      <c r="AO214" s="10">
        <f>I214*0</f>
        <v>0</v>
      </c>
      <c r="AP214" s="10">
        <f>I214*(1-0)</f>
        <v>0</v>
      </c>
      <c r="AQ214" s="41" t="s">
        <v>64</v>
      </c>
      <c r="AV214" s="10">
        <f>AW214+AX214</f>
        <v>0</v>
      </c>
      <c r="AW214" s="10">
        <f>H214*AO214</f>
        <v>0</v>
      </c>
      <c r="AX214" s="10">
        <f>H214*AP214</f>
        <v>0</v>
      </c>
      <c r="AY214" s="41" t="s">
        <v>470</v>
      </c>
      <c r="AZ214" s="41" t="s">
        <v>402</v>
      </c>
      <c r="BA214" s="43" t="s">
        <v>51</v>
      </c>
      <c r="BC214" s="10">
        <f>AW214+AX214</f>
        <v>0</v>
      </c>
      <c r="BD214" s="10">
        <f>I214/(100-BE214)*100</f>
        <v>0</v>
      </c>
      <c r="BE214" s="10">
        <v>0</v>
      </c>
      <c r="BF214" s="10">
        <f>214</f>
        <v>214</v>
      </c>
      <c r="BH214" s="10">
        <f>H214*AO214</f>
        <v>0</v>
      </c>
      <c r="BI214" s="10">
        <f>H214*AP214</f>
        <v>0</v>
      </c>
      <c r="BJ214" s="10">
        <f>H214*I214</f>
        <v>0</v>
      </c>
      <c r="BK214" s="10"/>
      <c r="BL214" s="10"/>
    </row>
    <row r="215" spans="2:64" ht="15" customHeight="1">
      <c r="B215" s="25" t="s">
        <v>471</v>
      </c>
      <c r="C215" s="62" t="s">
        <v>472</v>
      </c>
      <c r="D215" s="62"/>
      <c r="E215" s="62"/>
      <c r="F215" s="62"/>
      <c r="G215" s="23" t="s">
        <v>244</v>
      </c>
      <c r="H215" s="10">
        <v>116.4685</v>
      </c>
      <c r="I215" s="53">
        <v>0</v>
      </c>
      <c r="J215" s="10">
        <f>H215*AO215</f>
        <v>0</v>
      </c>
      <c r="K215" s="10">
        <f>H215*AP215</f>
        <v>0</v>
      </c>
      <c r="L215" s="10">
        <f>H215*I215</f>
        <v>0</v>
      </c>
      <c r="M215" s="47"/>
      <c r="Z215" s="10">
        <f>IF(AQ215="5",BJ215,0)</f>
        <v>0</v>
      </c>
      <c r="AB215" s="10">
        <f>IF(AQ215="1",BH215,0)</f>
        <v>0</v>
      </c>
      <c r="AC215" s="10">
        <f>IF(AQ215="1",BI215,0)</f>
        <v>0</v>
      </c>
      <c r="AD215" s="10">
        <f>IF(AQ215="7",BH215,0)</f>
        <v>0</v>
      </c>
      <c r="AE215" s="10">
        <f>IF(AQ215="7",BI215,0)</f>
        <v>0</v>
      </c>
      <c r="AF215" s="10">
        <f>IF(AQ215="2",BH215,0)</f>
        <v>0</v>
      </c>
      <c r="AG215" s="10">
        <f>IF(AQ215="2",BI215,0)</f>
        <v>0</v>
      </c>
      <c r="AH215" s="10">
        <f>IF(AQ215="0",BJ215,0)</f>
        <v>0</v>
      </c>
      <c r="AI215" s="43" t="s">
        <v>44</v>
      </c>
      <c r="AJ215" s="10">
        <f>IF(AN215=0,L215,0)</f>
        <v>0</v>
      </c>
      <c r="AK215" s="10">
        <f>IF(AN215=15,L215,0)</f>
        <v>0</v>
      </c>
      <c r="AL215" s="10">
        <f>IF(AN215=21,L215,0)</f>
        <v>0</v>
      </c>
      <c r="AN215" s="10">
        <v>21</v>
      </c>
      <c r="AO215" s="10">
        <f>I215*0</f>
        <v>0</v>
      </c>
      <c r="AP215" s="10">
        <f>I215*(1-0)</f>
        <v>0</v>
      </c>
      <c r="AQ215" s="41" t="s">
        <v>64</v>
      </c>
      <c r="AV215" s="10">
        <f>AW215+AX215</f>
        <v>0</v>
      </c>
      <c r="AW215" s="10">
        <f>H215*AO215</f>
        <v>0</v>
      </c>
      <c r="AX215" s="10">
        <f>H215*AP215</f>
        <v>0</v>
      </c>
      <c r="AY215" s="41" t="s">
        <v>470</v>
      </c>
      <c r="AZ215" s="41" t="s">
        <v>402</v>
      </c>
      <c r="BA215" s="43" t="s">
        <v>51</v>
      </c>
      <c r="BC215" s="10">
        <f>AW215+AX215</f>
        <v>0</v>
      </c>
      <c r="BD215" s="10">
        <f>I215/(100-BE215)*100</f>
        <v>0</v>
      </c>
      <c r="BE215" s="10">
        <v>0</v>
      </c>
      <c r="BF215" s="10">
        <f>215</f>
        <v>215</v>
      </c>
      <c r="BH215" s="10">
        <f>H215*AO215</f>
        <v>0</v>
      </c>
      <c r="BI215" s="10">
        <f>H215*AP215</f>
        <v>0</v>
      </c>
      <c r="BJ215" s="10">
        <f>H215*I215</f>
        <v>0</v>
      </c>
      <c r="BK215" s="10"/>
      <c r="BL215" s="10"/>
    </row>
    <row r="216" spans="2:47" ht="15" customHeight="1">
      <c r="B216" s="14" t="s">
        <v>44</v>
      </c>
      <c r="C216" s="78" t="s">
        <v>473</v>
      </c>
      <c r="D216" s="78"/>
      <c r="E216" s="78"/>
      <c r="F216" s="78"/>
      <c r="G216" s="19" t="s">
        <v>4</v>
      </c>
      <c r="H216" s="19" t="s">
        <v>4</v>
      </c>
      <c r="I216" s="19" t="s">
        <v>4</v>
      </c>
      <c r="J216" s="28">
        <f>SUM(J217:J218)</f>
        <v>0</v>
      </c>
      <c r="K216" s="28">
        <f>SUM(K217:K218)</f>
        <v>0</v>
      </c>
      <c r="L216" s="28">
        <f>SUM(L217:L218)</f>
        <v>0</v>
      </c>
      <c r="M216" s="2"/>
      <c r="AI216" s="43" t="s">
        <v>44</v>
      </c>
      <c r="AS216" s="28">
        <f>SUM(AJ217:AJ218)</f>
        <v>0</v>
      </c>
      <c r="AT216" s="28">
        <f>SUM(AK217:AK218)</f>
        <v>0</v>
      </c>
      <c r="AU216" s="28">
        <f>SUM(AL217:AL218)</f>
        <v>0</v>
      </c>
    </row>
    <row r="217" spans="2:64" ht="15" customHeight="1">
      <c r="B217" s="25" t="s">
        <v>474</v>
      </c>
      <c r="C217" s="62" t="s">
        <v>475</v>
      </c>
      <c r="D217" s="62"/>
      <c r="E217" s="62"/>
      <c r="F217" s="62"/>
      <c r="G217" s="23" t="s">
        <v>168</v>
      </c>
      <c r="H217" s="10">
        <v>1</v>
      </c>
      <c r="I217" s="53">
        <v>0</v>
      </c>
      <c r="J217" s="10">
        <f>H217*AO217</f>
        <v>0</v>
      </c>
      <c r="K217" s="10">
        <f>H217*AP217</f>
        <v>0</v>
      </c>
      <c r="L217" s="10">
        <f>H217*I217</f>
        <v>0</v>
      </c>
      <c r="M217" s="47"/>
      <c r="Z217" s="10">
        <f>IF(AQ217="5",BJ217,0)</f>
        <v>0</v>
      </c>
      <c r="AB217" s="10">
        <f>IF(AQ217="1",BH217,0)</f>
        <v>0</v>
      </c>
      <c r="AC217" s="10">
        <f>IF(AQ217="1",BI217,0)</f>
        <v>0</v>
      </c>
      <c r="AD217" s="10">
        <f>IF(AQ217="7",BH217,0)</f>
        <v>0</v>
      </c>
      <c r="AE217" s="10">
        <f>IF(AQ217="7",BI217,0)</f>
        <v>0</v>
      </c>
      <c r="AF217" s="10">
        <f>IF(AQ217="2",BH217,0)</f>
        <v>0</v>
      </c>
      <c r="AG217" s="10">
        <f>IF(AQ217="2",BI217,0)</f>
        <v>0</v>
      </c>
      <c r="AH217" s="10">
        <f>IF(AQ217="0",BJ217,0)</f>
        <v>0</v>
      </c>
      <c r="AI217" s="43" t="s">
        <v>44</v>
      </c>
      <c r="AJ217" s="10">
        <f>IF(AN217=0,L217,0)</f>
        <v>0</v>
      </c>
      <c r="AK217" s="10">
        <f>IF(AN217=15,L217,0)</f>
        <v>0</v>
      </c>
      <c r="AL217" s="10">
        <f>IF(AN217=21,L217,0)</f>
        <v>0</v>
      </c>
      <c r="AN217" s="10">
        <v>21</v>
      </c>
      <c r="AO217" s="10">
        <f>I217*0</f>
        <v>0</v>
      </c>
      <c r="AP217" s="10">
        <f>I217*(1-0)</f>
        <v>0</v>
      </c>
      <c r="AQ217" s="41" t="s">
        <v>64</v>
      </c>
      <c r="AV217" s="10">
        <f>AW217+AX217</f>
        <v>0</v>
      </c>
      <c r="AW217" s="10">
        <f>H217*AO217</f>
        <v>0</v>
      </c>
      <c r="AX217" s="10">
        <f>H217*AP217</f>
        <v>0</v>
      </c>
      <c r="AY217" s="41" t="s">
        <v>476</v>
      </c>
      <c r="AZ217" s="41" t="s">
        <v>402</v>
      </c>
      <c r="BA217" s="43" t="s">
        <v>51</v>
      </c>
      <c r="BC217" s="10">
        <f>AW217+AX217</f>
        <v>0</v>
      </c>
      <c r="BD217" s="10">
        <f>I217/(100-BE217)*100</f>
        <v>0</v>
      </c>
      <c r="BE217" s="10">
        <v>0</v>
      </c>
      <c r="BF217" s="10">
        <f>217</f>
        <v>217</v>
      </c>
      <c r="BH217" s="10">
        <f>H217*AO217</f>
        <v>0</v>
      </c>
      <c r="BI217" s="10">
        <f>H217*AP217</f>
        <v>0</v>
      </c>
      <c r="BJ217" s="10">
        <f>H217*I217</f>
        <v>0</v>
      </c>
      <c r="BK217" s="10"/>
      <c r="BL217" s="10"/>
    </row>
    <row r="218" spans="2:64" ht="15" customHeight="1">
      <c r="B218" s="25" t="s">
        <v>477</v>
      </c>
      <c r="C218" s="62" t="s">
        <v>478</v>
      </c>
      <c r="D218" s="62"/>
      <c r="E218" s="62"/>
      <c r="F218" s="62"/>
      <c r="G218" s="23" t="s">
        <v>168</v>
      </c>
      <c r="H218" s="10">
        <v>1</v>
      </c>
      <c r="I218" s="53">
        <v>0</v>
      </c>
      <c r="J218" s="10">
        <f>H218*AO218</f>
        <v>0</v>
      </c>
      <c r="K218" s="10">
        <f>H218*AP218</f>
        <v>0</v>
      </c>
      <c r="L218" s="10">
        <f>H218*I218</f>
        <v>0</v>
      </c>
      <c r="M218" s="47"/>
      <c r="Z218" s="10">
        <f>IF(AQ218="5",BJ218,0)</f>
        <v>0</v>
      </c>
      <c r="AB218" s="10">
        <f>IF(AQ218="1",BH218,0)</f>
        <v>0</v>
      </c>
      <c r="AC218" s="10">
        <f>IF(AQ218="1",BI218,0)</f>
        <v>0</v>
      </c>
      <c r="AD218" s="10">
        <f>IF(AQ218="7",BH218,0)</f>
        <v>0</v>
      </c>
      <c r="AE218" s="10">
        <f>IF(AQ218="7",BI218,0)</f>
        <v>0</v>
      </c>
      <c r="AF218" s="10">
        <f>IF(AQ218="2",BH218,0)</f>
        <v>0</v>
      </c>
      <c r="AG218" s="10">
        <f>IF(AQ218="2",BI218,0)</f>
        <v>0</v>
      </c>
      <c r="AH218" s="10">
        <f>IF(AQ218="0",BJ218,0)</f>
        <v>0</v>
      </c>
      <c r="AI218" s="43" t="s">
        <v>44</v>
      </c>
      <c r="AJ218" s="10">
        <f>IF(AN218=0,L218,0)</f>
        <v>0</v>
      </c>
      <c r="AK218" s="10">
        <f>IF(AN218=15,L218,0)</f>
        <v>0</v>
      </c>
      <c r="AL218" s="10">
        <f>IF(AN218=21,L218,0)</f>
        <v>0</v>
      </c>
      <c r="AN218" s="10">
        <v>21</v>
      </c>
      <c r="AO218" s="10">
        <f>I218*0</f>
        <v>0</v>
      </c>
      <c r="AP218" s="10">
        <f>I218*(1-0)</f>
        <v>0</v>
      </c>
      <c r="AQ218" s="41" t="s">
        <v>64</v>
      </c>
      <c r="AV218" s="10">
        <f>AW218+AX218</f>
        <v>0</v>
      </c>
      <c r="AW218" s="10">
        <f>H218*AO218</f>
        <v>0</v>
      </c>
      <c r="AX218" s="10">
        <f>H218*AP218</f>
        <v>0</v>
      </c>
      <c r="AY218" s="41" t="s">
        <v>476</v>
      </c>
      <c r="AZ218" s="41" t="s">
        <v>402</v>
      </c>
      <c r="BA218" s="43" t="s">
        <v>51</v>
      </c>
      <c r="BC218" s="10">
        <f>AW218+AX218</f>
        <v>0</v>
      </c>
      <c r="BD218" s="10">
        <f>I218/(100-BE218)*100</f>
        <v>0</v>
      </c>
      <c r="BE218" s="10">
        <v>0</v>
      </c>
      <c r="BF218" s="10">
        <f>218</f>
        <v>218</v>
      </c>
      <c r="BH218" s="10">
        <f>H218*AO218</f>
        <v>0</v>
      </c>
      <c r="BI218" s="10">
        <f>H218*AP218</f>
        <v>0</v>
      </c>
      <c r="BJ218" s="10">
        <f>H218*I218</f>
        <v>0</v>
      </c>
      <c r="BK218" s="10"/>
      <c r="BL218" s="10"/>
    </row>
    <row r="219" spans="2:47" ht="15" customHeight="1">
      <c r="B219" s="14" t="s">
        <v>44</v>
      </c>
      <c r="C219" s="78" t="s">
        <v>479</v>
      </c>
      <c r="D219" s="78"/>
      <c r="E219" s="78"/>
      <c r="F219" s="78"/>
      <c r="G219" s="19" t="s">
        <v>4</v>
      </c>
      <c r="H219" s="19" t="s">
        <v>4</v>
      </c>
      <c r="I219" s="19" t="s">
        <v>4</v>
      </c>
      <c r="J219" s="28">
        <f>SUM(J220:J220)</f>
        <v>0</v>
      </c>
      <c r="K219" s="28">
        <f>SUM(K220:K220)</f>
        <v>0</v>
      </c>
      <c r="L219" s="28">
        <f>SUM(L220:L220)</f>
        <v>0</v>
      </c>
      <c r="M219" s="2"/>
      <c r="AI219" s="43" t="s">
        <v>44</v>
      </c>
      <c r="AS219" s="28">
        <f>SUM(AJ220:AJ220)</f>
        <v>0</v>
      </c>
      <c r="AT219" s="28">
        <f>SUM(AK220:AK220)</f>
        <v>0</v>
      </c>
      <c r="AU219" s="28">
        <f>SUM(AL220:AL220)</f>
        <v>0</v>
      </c>
    </row>
    <row r="220" spans="2:64" ht="15" customHeight="1">
      <c r="B220" s="25" t="s">
        <v>480</v>
      </c>
      <c r="C220" s="62" t="s">
        <v>481</v>
      </c>
      <c r="D220" s="62"/>
      <c r="E220" s="62"/>
      <c r="F220" s="62"/>
      <c r="G220" s="23" t="s">
        <v>60</v>
      </c>
      <c r="H220" s="10">
        <v>5</v>
      </c>
      <c r="I220" s="53">
        <v>0</v>
      </c>
      <c r="J220" s="10">
        <f>H220*AO220</f>
        <v>0</v>
      </c>
      <c r="K220" s="10">
        <f>H220*AP220</f>
        <v>0</v>
      </c>
      <c r="L220" s="10">
        <f>H220*I220</f>
        <v>0</v>
      </c>
      <c r="M220" s="47"/>
      <c r="Z220" s="10">
        <f>IF(AQ220="5",BJ220,0)</f>
        <v>0</v>
      </c>
      <c r="AB220" s="10">
        <f>IF(AQ220="1",BH220,0)</f>
        <v>0</v>
      </c>
      <c r="AC220" s="10">
        <f>IF(AQ220="1",BI220,0)</f>
        <v>0</v>
      </c>
      <c r="AD220" s="10">
        <f>IF(AQ220="7",BH220,0)</f>
        <v>0</v>
      </c>
      <c r="AE220" s="10">
        <f>IF(AQ220="7",BI220,0)</f>
        <v>0</v>
      </c>
      <c r="AF220" s="10">
        <f>IF(AQ220="2",BH220,0)</f>
        <v>0</v>
      </c>
      <c r="AG220" s="10">
        <f>IF(AQ220="2",BI220,0)</f>
        <v>0</v>
      </c>
      <c r="AH220" s="10">
        <f>IF(AQ220="0",BJ220,0)</f>
        <v>0</v>
      </c>
      <c r="AI220" s="43" t="s">
        <v>44</v>
      </c>
      <c r="AJ220" s="10">
        <f>IF(AN220=0,L220,0)</f>
        <v>0</v>
      </c>
      <c r="AK220" s="10">
        <f>IF(AN220=15,L220,0)</f>
        <v>0</v>
      </c>
      <c r="AL220" s="10">
        <f>IF(AN220=21,L220,0)</f>
        <v>0</v>
      </c>
      <c r="AN220" s="10">
        <v>21</v>
      </c>
      <c r="AO220" s="10">
        <f>I220*0</f>
        <v>0</v>
      </c>
      <c r="AP220" s="10">
        <f>I220*(1-0)</f>
        <v>0</v>
      </c>
      <c r="AQ220" s="41" t="s">
        <v>53</v>
      </c>
      <c r="AV220" s="10">
        <f>AW220+AX220</f>
        <v>0</v>
      </c>
      <c r="AW220" s="10">
        <f>H220*AO220</f>
        <v>0</v>
      </c>
      <c r="AX220" s="10">
        <f>H220*AP220</f>
        <v>0</v>
      </c>
      <c r="AY220" s="41" t="s">
        <v>482</v>
      </c>
      <c r="AZ220" s="41" t="s">
        <v>402</v>
      </c>
      <c r="BA220" s="43" t="s">
        <v>51</v>
      </c>
      <c r="BC220" s="10">
        <f>AW220+AX220</f>
        <v>0</v>
      </c>
      <c r="BD220" s="10">
        <f>I220/(100-BE220)*100</f>
        <v>0</v>
      </c>
      <c r="BE220" s="10">
        <v>0</v>
      </c>
      <c r="BF220" s="10">
        <f>220</f>
        <v>220</v>
      </c>
      <c r="BH220" s="10">
        <f>H220*AO220</f>
        <v>0</v>
      </c>
      <c r="BI220" s="10">
        <f>H220*AP220</f>
        <v>0</v>
      </c>
      <c r="BJ220" s="10">
        <f>H220*I220</f>
        <v>0</v>
      </c>
      <c r="BK220" s="10"/>
      <c r="BL220" s="10"/>
    </row>
    <row r="221" spans="2:47" ht="15" customHeight="1">
      <c r="B221" s="14" t="s">
        <v>44</v>
      </c>
      <c r="C221" s="78" t="s">
        <v>483</v>
      </c>
      <c r="D221" s="78"/>
      <c r="E221" s="78"/>
      <c r="F221" s="78"/>
      <c r="G221" s="19" t="s">
        <v>4</v>
      </c>
      <c r="H221" s="19" t="s">
        <v>4</v>
      </c>
      <c r="I221" s="19" t="s">
        <v>4</v>
      </c>
      <c r="J221" s="28">
        <f>SUM(J222:J224)</f>
        <v>0</v>
      </c>
      <c r="K221" s="28">
        <f>SUM(K222:K224)</f>
        <v>0</v>
      </c>
      <c r="L221" s="28">
        <f>SUM(L222:L224)</f>
        <v>0</v>
      </c>
      <c r="M221" s="2"/>
      <c r="AI221" s="43" t="s">
        <v>44</v>
      </c>
      <c r="AS221" s="28">
        <f>SUM(AJ222:AJ224)</f>
        <v>0</v>
      </c>
      <c r="AT221" s="28">
        <f>SUM(AK222:AK224)</f>
        <v>0</v>
      </c>
      <c r="AU221" s="28">
        <f>SUM(AL222:AL224)</f>
        <v>0</v>
      </c>
    </row>
    <row r="222" spans="2:64" ht="15" customHeight="1">
      <c r="B222" s="25" t="s">
        <v>484</v>
      </c>
      <c r="C222" s="62" t="s">
        <v>485</v>
      </c>
      <c r="D222" s="62"/>
      <c r="E222" s="62"/>
      <c r="F222" s="62"/>
      <c r="G222" s="23" t="s">
        <v>60</v>
      </c>
      <c r="H222" s="10">
        <v>9</v>
      </c>
      <c r="I222" s="53">
        <v>0</v>
      </c>
      <c r="J222" s="10">
        <f>H222*AO222</f>
        <v>0</v>
      </c>
      <c r="K222" s="10">
        <f>H222*AP222</f>
        <v>0</v>
      </c>
      <c r="L222" s="10">
        <f>H222*I222</f>
        <v>0</v>
      </c>
      <c r="M222" s="47"/>
      <c r="Z222" s="10">
        <f>IF(AQ222="5",BJ222,0)</f>
        <v>0</v>
      </c>
      <c r="AB222" s="10">
        <f>IF(AQ222="1",BH222,0)</f>
        <v>0</v>
      </c>
      <c r="AC222" s="10">
        <f>IF(AQ222="1",BI222,0)</f>
        <v>0</v>
      </c>
      <c r="AD222" s="10">
        <f>IF(AQ222="7",BH222,0)</f>
        <v>0</v>
      </c>
      <c r="AE222" s="10">
        <f>IF(AQ222="7",BI222,0)</f>
        <v>0</v>
      </c>
      <c r="AF222" s="10">
        <f>IF(AQ222="2",BH222,0)</f>
        <v>0</v>
      </c>
      <c r="AG222" s="10">
        <f>IF(AQ222="2",BI222,0)</f>
        <v>0</v>
      </c>
      <c r="AH222" s="10">
        <f>IF(AQ222="0",BJ222,0)</f>
        <v>0</v>
      </c>
      <c r="AI222" s="43" t="s">
        <v>44</v>
      </c>
      <c r="AJ222" s="10">
        <f>IF(AN222=0,L222,0)</f>
        <v>0</v>
      </c>
      <c r="AK222" s="10">
        <f>IF(AN222=15,L222,0)</f>
        <v>0</v>
      </c>
      <c r="AL222" s="10">
        <f>IF(AN222=21,L222,0)</f>
        <v>0</v>
      </c>
      <c r="AN222" s="10">
        <v>21</v>
      </c>
      <c r="AO222" s="10">
        <f>I222*0.0807210252077172</f>
        <v>0</v>
      </c>
      <c r="AP222" s="10">
        <f>I222*(1-0.0807210252077172)</f>
        <v>0</v>
      </c>
      <c r="AQ222" s="41" t="s">
        <v>53</v>
      </c>
      <c r="AV222" s="10">
        <f>AW222+AX222</f>
        <v>0</v>
      </c>
      <c r="AW222" s="10">
        <f>H222*AO222</f>
        <v>0</v>
      </c>
      <c r="AX222" s="10">
        <f>H222*AP222</f>
        <v>0</v>
      </c>
      <c r="AY222" s="41" t="s">
        <v>486</v>
      </c>
      <c r="AZ222" s="41" t="s">
        <v>402</v>
      </c>
      <c r="BA222" s="43" t="s">
        <v>51</v>
      </c>
      <c r="BC222" s="10">
        <f>AW222+AX222</f>
        <v>0</v>
      </c>
      <c r="BD222" s="10">
        <f>I222/(100-BE222)*100</f>
        <v>0</v>
      </c>
      <c r="BE222" s="10">
        <v>0</v>
      </c>
      <c r="BF222" s="10">
        <f>222</f>
        <v>222</v>
      </c>
      <c r="BH222" s="10">
        <f>H222*AO222</f>
        <v>0</v>
      </c>
      <c r="BI222" s="10">
        <f>H222*AP222</f>
        <v>0</v>
      </c>
      <c r="BJ222" s="10">
        <f>H222*I222</f>
        <v>0</v>
      </c>
      <c r="BK222" s="10"/>
      <c r="BL222" s="10"/>
    </row>
    <row r="223" spans="2:64" ht="15" customHeight="1">
      <c r="B223" s="25" t="s">
        <v>487</v>
      </c>
      <c r="C223" s="62" t="s">
        <v>488</v>
      </c>
      <c r="D223" s="62"/>
      <c r="E223" s="62"/>
      <c r="F223" s="62"/>
      <c r="G223" s="23" t="s">
        <v>60</v>
      </c>
      <c r="H223" s="10">
        <v>18</v>
      </c>
      <c r="I223" s="53">
        <v>0</v>
      </c>
      <c r="J223" s="10">
        <f>H223*AO223</f>
        <v>0</v>
      </c>
      <c r="K223" s="10">
        <f>H223*AP223</f>
        <v>0</v>
      </c>
      <c r="L223" s="10">
        <f>H223*I223</f>
        <v>0</v>
      </c>
      <c r="M223" s="47"/>
      <c r="Z223" s="10">
        <f>IF(AQ223="5",BJ223,0)</f>
        <v>0</v>
      </c>
      <c r="AB223" s="10">
        <f>IF(AQ223="1",BH223,0)</f>
        <v>0</v>
      </c>
      <c r="AC223" s="10">
        <f>IF(AQ223="1",BI223,0)</f>
        <v>0</v>
      </c>
      <c r="AD223" s="10">
        <f>IF(AQ223="7",BH223,0)</f>
        <v>0</v>
      </c>
      <c r="AE223" s="10">
        <f>IF(AQ223="7",BI223,0)</f>
        <v>0</v>
      </c>
      <c r="AF223" s="10">
        <f>IF(AQ223="2",BH223,0)</f>
        <v>0</v>
      </c>
      <c r="AG223" s="10">
        <f>IF(AQ223="2",BI223,0)</f>
        <v>0</v>
      </c>
      <c r="AH223" s="10">
        <f>IF(AQ223="0",BJ223,0)</f>
        <v>0</v>
      </c>
      <c r="AI223" s="43" t="s">
        <v>44</v>
      </c>
      <c r="AJ223" s="10">
        <f>IF(AN223=0,L223,0)</f>
        <v>0</v>
      </c>
      <c r="AK223" s="10">
        <f>IF(AN223=15,L223,0)</f>
        <v>0</v>
      </c>
      <c r="AL223" s="10">
        <f>IF(AN223=21,L223,0)</f>
        <v>0</v>
      </c>
      <c r="AN223" s="10">
        <v>21</v>
      </c>
      <c r="AO223" s="10">
        <f>I223*0.116969199178645</f>
        <v>0</v>
      </c>
      <c r="AP223" s="10">
        <f>I223*(1-0.116969199178645)</f>
        <v>0</v>
      </c>
      <c r="AQ223" s="41" t="s">
        <v>53</v>
      </c>
      <c r="AV223" s="10">
        <f>AW223+AX223</f>
        <v>0</v>
      </c>
      <c r="AW223" s="10">
        <f>H223*AO223</f>
        <v>0</v>
      </c>
      <c r="AX223" s="10">
        <f>H223*AP223</f>
        <v>0</v>
      </c>
      <c r="AY223" s="41" t="s">
        <v>486</v>
      </c>
      <c r="AZ223" s="41" t="s">
        <v>402</v>
      </c>
      <c r="BA223" s="43" t="s">
        <v>51</v>
      </c>
      <c r="BC223" s="10">
        <f>AW223+AX223</f>
        <v>0</v>
      </c>
      <c r="BD223" s="10">
        <f>I223/(100-BE223)*100</f>
        <v>0</v>
      </c>
      <c r="BE223" s="10">
        <v>0</v>
      </c>
      <c r="BF223" s="10">
        <f>223</f>
        <v>223</v>
      </c>
      <c r="BH223" s="10">
        <f>H223*AO223</f>
        <v>0</v>
      </c>
      <c r="BI223" s="10">
        <f>H223*AP223</f>
        <v>0</v>
      </c>
      <c r="BJ223" s="10">
        <f>H223*I223</f>
        <v>0</v>
      </c>
      <c r="BK223" s="10"/>
      <c r="BL223" s="10"/>
    </row>
    <row r="224" spans="2:64" ht="15" customHeight="1">
      <c r="B224" s="25" t="s">
        <v>489</v>
      </c>
      <c r="C224" s="62" t="s">
        <v>490</v>
      </c>
      <c r="D224" s="62"/>
      <c r="E224" s="62"/>
      <c r="F224" s="62"/>
      <c r="G224" s="23" t="s">
        <v>60</v>
      </c>
      <c r="H224" s="10">
        <v>9</v>
      </c>
      <c r="I224" s="53">
        <v>0</v>
      </c>
      <c r="J224" s="10">
        <f>H224*AO224</f>
        <v>0</v>
      </c>
      <c r="K224" s="10">
        <f>H224*AP224</f>
        <v>0</v>
      </c>
      <c r="L224" s="10">
        <f>H224*I224</f>
        <v>0</v>
      </c>
      <c r="M224" s="47"/>
      <c r="Z224" s="10">
        <f>IF(AQ224="5",BJ224,0)</f>
        <v>0</v>
      </c>
      <c r="AB224" s="10">
        <f>IF(AQ224="1",BH224,0)</f>
        <v>0</v>
      </c>
      <c r="AC224" s="10">
        <f>IF(AQ224="1",BI224,0)</f>
        <v>0</v>
      </c>
      <c r="AD224" s="10">
        <f>IF(AQ224="7",BH224,0)</f>
        <v>0</v>
      </c>
      <c r="AE224" s="10">
        <f>IF(AQ224="7",BI224,0)</f>
        <v>0</v>
      </c>
      <c r="AF224" s="10">
        <f>IF(AQ224="2",BH224,0)</f>
        <v>0</v>
      </c>
      <c r="AG224" s="10">
        <f>IF(AQ224="2",BI224,0)</f>
        <v>0</v>
      </c>
      <c r="AH224" s="10">
        <f>IF(AQ224="0",BJ224,0)</f>
        <v>0</v>
      </c>
      <c r="AI224" s="43" t="s">
        <v>44</v>
      </c>
      <c r="AJ224" s="10">
        <f>IF(AN224=0,L224,0)</f>
        <v>0</v>
      </c>
      <c r="AK224" s="10">
        <f>IF(AN224=15,L224,0)</f>
        <v>0</v>
      </c>
      <c r="AL224" s="10">
        <f>IF(AN224=21,L224,0)</f>
        <v>0</v>
      </c>
      <c r="AN224" s="10">
        <v>21</v>
      </c>
      <c r="AO224" s="10">
        <f>I224*0.150141025641026</f>
        <v>0</v>
      </c>
      <c r="AP224" s="10">
        <f>I224*(1-0.150141025641026)</f>
        <v>0</v>
      </c>
      <c r="AQ224" s="41" t="s">
        <v>53</v>
      </c>
      <c r="AV224" s="10">
        <f>AW224+AX224</f>
        <v>0</v>
      </c>
      <c r="AW224" s="10">
        <f>H224*AO224</f>
        <v>0</v>
      </c>
      <c r="AX224" s="10">
        <f>H224*AP224</f>
        <v>0</v>
      </c>
      <c r="AY224" s="41" t="s">
        <v>486</v>
      </c>
      <c r="AZ224" s="41" t="s">
        <v>402</v>
      </c>
      <c r="BA224" s="43" t="s">
        <v>51</v>
      </c>
      <c r="BC224" s="10">
        <f>AW224+AX224</f>
        <v>0</v>
      </c>
      <c r="BD224" s="10">
        <f>I224/(100-BE224)*100</f>
        <v>0</v>
      </c>
      <c r="BE224" s="10">
        <v>0</v>
      </c>
      <c r="BF224" s="10">
        <f>224</f>
        <v>224</v>
      </c>
      <c r="BH224" s="10">
        <f>H224*AO224</f>
        <v>0</v>
      </c>
      <c r="BI224" s="10">
        <f>H224*AP224</f>
        <v>0</v>
      </c>
      <c r="BJ224" s="10">
        <f>H224*I224</f>
        <v>0</v>
      </c>
      <c r="BK224" s="10"/>
      <c r="BL224" s="10"/>
    </row>
    <row r="225" spans="2:47" ht="15" customHeight="1">
      <c r="B225" s="14" t="s">
        <v>44</v>
      </c>
      <c r="C225" s="78" t="s">
        <v>491</v>
      </c>
      <c r="D225" s="78"/>
      <c r="E225" s="78"/>
      <c r="F225" s="78"/>
      <c r="G225" s="19" t="s">
        <v>4</v>
      </c>
      <c r="H225" s="19" t="s">
        <v>4</v>
      </c>
      <c r="I225" s="19" t="s">
        <v>4</v>
      </c>
      <c r="J225" s="28">
        <f>SUM(J226:J226)</f>
        <v>0</v>
      </c>
      <c r="K225" s="28">
        <f>SUM(K226:K226)</f>
        <v>0</v>
      </c>
      <c r="L225" s="28">
        <f>SUM(L226:L226)</f>
        <v>0</v>
      </c>
      <c r="M225" s="2"/>
      <c r="AI225" s="43" t="s">
        <v>44</v>
      </c>
      <c r="AS225" s="28">
        <f>SUM(AJ226:AJ226)</f>
        <v>0</v>
      </c>
      <c r="AT225" s="28">
        <f>SUM(AK226:AK226)</f>
        <v>0</v>
      </c>
      <c r="AU225" s="28">
        <f>SUM(AL226:AL226)</f>
        <v>0</v>
      </c>
    </row>
    <row r="226" spans="2:64" ht="15" customHeight="1">
      <c r="B226" s="25" t="s">
        <v>492</v>
      </c>
      <c r="C226" s="62" t="s">
        <v>493</v>
      </c>
      <c r="D226" s="62"/>
      <c r="E226" s="62"/>
      <c r="F226" s="62"/>
      <c r="G226" s="23" t="s">
        <v>173</v>
      </c>
      <c r="H226" s="10">
        <v>9</v>
      </c>
      <c r="I226" s="53">
        <v>0</v>
      </c>
      <c r="J226" s="10">
        <f>H226*AO226</f>
        <v>0</v>
      </c>
      <c r="K226" s="10">
        <f>H226*AP226</f>
        <v>0</v>
      </c>
      <c r="L226" s="10">
        <f>H226*I226</f>
        <v>0</v>
      </c>
      <c r="M226" s="47"/>
      <c r="Z226" s="10">
        <f>IF(AQ226="5",BJ226,0)</f>
        <v>0</v>
      </c>
      <c r="AB226" s="10">
        <f>IF(AQ226="1",BH226,0)</f>
        <v>0</v>
      </c>
      <c r="AC226" s="10">
        <f>IF(AQ226="1",BI226,0)</f>
        <v>0</v>
      </c>
      <c r="AD226" s="10">
        <f>IF(AQ226="7",BH226,0)</f>
        <v>0</v>
      </c>
      <c r="AE226" s="10">
        <f>IF(AQ226="7",BI226,0)</f>
        <v>0</v>
      </c>
      <c r="AF226" s="10">
        <f>IF(AQ226="2",BH226,0)</f>
        <v>0</v>
      </c>
      <c r="AG226" s="10">
        <f>IF(AQ226="2",BI226,0)</f>
        <v>0</v>
      </c>
      <c r="AH226" s="10">
        <f>IF(AQ226="0",BJ226,0)</f>
        <v>0</v>
      </c>
      <c r="AI226" s="43" t="s">
        <v>44</v>
      </c>
      <c r="AJ226" s="10">
        <f>IF(AN226=0,L226,0)</f>
        <v>0</v>
      </c>
      <c r="AK226" s="10">
        <f>IF(AN226=15,L226,0)</f>
        <v>0</v>
      </c>
      <c r="AL226" s="10">
        <f>IF(AN226=21,L226,0)</f>
        <v>0</v>
      </c>
      <c r="AN226" s="10">
        <v>21</v>
      </c>
      <c r="AO226" s="10">
        <f>I226*0.767918088737201</f>
        <v>0</v>
      </c>
      <c r="AP226" s="10">
        <f>I226*(1-0.767918088737201)</f>
        <v>0</v>
      </c>
      <c r="AQ226" s="41" t="s">
        <v>53</v>
      </c>
      <c r="AV226" s="10">
        <f>AW226+AX226</f>
        <v>0</v>
      </c>
      <c r="AW226" s="10">
        <f>H226*AO226</f>
        <v>0</v>
      </c>
      <c r="AX226" s="10">
        <f>H226*AP226</f>
        <v>0</v>
      </c>
      <c r="AY226" s="41" t="s">
        <v>494</v>
      </c>
      <c r="AZ226" s="41" t="s">
        <v>402</v>
      </c>
      <c r="BA226" s="43" t="s">
        <v>51</v>
      </c>
      <c r="BC226" s="10">
        <f>AW226+AX226</f>
        <v>0</v>
      </c>
      <c r="BD226" s="10">
        <f>I226/(100-BE226)*100</f>
        <v>0</v>
      </c>
      <c r="BE226" s="10">
        <v>0</v>
      </c>
      <c r="BF226" s="10">
        <f>226</f>
        <v>226</v>
      </c>
      <c r="BH226" s="10">
        <f>H226*AO226</f>
        <v>0</v>
      </c>
      <c r="BI226" s="10">
        <f>H226*AP226</f>
        <v>0</v>
      </c>
      <c r="BJ226" s="10">
        <f>H226*I226</f>
        <v>0</v>
      </c>
      <c r="BK226" s="10"/>
      <c r="BL226" s="10"/>
    </row>
    <row r="227" spans="2:47" ht="15" customHeight="1">
      <c r="B227" s="14" t="s">
        <v>44</v>
      </c>
      <c r="C227" s="78" t="s">
        <v>495</v>
      </c>
      <c r="D227" s="78"/>
      <c r="E227" s="78"/>
      <c r="F227" s="78"/>
      <c r="G227" s="19" t="s">
        <v>4</v>
      </c>
      <c r="H227" s="19" t="s">
        <v>4</v>
      </c>
      <c r="I227" s="19" t="s">
        <v>4</v>
      </c>
      <c r="J227" s="28">
        <f>SUM(J228:J229)</f>
        <v>0</v>
      </c>
      <c r="K227" s="28">
        <f>SUM(K228:K229)</f>
        <v>0</v>
      </c>
      <c r="L227" s="28">
        <f>SUM(L228:L229)</f>
        <v>0</v>
      </c>
      <c r="M227" s="2"/>
      <c r="AI227" s="43" t="s">
        <v>44</v>
      </c>
      <c r="AS227" s="28">
        <f>SUM(AJ228:AJ229)</f>
        <v>0</v>
      </c>
      <c r="AT227" s="28">
        <f>SUM(AK228:AK229)</f>
        <v>0</v>
      </c>
      <c r="AU227" s="28">
        <f>SUM(AL228:AL229)</f>
        <v>0</v>
      </c>
    </row>
    <row r="228" spans="2:64" ht="15" customHeight="1">
      <c r="B228" s="25" t="s">
        <v>496</v>
      </c>
      <c r="C228" s="62" t="s">
        <v>497</v>
      </c>
      <c r="D228" s="62"/>
      <c r="E228" s="62"/>
      <c r="F228" s="62"/>
      <c r="G228" s="23" t="s">
        <v>60</v>
      </c>
      <c r="H228" s="10">
        <v>45</v>
      </c>
      <c r="I228" s="53">
        <v>0</v>
      </c>
      <c r="J228" s="10">
        <f>H228*AO228</f>
        <v>0</v>
      </c>
      <c r="K228" s="10">
        <f>H228*AP228</f>
        <v>0</v>
      </c>
      <c r="L228" s="10">
        <f>H228*I228</f>
        <v>0</v>
      </c>
      <c r="M228" s="47"/>
      <c r="Z228" s="10">
        <f>IF(AQ228="5",BJ228,0)</f>
        <v>0</v>
      </c>
      <c r="AB228" s="10">
        <f>IF(AQ228="1",BH228,0)</f>
        <v>0</v>
      </c>
      <c r="AC228" s="10">
        <f>IF(AQ228="1",BI228,0)</f>
        <v>0</v>
      </c>
      <c r="AD228" s="10">
        <f>IF(AQ228="7",BH228,0)</f>
        <v>0</v>
      </c>
      <c r="AE228" s="10">
        <f>IF(AQ228="7",BI228,0)</f>
        <v>0</v>
      </c>
      <c r="AF228" s="10">
        <f>IF(AQ228="2",BH228,0)</f>
        <v>0</v>
      </c>
      <c r="AG228" s="10">
        <f>IF(AQ228="2",BI228,0)</f>
        <v>0</v>
      </c>
      <c r="AH228" s="10">
        <f>IF(AQ228="0",BJ228,0)</f>
        <v>0</v>
      </c>
      <c r="AI228" s="43" t="s">
        <v>44</v>
      </c>
      <c r="AJ228" s="10">
        <f>IF(AN228=0,L228,0)</f>
        <v>0</v>
      </c>
      <c r="AK228" s="10">
        <f>IF(AN228=15,L228,0)</f>
        <v>0</v>
      </c>
      <c r="AL228" s="10">
        <f>IF(AN228=21,L228,0)</f>
        <v>0</v>
      </c>
      <c r="AN228" s="10">
        <v>21</v>
      </c>
      <c r="AO228" s="10">
        <f>I228*0</f>
        <v>0</v>
      </c>
      <c r="AP228" s="10">
        <f>I228*(1-0)</f>
        <v>0</v>
      </c>
      <c r="AQ228" s="41" t="s">
        <v>53</v>
      </c>
      <c r="AV228" s="10">
        <f>AW228+AX228</f>
        <v>0</v>
      </c>
      <c r="AW228" s="10">
        <f>H228*AO228</f>
        <v>0</v>
      </c>
      <c r="AX228" s="10">
        <f>H228*AP228</f>
        <v>0</v>
      </c>
      <c r="AY228" s="41" t="s">
        <v>498</v>
      </c>
      <c r="AZ228" s="41" t="s">
        <v>402</v>
      </c>
      <c r="BA228" s="43" t="s">
        <v>51</v>
      </c>
      <c r="BC228" s="10">
        <f>AW228+AX228</f>
        <v>0</v>
      </c>
      <c r="BD228" s="10">
        <f>I228/(100-BE228)*100</f>
        <v>0</v>
      </c>
      <c r="BE228" s="10">
        <v>0</v>
      </c>
      <c r="BF228" s="10">
        <f>228</f>
        <v>228</v>
      </c>
      <c r="BH228" s="10">
        <f>H228*AO228</f>
        <v>0</v>
      </c>
      <c r="BI228" s="10">
        <f>H228*AP228</f>
        <v>0</v>
      </c>
      <c r="BJ228" s="10">
        <f>H228*I228</f>
        <v>0</v>
      </c>
      <c r="BK228" s="10"/>
      <c r="BL228" s="10"/>
    </row>
    <row r="229" spans="2:64" ht="15" customHeight="1">
      <c r="B229" s="25" t="s">
        <v>499</v>
      </c>
      <c r="C229" s="62" t="s">
        <v>500</v>
      </c>
      <c r="D229" s="62"/>
      <c r="E229" s="62"/>
      <c r="F229" s="62"/>
      <c r="G229" s="23" t="s">
        <v>60</v>
      </c>
      <c r="H229" s="10">
        <v>45</v>
      </c>
      <c r="I229" s="53">
        <v>0</v>
      </c>
      <c r="J229" s="10">
        <f>H229*AO229</f>
        <v>0</v>
      </c>
      <c r="K229" s="10">
        <f>H229*AP229</f>
        <v>0</v>
      </c>
      <c r="L229" s="10">
        <f>H229*I229</f>
        <v>0</v>
      </c>
      <c r="M229" s="47"/>
      <c r="Z229" s="10">
        <f>IF(AQ229="5",BJ229,0)</f>
        <v>0</v>
      </c>
      <c r="AB229" s="10">
        <f>IF(AQ229="1",BH229,0)</f>
        <v>0</v>
      </c>
      <c r="AC229" s="10">
        <f>IF(AQ229="1",BI229,0)</f>
        <v>0</v>
      </c>
      <c r="AD229" s="10">
        <f>IF(AQ229="7",BH229,0)</f>
        <v>0</v>
      </c>
      <c r="AE229" s="10">
        <f>IF(AQ229="7",BI229,0)</f>
        <v>0</v>
      </c>
      <c r="AF229" s="10">
        <f>IF(AQ229="2",BH229,0)</f>
        <v>0</v>
      </c>
      <c r="AG229" s="10">
        <f>IF(AQ229="2",BI229,0)</f>
        <v>0</v>
      </c>
      <c r="AH229" s="10">
        <f>IF(AQ229="0",BJ229,0)</f>
        <v>0</v>
      </c>
      <c r="AI229" s="43" t="s">
        <v>44</v>
      </c>
      <c r="AJ229" s="10">
        <f>IF(AN229=0,L229,0)</f>
        <v>0</v>
      </c>
      <c r="AK229" s="10">
        <f>IF(AN229=15,L229,0)</f>
        <v>0</v>
      </c>
      <c r="AL229" s="10">
        <f>IF(AN229=21,L229,0)</f>
        <v>0</v>
      </c>
      <c r="AN229" s="10">
        <v>21</v>
      </c>
      <c r="AO229" s="10">
        <f>I229*0</f>
        <v>0</v>
      </c>
      <c r="AP229" s="10">
        <f>I229*(1-0)</f>
        <v>0</v>
      </c>
      <c r="AQ229" s="41" t="s">
        <v>53</v>
      </c>
      <c r="AV229" s="10">
        <f>AW229+AX229</f>
        <v>0</v>
      </c>
      <c r="AW229" s="10">
        <f>H229*AO229</f>
        <v>0</v>
      </c>
      <c r="AX229" s="10">
        <f>H229*AP229</f>
        <v>0</v>
      </c>
      <c r="AY229" s="41" t="s">
        <v>498</v>
      </c>
      <c r="AZ229" s="41" t="s">
        <v>402</v>
      </c>
      <c r="BA229" s="43" t="s">
        <v>51</v>
      </c>
      <c r="BC229" s="10">
        <f>AW229+AX229</f>
        <v>0</v>
      </c>
      <c r="BD229" s="10">
        <f>I229/(100-BE229)*100</f>
        <v>0</v>
      </c>
      <c r="BE229" s="10">
        <v>0</v>
      </c>
      <c r="BF229" s="10">
        <f>229</f>
        <v>229</v>
      </c>
      <c r="BH229" s="10">
        <f>H229*AO229</f>
        <v>0</v>
      </c>
      <c r="BI229" s="10">
        <f>H229*AP229</f>
        <v>0</v>
      </c>
      <c r="BJ229" s="10">
        <f>H229*I229</f>
        <v>0</v>
      </c>
      <c r="BK229" s="10"/>
      <c r="BL229" s="10"/>
    </row>
    <row r="230" spans="2:47" ht="15" customHeight="1">
      <c r="B230" s="14" t="s">
        <v>44</v>
      </c>
      <c r="C230" s="78" t="s">
        <v>501</v>
      </c>
      <c r="D230" s="78"/>
      <c r="E230" s="78"/>
      <c r="F230" s="78"/>
      <c r="G230" s="19" t="s">
        <v>4</v>
      </c>
      <c r="H230" s="19" t="s">
        <v>4</v>
      </c>
      <c r="I230" s="19" t="s">
        <v>4</v>
      </c>
      <c r="J230" s="28">
        <f>SUM(J231:J242)</f>
        <v>0</v>
      </c>
      <c r="K230" s="28">
        <f>SUM(K231:K242)</f>
        <v>0</v>
      </c>
      <c r="L230" s="28">
        <f>SUM(L231:L242)</f>
        <v>0</v>
      </c>
      <c r="M230" s="2"/>
      <c r="AI230" s="43" t="s">
        <v>44</v>
      </c>
      <c r="AS230" s="28">
        <f>SUM(AJ231:AJ242)</f>
        <v>0</v>
      </c>
      <c r="AT230" s="28">
        <f>SUM(AK231:AK242)</f>
        <v>0</v>
      </c>
      <c r="AU230" s="28">
        <f>SUM(AL231:AL242)</f>
        <v>0</v>
      </c>
    </row>
    <row r="231" spans="2:64" ht="15" customHeight="1">
      <c r="B231" s="25" t="s">
        <v>502</v>
      </c>
      <c r="C231" s="62" t="s">
        <v>503</v>
      </c>
      <c r="D231" s="62"/>
      <c r="E231" s="62"/>
      <c r="F231" s="62"/>
      <c r="G231" s="23" t="s">
        <v>244</v>
      </c>
      <c r="H231" s="10">
        <v>0.43171</v>
      </c>
      <c r="I231" s="53">
        <v>0</v>
      </c>
      <c r="J231" s="10">
        <f aca="true" t="shared" si="242" ref="J231:J242">H231*AO231</f>
        <v>0</v>
      </c>
      <c r="K231" s="10">
        <f aca="true" t="shared" si="243" ref="K231:K242">H231*AP231</f>
        <v>0</v>
      </c>
      <c r="L231" s="10">
        <f aca="true" t="shared" si="244" ref="L231:L242">H231*I231</f>
        <v>0</v>
      </c>
      <c r="M231" s="47"/>
      <c r="Z231" s="10">
        <f aca="true" t="shared" si="245" ref="Z231:Z242">IF(AQ231="5",BJ231,0)</f>
        <v>0</v>
      </c>
      <c r="AB231" s="10">
        <f aca="true" t="shared" si="246" ref="AB231:AB242">IF(AQ231="1",BH231,0)</f>
        <v>0</v>
      </c>
      <c r="AC231" s="10">
        <f aca="true" t="shared" si="247" ref="AC231:AC242">IF(AQ231="1",BI231,0)</f>
        <v>0</v>
      </c>
      <c r="AD231" s="10">
        <f aca="true" t="shared" si="248" ref="AD231:AD242">IF(AQ231="7",BH231,0)</f>
        <v>0</v>
      </c>
      <c r="AE231" s="10">
        <f aca="true" t="shared" si="249" ref="AE231:AE242">IF(AQ231="7",BI231,0)</f>
        <v>0</v>
      </c>
      <c r="AF231" s="10">
        <f aca="true" t="shared" si="250" ref="AF231:AF242">IF(AQ231="2",BH231,0)</f>
        <v>0</v>
      </c>
      <c r="AG231" s="10">
        <f aca="true" t="shared" si="251" ref="AG231:AG242">IF(AQ231="2",BI231,0)</f>
        <v>0</v>
      </c>
      <c r="AH231" s="10">
        <f aca="true" t="shared" si="252" ref="AH231:AH242">IF(AQ231="0",BJ231,0)</f>
        <v>0</v>
      </c>
      <c r="AI231" s="43" t="s">
        <v>44</v>
      </c>
      <c r="AJ231" s="10">
        <f aca="true" t="shared" si="253" ref="AJ231:AJ242">IF(AN231=0,L231,0)</f>
        <v>0</v>
      </c>
      <c r="AK231" s="10">
        <f aca="true" t="shared" si="254" ref="AK231:AK242">IF(AN231=15,L231,0)</f>
        <v>0</v>
      </c>
      <c r="AL231" s="10">
        <f aca="true" t="shared" si="255" ref="AL231:AL242">IF(AN231=21,L231,0)</f>
        <v>0</v>
      </c>
      <c r="AN231" s="10">
        <v>21</v>
      </c>
      <c r="AO231" s="10">
        <f aca="true" t="shared" si="256" ref="AO231:AO242">I231*0</f>
        <v>0</v>
      </c>
      <c r="AP231" s="10">
        <f aca="true" t="shared" si="257" ref="AP231:AP242">I231*(1-0)</f>
        <v>0</v>
      </c>
      <c r="AQ231" s="41" t="s">
        <v>64</v>
      </c>
      <c r="AV231" s="10">
        <f aca="true" t="shared" si="258" ref="AV231:AV242">AW231+AX231</f>
        <v>0</v>
      </c>
      <c r="AW231" s="10">
        <f aca="true" t="shared" si="259" ref="AW231:AW242">H231*AO231</f>
        <v>0</v>
      </c>
      <c r="AX231" s="10">
        <f aca="true" t="shared" si="260" ref="AX231:AX242">H231*AP231</f>
        <v>0</v>
      </c>
      <c r="AY231" s="41" t="s">
        <v>504</v>
      </c>
      <c r="AZ231" s="41" t="s">
        <v>402</v>
      </c>
      <c r="BA231" s="43" t="s">
        <v>51</v>
      </c>
      <c r="BC231" s="10">
        <f aca="true" t="shared" si="261" ref="BC231:BC242">AW231+AX231</f>
        <v>0</v>
      </c>
      <c r="BD231" s="10">
        <f aca="true" t="shared" si="262" ref="BD231:BD242">I231/(100-BE231)*100</f>
        <v>0</v>
      </c>
      <c r="BE231" s="10">
        <v>0</v>
      </c>
      <c r="BF231" s="10">
        <f>231</f>
        <v>231</v>
      </c>
      <c r="BH231" s="10">
        <f aca="true" t="shared" si="263" ref="BH231:BH242">H231*AO231</f>
        <v>0</v>
      </c>
      <c r="BI231" s="10">
        <f aca="true" t="shared" si="264" ref="BI231:BI242">H231*AP231</f>
        <v>0</v>
      </c>
      <c r="BJ231" s="10">
        <f aca="true" t="shared" si="265" ref="BJ231:BJ242">H231*I231</f>
        <v>0</v>
      </c>
      <c r="BK231" s="10"/>
      <c r="BL231" s="10"/>
    </row>
    <row r="232" spans="2:64" ht="15" customHeight="1">
      <c r="B232" s="25" t="s">
        <v>505</v>
      </c>
      <c r="C232" s="62" t="s">
        <v>506</v>
      </c>
      <c r="D232" s="62"/>
      <c r="E232" s="62"/>
      <c r="F232" s="62"/>
      <c r="G232" s="23" t="s">
        <v>244</v>
      </c>
      <c r="H232" s="10">
        <v>3.93</v>
      </c>
      <c r="I232" s="53">
        <v>0</v>
      </c>
      <c r="J232" s="10">
        <f t="shared" si="242"/>
        <v>0</v>
      </c>
      <c r="K232" s="10">
        <f t="shared" si="243"/>
        <v>0</v>
      </c>
      <c r="L232" s="10">
        <f t="shared" si="244"/>
        <v>0</v>
      </c>
      <c r="M232" s="47"/>
      <c r="Z232" s="10">
        <f t="shared" si="245"/>
        <v>0</v>
      </c>
      <c r="AB232" s="10">
        <f t="shared" si="246"/>
        <v>0</v>
      </c>
      <c r="AC232" s="10">
        <f t="shared" si="247"/>
        <v>0</v>
      </c>
      <c r="AD232" s="10">
        <f t="shared" si="248"/>
        <v>0</v>
      </c>
      <c r="AE232" s="10">
        <f t="shared" si="249"/>
        <v>0</v>
      </c>
      <c r="AF232" s="10">
        <f t="shared" si="250"/>
        <v>0</v>
      </c>
      <c r="AG232" s="10">
        <f t="shared" si="251"/>
        <v>0</v>
      </c>
      <c r="AH232" s="10">
        <f t="shared" si="252"/>
        <v>0</v>
      </c>
      <c r="AI232" s="43" t="s">
        <v>44</v>
      </c>
      <c r="AJ232" s="10">
        <f t="shared" si="253"/>
        <v>0</v>
      </c>
      <c r="AK232" s="10">
        <f t="shared" si="254"/>
        <v>0</v>
      </c>
      <c r="AL232" s="10">
        <f t="shared" si="255"/>
        <v>0</v>
      </c>
      <c r="AN232" s="10">
        <v>21</v>
      </c>
      <c r="AO232" s="10">
        <f t="shared" si="256"/>
        <v>0</v>
      </c>
      <c r="AP232" s="10">
        <f t="shared" si="257"/>
        <v>0</v>
      </c>
      <c r="AQ232" s="41" t="s">
        <v>64</v>
      </c>
      <c r="AV232" s="10">
        <f t="shared" si="258"/>
        <v>0</v>
      </c>
      <c r="AW232" s="10">
        <f t="shared" si="259"/>
        <v>0</v>
      </c>
      <c r="AX232" s="10">
        <f t="shared" si="260"/>
        <v>0</v>
      </c>
      <c r="AY232" s="41" t="s">
        <v>504</v>
      </c>
      <c r="AZ232" s="41" t="s">
        <v>402</v>
      </c>
      <c r="BA232" s="43" t="s">
        <v>51</v>
      </c>
      <c r="BC232" s="10">
        <f t="shared" si="261"/>
        <v>0</v>
      </c>
      <c r="BD232" s="10">
        <f t="shared" si="262"/>
        <v>0</v>
      </c>
      <c r="BE232" s="10">
        <v>0</v>
      </c>
      <c r="BF232" s="10">
        <f>232</f>
        <v>232</v>
      </c>
      <c r="BH232" s="10">
        <f t="shared" si="263"/>
        <v>0</v>
      </c>
      <c r="BI232" s="10">
        <f t="shared" si="264"/>
        <v>0</v>
      </c>
      <c r="BJ232" s="10">
        <f t="shared" si="265"/>
        <v>0</v>
      </c>
      <c r="BK232" s="10"/>
      <c r="BL232" s="10"/>
    </row>
    <row r="233" spans="2:64" ht="15" customHeight="1">
      <c r="B233" s="25" t="s">
        <v>507</v>
      </c>
      <c r="C233" s="62" t="s">
        <v>508</v>
      </c>
      <c r="D233" s="62"/>
      <c r="E233" s="62"/>
      <c r="F233" s="62"/>
      <c r="G233" s="23" t="s">
        <v>244</v>
      </c>
      <c r="H233" s="10">
        <v>2.24</v>
      </c>
      <c r="I233" s="53">
        <v>0</v>
      </c>
      <c r="J233" s="10">
        <f t="shared" si="242"/>
        <v>0</v>
      </c>
      <c r="K233" s="10">
        <f t="shared" si="243"/>
        <v>0</v>
      </c>
      <c r="L233" s="10">
        <f t="shared" si="244"/>
        <v>0</v>
      </c>
      <c r="M233" s="47"/>
      <c r="Z233" s="10">
        <f t="shared" si="245"/>
        <v>0</v>
      </c>
      <c r="AB233" s="10">
        <f t="shared" si="246"/>
        <v>0</v>
      </c>
      <c r="AC233" s="10">
        <f t="shared" si="247"/>
        <v>0</v>
      </c>
      <c r="AD233" s="10">
        <f t="shared" si="248"/>
        <v>0</v>
      </c>
      <c r="AE233" s="10">
        <f t="shared" si="249"/>
        <v>0</v>
      </c>
      <c r="AF233" s="10">
        <f t="shared" si="250"/>
        <v>0</v>
      </c>
      <c r="AG233" s="10">
        <f t="shared" si="251"/>
        <v>0</v>
      </c>
      <c r="AH233" s="10">
        <f t="shared" si="252"/>
        <v>0</v>
      </c>
      <c r="AI233" s="43" t="s">
        <v>44</v>
      </c>
      <c r="AJ233" s="10">
        <f t="shared" si="253"/>
        <v>0</v>
      </c>
      <c r="AK233" s="10">
        <f t="shared" si="254"/>
        <v>0</v>
      </c>
      <c r="AL233" s="10">
        <f t="shared" si="255"/>
        <v>0</v>
      </c>
      <c r="AN233" s="10">
        <v>21</v>
      </c>
      <c r="AO233" s="10">
        <f t="shared" si="256"/>
        <v>0</v>
      </c>
      <c r="AP233" s="10">
        <f t="shared" si="257"/>
        <v>0</v>
      </c>
      <c r="AQ233" s="41" t="s">
        <v>64</v>
      </c>
      <c r="AV233" s="10">
        <f t="shared" si="258"/>
        <v>0</v>
      </c>
      <c r="AW233" s="10">
        <f t="shared" si="259"/>
        <v>0</v>
      </c>
      <c r="AX233" s="10">
        <f t="shared" si="260"/>
        <v>0</v>
      </c>
      <c r="AY233" s="41" t="s">
        <v>504</v>
      </c>
      <c r="AZ233" s="41" t="s">
        <v>402</v>
      </c>
      <c r="BA233" s="43" t="s">
        <v>51</v>
      </c>
      <c r="BC233" s="10">
        <f t="shared" si="261"/>
        <v>0</v>
      </c>
      <c r="BD233" s="10">
        <f t="shared" si="262"/>
        <v>0</v>
      </c>
      <c r="BE233" s="10">
        <v>0</v>
      </c>
      <c r="BF233" s="10">
        <f>233</f>
        <v>233</v>
      </c>
      <c r="BH233" s="10">
        <f t="shared" si="263"/>
        <v>0</v>
      </c>
      <c r="BI233" s="10">
        <f t="shared" si="264"/>
        <v>0</v>
      </c>
      <c r="BJ233" s="10">
        <f t="shared" si="265"/>
        <v>0</v>
      </c>
      <c r="BK233" s="10"/>
      <c r="BL233" s="10"/>
    </row>
    <row r="234" spans="2:64" ht="15" customHeight="1">
      <c r="B234" s="25" t="s">
        <v>509</v>
      </c>
      <c r="C234" s="62" t="s">
        <v>510</v>
      </c>
      <c r="D234" s="62"/>
      <c r="E234" s="62"/>
      <c r="F234" s="62"/>
      <c r="G234" s="23" t="s">
        <v>244</v>
      </c>
      <c r="H234" s="10">
        <v>0.0149</v>
      </c>
      <c r="I234" s="53">
        <v>0</v>
      </c>
      <c r="J234" s="10">
        <f t="shared" si="242"/>
        <v>0</v>
      </c>
      <c r="K234" s="10">
        <f t="shared" si="243"/>
        <v>0</v>
      </c>
      <c r="L234" s="10">
        <f t="shared" si="244"/>
        <v>0</v>
      </c>
      <c r="M234" s="47"/>
      <c r="Z234" s="10">
        <f t="shared" si="245"/>
        <v>0</v>
      </c>
      <c r="AB234" s="10">
        <f t="shared" si="246"/>
        <v>0</v>
      </c>
      <c r="AC234" s="10">
        <f t="shared" si="247"/>
        <v>0</v>
      </c>
      <c r="AD234" s="10">
        <f t="shared" si="248"/>
        <v>0</v>
      </c>
      <c r="AE234" s="10">
        <f t="shared" si="249"/>
        <v>0</v>
      </c>
      <c r="AF234" s="10">
        <f t="shared" si="250"/>
        <v>0</v>
      </c>
      <c r="AG234" s="10">
        <f t="shared" si="251"/>
        <v>0</v>
      </c>
      <c r="AH234" s="10">
        <f t="shared" si="252"/>
        <v>0</v>
      </c>
      <c r="AI234" s="43" t="s">
        <v>44</v>
      </c>
      <c r="AJ234" s="10">
        <f t="shared" si="253"/>
        <v>0</v>
      </c>
      <c r="AK234" s="10">
        <f t="shared" si="254"/>
        <v>0</v>
      </c>
      <c r="AL234" s="10">
        <f t="shared" si="255"/>
        <v>0</v>
      </c>
      <c r="AN234" s="10">
        <v>21</v>
      </c>
      <c r="AO234" s="10">
        <f t="shared" si="256"/>
        <v>0</v>
      </c>
      <c r="AP234" s="10">
        <f t="shared" si="257"/>
        <v>0</v>
      </c>
      <c r="AQ234" s="41" t="s">
        <v>64</v>
      </c>
      <c r="AV234" s="10">
        <f t="shared" si="258"/>
        <v>0</v>
      </c>
      <c r="AW234" s="10">
        <f t="shared" si="259"/>
        <v>0</v>
      </c>
      <c r="AX234" s="10">
        <f t="shared" si="260"/>
        <v>0</v>
      </c>
      <c r="AY234" s="41" t="s">
        <v>504</v>
      </c>
      <c r="AZ234" s="41" t="s">
        <v>402</v>
      </c>
      <c r="BA234" s="43" t="s">
        <v>51</v>
      </c>
      <c r="BC234" s="10">
        <f t="shared" si="261"/>
        <v>0</v>
      </c>
      <c r="BD234" s="10">
        <f t="shared" si="262"/>
        <v>0</v>
      </c>
      <c r="BE234" s="10">
        <v>0</v>
      </c>
      <c r="BF234" s="10">
        <f>234</f>
        <v>234</v>
      </c>
      <c r="BH234" s="10">
        <f t="shared" si="263"/>
        <v>0</v>
      </c>
      <c r="BI234" s="10">
        <f t="shared" si="264"/>
        <v>0</v>
      </c>
      <c r="BJ234" s="10">
        <f t="shared" si="265"/>
        <v>0</v>
      </c>
      <c r="BK234" s="10"/>
      <c r="BL234" s="10"/>
    </row>
    <row r="235" spans="2:64" ht="15" customHeight="1">
      <c r="B235" s="25" t="s">
        <v>511</v>
      </c>
      <c r="C235" s="62" t="s">
        <v>512</v>
      </c>
      <c r="D235" s="62"/>
      <c r="E235" s="62"/>
      <c r="F235" s="62"/>
      <c r="G235" s="23" t="s">
        <v>168</v>
      </c>
      <c r="H235" s="10">
        <v>2</v>
      </c>
      <c r="I235" s="53">
        <v>0</v>
      </c>
      <c r="J235" s="10">
        <f t="shared" si="242"/>
        <v>0</v>
      </c>
      <c r="K235" s="10">
        <f t="shared" si="243"/>
        <v>0</v>
      </c>
      <c r="L235" s="10">
        <f t="shared" si="244"/>
        <v>0</v>
      </c>
      <c r="M235" s="47"/>
      <c r="Z235" s="10">
        <f t="shared" si="245"/>
        <v>0</v>
      </c>
      <c r="AB235" s="10">
        <f t="shared" si="246"/>
        <v>0</v>
      </c>
      <c r="AC235" s="10">
        <f t="shared" si="247"/>
        <v>0</v>
      </c>
      <c r="AD235" s="10">
        <f t="shared" si="248"/>
        <v>0</v>
      </c>
      <c r="AE235" s="10">
        <f t="shared" si="249"/>
        <v>0</v>
      </c>
      <c r="AF235" s="10">
        <f t="shared" si="250"/>
        <v>0</v>
      </c>
      <c r="AG235" s="10">
        <f t="shared" si="251"/>
        <v>0</v>
      </c>
      <c r="AH235" s="10">
        <f t="shared" si="252"/>
        <v>0</v>
      </c>
      <c r="AI235" s="43" t="s">
        <v>44</v>
      </c>
      <c r="AJ235" s="10">
        <f t="shared" si="253"/>
        <v>0</v>
      </c>
      <c r="AK235" s="10">
        <f t="shared" si="254"/>
        <v>0</v>
      </c>
      <c r="AL235" s="10">
        <f t="shared" si="255"/>
        <v>0</v>
      </c>
      <c r="AN235" s="10">
        <v>21</v>
      </c>
      <c r="AO235" s="10">
        <f t="shared" si="256"/>
        <v>0</v>
      </c>
      <c r="AP235" s="10">
        <f t="shared" si="257"/>
        <v>0</v>
      </c>
      <c r="AQ235" s="41" t="s">
        <v>64</v>
      </c>
      <c r="AV235" s="10">
        <f t="shared" si="258"/>
        <v>0</v>
      </c>
      <c r="AW235" s="10">
        <f t="shared" si="259"/>
        <v>0</v>
      </c>
      <c r="AX235" s="10">
        <f t="shared" si="260"/>
        <v>0</v>
      </c>
      <c r="AY235" s="41" t="s">
        <v>504</v>
      </c>
      <c r="AZ235" s="41" t="s">
        <v>402</v>
      </c>
      <c r="BA235" s="43" t="s">
        <v>51</v>
      </c>
      <c r="BC235" s="10">
        <f t="shared" si="261"/>
        <v>0</v>
      </c>
      <c r="BD235" s="10">
        <f t="shared" si="262"/>
        <v>0</v>
      </c>
      <c r="BE235" s="10">
        <v>0</v>
      </c>
      <c r="BF235" s="10">
        <f>235</f>
        <v>235</v>
      </c>
      <c r="BH235" s="10">
        <f t="shared" si="263"/>
        <v>0</v>
      </c>
      <c r="BI235" s="10">
        <f t="shared" si="264"/>
        <v>0</v>
      </c>
      <c r="BJ235" s="10">
        <f t="shared" si="265"/>
        <v>0</v>
      </c>
      <c r="BK235" s="10"/>
      <c r="BL235" s="10"/>
    </row>
    <row r="236" spans="2:64" ht="15" customHeight="1">
      <c r="B236" s="25" t="s">
        <v>513</v>
      </c>
      <c r="C236" s="62" t="s">
        <v>514</v>
      </c>
      <c r="D236" s="62"/>
      <c r="E236" s="62"/>
      <c r="F236" s="62"/>
      <c r="G236" s="23" t="s">
        <v>168</v>
      </c>
      <c r="H236" s="10">
        <v>2</v>
      </c>
      <c r="I236" s="53">
        <v>0</v>
      </c>
      <c r="J236" s="10">
        <f t="shared" si="242"/>
        <v>0</v>
      </c>
      <c r="K236" s="10">
        <f t="shared" si="243"/>
        <v>0</v>
      </c>
      <c r="L236" s="10">
        <f t="shared" si="244"/>
        <v>0</v>
      </c>
      <c r="M236" s="47"/>
      <c r="Z236" s="10">
        <f t="shared" si="245"/>
        <v>0</v>
      </c>
      <c r="AB236" s="10">
        <f t="shared" si="246"/>
        <v>0</v>
      </c>
      <c r="AC236" s="10">
        <f t="shared" si="247"/>
        <v>0</v>
      </c>
      <c r="AD236" s="10">
        <f t="shared" si="248"/>
        <v>0</v>
      </c>
      <c r="AE236" s="10">
        <f t="shared" si="249"/>
        <v>0</v>
      </c>
      <c r="AF236" s="10">
        <f t="shared" si="250"/>
        <v>0</v>
      </c>
      <c r="AG236" s="10">
        <f t="shared" si="251"/>
        <v>0</v>
      </c>
      <c r="AH236" s="10">
        <f t="shared" si="252"/>
        <v>0</v>
      </c>
      <c r="AI236" s="43" t="s">
        <v>44</v>
      </c>
      <c r="AJ236" s="10">
        <f t="shared" si="253"/>
        <v>0</v>
      </c>
      <c r="AK236" s="10">
        <f t="shared" si="254"/>
        <v>0</v>
      </c>
      <c r="AL236" s="10">
        <f t="shared" si="255"/>
        <v>0</v>
      </c>
      <c r="AN236" s="10">
        <v>21</v>
      </c>
      <c r="AO236" s="10">
        <f t="shared" si="256"/>
        <v>0</v>
      </c>
      <c r="AP236" s="10">
        <f t="shared" si="257"/>
        <v>0</v>
      </c>
      <c r="AQ236" s="41" t="s">
        <v>64</v>
      </c>
      <c r="AV236" s="10">
        <f t="shared" si="258"/>
        <v>0</v>
      </c>
      <c r="AW236" s="10">
        <f t="shared" si="259"/>
        <v>0</v>
      </c>
      <c r="AX236" s="10">
        <f t="shared" si="260"/>
        <v>0</v>
      </c>
      <c r="AY236" s="41" t="s">
        <v>504</v>
      </c>
      <c r="AZ236" s="41" t="s">
        <v>402</v>
      </c>
      <c r="BA236" s="43" t="s">
        <v>51</v>
      </c>
      <c r="BC236" s="10">
        <f t="shared" si="261"/>
        <v>0</v>
      </c>
      <c r="BD236" s="10">
        <f t="shared" si="262"/>
        <v>0</v>
      </c>
      <c r="BE236" s="10">
        <v>0</v>
      </c>
      <c r="BF236" s="10">
        <f>236</f>
        <v>236</v>
      </c>
      <c r="BH236" s="10">
        <f t="shared" si="263"/>
        <v>0</v>
      </c>
      <c r="BI236" s="10">
        <f t="shared" si="264"/>
        <v>0</v>
      </c>
      <c r="BJ236" s="10">
        <f t="shared" si="265"/>
        <v>0</v>
      </c>
      <c r="BK236" s="10"/>
      <c r="BL236" s="10"/>
    </row>
    <row r="237" spans="2:64" ht="15" customHeight="1">
      <c r="B237" s="25" t="s">
        <v>515</v>
      </c>
      <c r="C237" s="62" t="s">
        <v>516</v>
      </c>
      <c r="D237" s="62"/>
      <c r="E237" s="62"/>
      <c r="F237" s="62"/>
      <c r="G237" s="23" t="s">
        <v>244</v>
      </c>
      <c r="H237" s="10">
        <v>116.4685</v>
      </c>
      <c r="I237" s="53">
        <v>0</v>
      </c>
      <c r="J237" s="10">
        <f t="shared" si="242"/>
        <v>0</v>
      </c>
      <c r="K237" s="10">
        <f t="shared" si="243"/>
        <v>0</v>
      </c>
      <c r="L237" s="10">
        <f t="shared" si="244"/>
        <v>0</v>
      </c>
      <c r="M237" s="47"/>
      <c r="Z237" s="10">
        <f t="shared" si="245"/>
        <v>0</v>
      </c>
      <c r="AB237" s="10">
        <f t="shared" si="246"/>
        <v>0</v>
      </c>
      <c r="AC237" s="10">
        <f t="shared" si="247"/>
        <v>0</v>
      </c>
      <c r="AD237" s="10">
        <f t="shared" si="248"/>
        <v>0</v>
      </c>
      <c r="AE237" s="10">
        <f t="shared" si="249"/>
        <v>0</v>
      </c>
      <c r="AF237" s="10">
        <f t="shared" si="250"/>
        <v>0</v>
      </c>
      <c r="AG237" s="10">
        <f t="shared" si="251"/>
        <v>0</v>
      </c>
      <c r="AH237" s="10">
        <f t="shared" si="252"/>
        <v>0</v>
      </c>
      <c r="AI237" s="43" t="s">
        <v>44</v>
      </c>
      <c r="AJ237" s="10">
        <f t="shared" si="253"/>
        <v>0</v>
      </c>
      <c r="AK237" s="10">
        <f t="shared" si="254"/>
        <v>0</v>
      </c>
      <c r="AL237" s="10">
        <f t="shared" si="255"/>
        <v>0</v>
      </c>
      <c r="AN237" s="10">
        <v>21</v>
      </c>
      <c r="AO237" s="10">
        <f t="shared" si="256"/>
        <v>0</v>
      </c>
      <c r="AP237" s="10">
        <f t="shared" si="257"/>
        <v>0</v>
      </c>
      <c r="AQ237" s="41" t="s">
        <v>64</v>
      </c>
      <c r="AV237" s="10">
        <f t="shared" si="258"/>
        <v>0</v>
      </c>
      <c r="AW237" s="10">
        <f t="shared" si="259"/>
        <v>0</v>
      </c>
      <c r="AX237" s="10">
        <f t="shared" si="260"/>
        <v>0</v>
      </c>
      <c r="AY237" s="41" t="s">
        <v>504</v>
      </c>
      <c r="AZ237" s="41" t="s">
        <v>402</v>
      </c>
      <c r="BA237" s="43" t="s">
        <v>51</v>
      </c>
      <c r="BC237" s="10">
        <f t="shared" si="261"/>
        <v>0</v>
      </c>
      <c r="BD237" s="10">
        <f t="shared" si="262"/>
        <v>0</v>
      </c>
      <c r="BE237" s="10">
        <v>0</v>
      </c>
      <c r="BF237" s="10">
        <f>237</f>
        <v>237</v>
      </c>
      <c r="BH237" s="10">
        <f t="shared" si="263"/>
        <v>0</v>
      </c>
      <c r="BI237" s="10">
        <f t="shared" si="264"/>
        <v>0</v>
      </c>
      <c r="BJ237" s="10">
        <f t="shared" si="265"/>
        <v>0</v>
      </c>
      <c r="BK237" s="10"/>
      <c r="BL237" s="10"/>
    </row>
    <row r="238" spans="2:64" ht="15" customHeight="1">
      <c r="B238" s="25" t="s">
        <v>517</v>
      </c>
      <c r="C238" s="62" t="s">
        <v>518</v>
      </c>
      <c r="D238" s="62"/>
      <c r="E238" s="62"/>
      <c r="F238" s="62"/>
      <c r="G238" s="23" t="s">
        <v>244</v>
      </c>
      <c r="H238" s="10">
        <v>116.4685</v>
      </c>
      <c r="I238" s="53">
        <v>0</v>
      </c>
      <c r="J238" s="10">
        <f t="shared" si="242"/>
        <v>0</v>
      </c>
      <c r="K238" s="10">
        <f t="shared" si="243"/>
        <v>0</v>
      </c>
      <c r="L238" s="10">
        <f t="shared" si="244"/>
        <v>0</v>
      </c>
      <c r="M238" s="47"/>
      <c r="Z238" s="10">
        <f t="shared" si="245"/>
        <v>0</v>
      </c>
      <c r="AB238" s="10">
        <f t="shared" si="246"/>
        <v>0</v>
      </c>
      <c r="AC238" s="10">
        <f t="shared" si="247"/>
        <v>0</v>
      </c>
      <c r="AD238" s="10">
        <f t="shared" si="248"/>
        <v>0</v>
      </c>
      <c r="AE238" s="10">
        <f t="shared" si="249"/>
        <v>0</v>
      </c>
      <c r="AF238" s="10">
        <f t="shared" si="250"/>
        <v>0</v>
      </c>
      <c r="AG238" s="10">
        <f t="shared" si="251"/>
        <v>0</v>
      </c>
      <c r="AH238" s="10">
        <f t="shared" si="252"/>
        <v>0</v>
      </c>
      <c r="AI238" s="43" t="s">
        <v>44</v>
      </c>
      <c r="AJ238" s="10">
        <f t="shared" si="253"/>
        <v>0</v>
      </c>
      <c r="AK238" s="10">
        <f t="shared" si="254"/>
        <v>0</v>
      </c>
      <c r="AL238" s="10">
        <f t="shared" si="255"/>
        <v>0</v>
      </c>
      <c r="AN238" s="10">
        <v>21</v>
      </c>
      <c r="AO238" s="10">
        <f t="shared" si="256"/>
        <v>0</v>
      </c>
      <c r="AP238" s="10">
        <f t="shared" si="257"/>
        <v>0</v>
      </c>
      <c r="AQ238" s="41" t="s">
        <v>64</v>
      </c>
      <c r="AV238" s="10">
        <f t="shared" si="258"/>
        <v>0</v>
      </c>
      <c r="AW238" s="10">
        <f t="shared" si="259"/>
        <v>0</v>
      </c>
      <c r="AX238" s="10">
        <f t="shared" si="260"/>
        <v>0</v>
      </c>
      <c r="AY238" s="41" t="s">
        <v>504</v>
      </c>
      <c r="AZ238" s="41" t="s">
        <v>402</v>
      </c>
      <c r="BA238" s="43" t="s">
        <v>51</v>
      </c>
      <c r="BC238" s="10">
        <f t="shared" si="261"/>
        <v>0</v>
      </c>
      <c r="BD238" s="10">
        <f t="shared" si="262"/>
        <v>0</v>
      </c>
      <c r="BE238" s="10">
        <v>0</v>
      </c>
      <c r="BF238" s="10">
        <f>238</f>
        <v>238</v>
      </c>
      <c r="BH238" s="10">
        <f t="shared" si="263"/>
        <v>0</v>
      </c>
      <c r="BI238" s="10">
        <f t="shared" si="264"/>
        <v>0</v>
      </c>
      <c r="BJ238" s="10">
        <f t="shared" si="265"/>
        <v>0</v>
      </c>
      <c r="BK238" s="10"/>
      <c r="BL238" s="10"/>
    </row>
    <row r="239" spans="2:64" ht="15" customHeight="1">
      <c r="B239" s="25" t="s">
        <v>519</v>
      </c>
      <c r="C239" s="62" t="s">
        <v>520</v>
      </c>
      <c r="D239" s="62"/>
      <c r="E239" s="62"/>
      <c r="F239" s="62"/>
      <c r="G239" s="23" t="s">
        <v>244</v>
      </c>
      <c r="H239" s="10">
        <v>116.4685</v>
      </c>
      <c r="I239" s="53">
        <v>0</v>
      </c>
      <c r="J239" s="10">
        <f t="shared" si="242"/>
        <v>0</v>
      </c>
      <c r="K239" s="10">
        <f t="shared" si="243"/>
        <v>0</v>
      </c>
      <c r="L239" s="10">
        <f t="shared" si="244"/>
        <v>0</v>
      </c>
      <c r="M239" s="47"/>
      <c r="Z239" s="10">
        <f t="shared" si="245"/>
        <v>0</v>
      </c>
      <c r="AB239" s="10">
        <f t="shared" si="246"/>
        <v>0</v>
      </c>
      <c r="AC239" s="10">
        <f t="shared" si="247"/>
        <v>0</v>
      </c>
      <c r="AD239" s="10">
        <f t="shared" si="248"/>
        <v>0</v>
      </c>
      <c r="AE239" s="10">
        <f t="shared" si="249"/>
        <v>0</v>
      </c>
      <c r="AF239" s="10">
        <f t="shared" si="250"/>
        <v>0</v>
      </c>
      <c r="AG239" s="10">
        <f t="shared" si="251"/>
        <v>0</v>
      </c>
      <c r="AH239" s="10">
        <f t="shared" si="252"/>
        <v>0</v>
      </c>
      <c r="AI239" s="43" t="s">
        <v>44</v>
      </c>
      <c r="AJ239" s="10">
        <f t="shared" si="253"/>
        <v>0</v>
      </c>
      <c r="AK239" s="10">
        <f t="shared" si="254"/>
        <v>0</v>
      </c>
      <c r="AL239" s="10">
        <f t="shared" si="255"/>
        <v>0</v>
      </c>
      <c r="AN239" s="10">
        <v>21</v>
      </c>
      <c r="AO239" s="10">
        <f t="shared" si="256"/>
        <v>0</v>
      </c>
      <c r="AP239" s="10">
        <f t="shared" si="257"/>
        <v>0</v>
      </c>
      <c r="AQ239" s="41" t="s">
        <v>64</v>
      </c>
      <c r="AV239" s="10">
        <f t="shared" si="258"/>
        <v>0</v>
      </c>
      <c r="AW239" s="10">
        <f t="shared" si="259"/>
        <v>0</v>
      </c>
      <c r="AX239" s="10">
        <f t="shared" si="260"/>
        <v>0</v>
      </c>
      <c r="AY239" s="41" t="s">
        <v>504</v>
      </c>
      <c r="AZ239" s="41" t="s">
        <v>402</v>
      </c>
      <c r="BA239" s="43" t="s">
        <v>51</v>
      </c>
      <c r="BC239" s="10">
        <f t="shared" si="261"/>
        <v>0</v>
      </c>
      <c r="BD239" s="10">
        <f t="shared" si="262"/>
        <v>0</v>
      </c>
      <c r="BE239" s="10">
        <v>0</v>
      </c>
      <c r="BF239" s="10">
        <f>239</f>
        <v>239</v>
      </c>
      <c r="BH239" s="10">
        <f t="shared" si="263"/>
        <v>0</v>
      </c>
      <c r="BI239" s="10">
        <f t="shared" si="264"/>
        <v>0</v>
      </c>
      <c r="BJ239" s="10">
        <f t="shared" si="265"/>
        <v>0</v>
      </c>
      <c r="BK239" s="10"/>
      <c r="BL239" s="10"/>
    </row>
    <row r="240" spans="2:64" ht="15" customHeight="1">
      <c r="B240" s="25" t="s">
        <v>521</v>
      </c>
      <c r="C240" s="62" t="s">
        <v>522</v>
      </c>
      <c r="D240" s="62"/>
      <c r="E240" s="62"/>
      <c r="F240" s="62"/>
      <c r="G240" s="23" t="s">
        <v>48</v>
      </c>
      <c r="H240" s="10">
        <v>4</v>
      </c>
      <c r="I240" s="53">
        <v>0</v>
      </c>
      <c r="J240" s="10">
        <f t="shared" si="242"/>
        <v>0</v>
      </c>
      <c r="K240" s="10">
        <f t="shared" si="243"/>
        <v>0</v>
      </c>
      <c r="L240" s="10">
        <f t="shared" si="244"/>
        <v>0</v>
      </c>
      <c r="M240" s="47"/>
      <c r="Z240" s="10">
        <f t="shared" si="245"/>
        <v>0</v>
      </c>
      <c r="AB240" s="10">
        <f t="shared" si="246"/>
        <v>0</v>
      </c>
      <c r="AC240" s="10">
        <f t="shared" si="247"/>
        <v>0</v>
      </c>
      <c r="AD240" s="10">
        <f t="shared" si="248"/>
        <v>0</v>
      </c>
      <c r="AE240" s="10">
        <f t="shared" si="249"/>
        <v>0</v>
      </c>
      <c r="AF240" s="10">
        <f t="shared" si="250"/>
        <v>0</v>
      </c>
      <c r="AG240" s="10">
        <f t="shared" si="251"/>
        <v>0</v>
      </c>
      <c r="AH240" s="10">
        <f t="shared" si="252"/>
        <v>0</v>
      </c>
      <c r="AI240" s="43" t="s">
        <v>44</v>
      </c>
      <c r="AJ240" s="10">
        <f t="shared" si="253"/>
        <v>0</v>
      </c>
      <c r="AK240" s="10">
        <f t="shared" si="254"/>
        <v>0</v>
      </c>
      <c r="AL240" s="10">
        <f t="shared" si="255"/>
        <v>0</v>
      </c>
      <c r="AN240" s="10">
        <v>21</v>
      </c>
      <c r="AO240" s="10">
        <f t="shared" si="256"/>
        <v>0</v>
      </c>
      <c r="AP240" s="10">
        <f t="shared" si="257"/>
        <v>0</v>
      </c>
      <c r="AQ240" s="41" t="s">
        <v>64</v>
      </c>
      <c r="AV240" s="10">
        <f t="shared" si="258"/>
        <v>0</v>
      </c>
      <c r="AW240" s="10">
        <f t="shared" si="259"/>
        <v>0</v>
      </c>
      <c r="AX240" s="10">
        <f t="shared" si="260"/>
        <v>0</v>
      </c>
      <c r="AY240" s="41" t="s">
        <v>504</v>
      </c>
      <c r="AZ240" s="41" t="s">
        <v>402</v>
      </c>
      <c r="BA240" s="43" t="s">
        <v>51</v>
      </c>
      <c r="BC240" s="10">
        <f t="shared" si="261"/>
        <v>0</v>
      </c>
      <c r="BD240" s="10">
        <f t="shared" si="262"/>
        <v>0</v>
      </c>
      <c r="BE240" s="10">
        <v>0</v>
      </c>
      <c r="BF240" s="10">
        <f>240</f>
        <v>240</v>
      </c>
      <c r="BH240" s="10">
        <f t="shared" si="263"/>
        <v>0</v>
      </c>
      <c r="BI240" s="10">
        <f t="shared" si="264"/>
        <v>0</v>
      </c>
      <c r="BJ240" s="10">
        <f t="shared" si="265"/>
        <v>0</v>
      </c>
      <c r="BK240" s="10"/>
      <c r="BL240" s="10"/>
    </row>
    <row r="241" spans="2:64" ht="15" customHeight="1">
      <c r="B241" s="25" t="s">
        <v>523</v>
      </c>
      <c r="C241" s="62" t="s">
        <v>524</v>
      </c>
      <c r="D241" s="62"/>
      <c r="E241" s="62"/>
      <c r="F241" s="62"/>
      <c r="G241" s="23" t="s">
        <v>48</v>
      </c>
      <c r="H241" s="10">
        <v>4</v>
      </c>
      <c r="I241" s="53">
        <v>0</v>
      </c>
      <c r="J241" s="10">
        <f t="shared" si="242"/>
        <v>0</v>
      </c>
      <c r="K241" s="10">
        <f t="shared" si="243"/>
        <v>0</v>
      </c>
      <c r="L241" s="10">
        <f t="shared" si="244"/>
        <v>0</v>
      </c>
      <c r="M241" s="47"/>
      <c r="Z241" s="10">
        <f t="shared" si="245"/>
        <v>0</v>
      </c>
      <c r="AB241" s="10">
        <f t="shared" si="246"/>
        <v>0</v>
      </c>
      <c r="AC241" s="10">
        <f t="shared" si="247"/>
        <v>0</v>
      </c>
      <c r="AD241" s="10">
        <f t="shared" si="248"/>
        <v>0</v>
      </c>
      <c r="AE241" s="10">
        <f t="shared" si="249"/>
        <v>0</v>
      </c>
      <c r="AF241" s="10">
        <f t="shared" si="250"/>
        <v>0</v>
      </c>
      <c r="AG241" s="10">
        <f t="shared" si="251"/>
        <v>0</v>
      </c>
      <c r="AH241" s="10">
        <f t="shared" si="252"/>
        <v>0</v>
      </c>
      <c r="AI241" s="43" t="s">
        <v>44</v>
      </c>
      <c r="AJ241" s="10">
        <f t="shared" si="253"/>
        <v>0</v>
      </c>
      <c r="AK241" s="10">
        <f t="shared" si="254"/>
        <v>0</v>
      </c>
      <c r="AL241" s="10">
        <f t="shared" si="255"/>
        <v>0</v>
      </c>
      <c r="AN241" s="10">
        <v>21</v>
      </c>
      <c r="AO241" s="10">
        <f t="shared" si="256"/>
        <v>0</v>
      </c>
      <c r="AP241" s="10">
        <f t="shared" si="257"/>
        <v>0</v>
      </c>
      <c r="AQ241" s="41" t="s">
        <v>64</v>
      </c>
      <c r="AV241" s="10">
        <f t="shared" si="258"/>
        <v>0</v>
      </c>
      <c r="AW241" s="10">
        <f t="shared" si="259"/>
        <v>0</v>
      </c>
      <c r="AX241" s="10">
        <f t="shared" si="260"/>
        <v>0</v>
      </c>
      <c r="AY241" s="41" t="s">
        <v>504</v>
      </c>
      <c r="AZ241" s="41" t="s">
        <v>402</v>
      </c>
      <c r="BA241" s="43" t="s">
        <v>51</v>
      </c>
      <c r="BC241" s="10">
        <f t="shared" si="261"/>
        <v>0</v>
      </c>
      <c r="BD241" s="10">
        <f t="shared" si="262"/>
        <v>0</v>
      </c>
      <c r="BE241" s="10">
        <v>0</v>
      </c>
      <c r="BF241" s="10">
        <f>241</f>
        <v>241</v>
      </c>
      <c r="BH241" s="10">
        <f t="shared" si="263"/>
        <v>0</v>
      </c>
      <c r="BI241" s="10">
        <f t="shared" si="264"/>
        <v>0</v>
      </c>
      <c r="BJ241" s="10">
        <f t="shared" si="265"/>
        <v>0</v>
      </c>
      <c r="BK241" s="10"/>
      <c r="BL241" s="10"/>
    </row>
    <row r="242" spans="2:64" ht="15" customHeight="1">
      <c r="B242" s="25" t="s">
        <v>525</v>
      </c>
      <c r="C242" s="62" t="s">
        <v>526</v>
      </c>
      <c r="D242" s="62"/>
      <c r="E242" s="62"/>
      <c r="F242" s="62"/>
      <c r="G242" s="23" t="s">
        <v>244</v>
      </c>
      <c r="H242" s="10">
        <v>116.4685</v>
      </c>
      <c r="I242" s="53">
        <v>0</v>
      </c>
      <c r="J242" s="10">
        <f t="shared" si="242"/>
        <v>0</v>
      </c>
      <c r="K242" s="10">
        <f t="shared" si="243"/>
        <v>0</v>
      </c>
      <c r="L242" s="10">
        <f t="shared" si="244"/>
        <v>0</v>
      </c>
      <c r="M242" s="47"/>
      <c r="Z242" s="10">
        <f t="shared" si="245"/>
        <v>0</v>
      </c>
      <c r="AB242" s="10">
        <f t="shared" si="246"/>
        <v>0</v>
      </c>
      <c r="AC242" s="10">
        <f t="shared" si="247"/>
        <v>0</v>
      </c>
      <c r="AD242" s="10">
        <f t="shared" si="248"/>
        <v>0</v>
      </c>
      <c r="AE242" s="10">
        <f t="shared" si="249"/>
        <v>0</v>
      </c>
      <c r="AF242" s="10">
        <f t="shared" si="250"/>
        <v>0</v>
      </c>
      <c r="AG242" s="10">
        <f t="shared" si="251"/>
        <v>0</v>
      </c>
      <c r="AH242" s="10">
        <f t="shared" si="252"/>
        <v>0</v>
      </c>
      <c r="AI242" s="43" t="s">
        <v>44</v>
      </c>
      <c r="AJ242" s="10">
        <f t="shared" si="253"/>
        <v>0</v>
      </c>
      <c r="AK242" s="10">
        <f t="shared" si="254"/>
        <v>0</v>
      </c>
      <c r="AL242" s="10">
        <f t="shared" si="255"/>
        <v>0</v>
      </c>
      <c r="AN242" s="10">
        <v>21</v>
      </c>
      <c r="AO242" s="10">
        <f t="shared" si="256"/>
        <v>0</v>
      </c>
      <c r="AP242" s="10">
        <f t="shared" si="257"/>
        <v>0</v>
      </c>
      <c r="AQ242" s="41" t="s">
        <v>64</v>
      </c>
      <c r="AV242" s="10">
        <f t="shared" si="258"/>
        <v>0</v>
      </c>
      <c r="AW242" s="10">
        <f t="shared" si="259"/>
        <v>0</v>
      </c>
      <c r="AX242" s="10">
        <f t="shared" si="260"/>
        <v>0</v>
      </c>
      <c r="AY242" s="41" t="s">
        <v>504</v>
      </c>
      <c r="AZ242" s="41" t="s">
        <v>402</v>
      </c>
      <c r="BA242" s="43" t="s">
        <v>51</v>
      </c>
      <c r="BC242" s="10">
        <f t="shared" si="261"/>
        <v>0</v>
      </c>
      <c r="BD242" s="10">
        <f t="shared" si="262"/>
        <v>0</v>
      </c>
      <c r="BE242" s="10">
        <v>0</v>
      </c>
      <c r="BF242" s="10">
        <f>242</f>
        <v>242</v>
      </c>
      <c r="BH242" s="10">
        <f t="shared" si="263"/>
        <v>0</v>
      </c>
      <c r="BI242" s="10">
        <f t="shared" si="264"/>
        <v>0</v>
      </c>
      <c r="BJ242" s="10">
        <f t="shared" si="265"/>
        <v>0</v>
      </c>
      <c r="BK242" s="10"/>
      <c r="BL242" s="10"/>
    </row>
    <row r="243" spans="2:47" ht="15" customHeight="1">
      <c r="B243" s="14" t="s">
        <v>44</v>
      </c>
      <c r="C243" s="78" t="s">
        <v>527</v>
      </c>
      <c r="D243" s="78"/>
      <c r="E243" s="78"/>
      <c r="F243" s="78"/>
      <c r="G243" s="19" t="s">
        <v>4</v>
      </c>
      <c r="H243" s="19" t="s">
        <v>4</v>
      </c>
      <c r="I243" s="19" t="s">
        <v>4</v>
      </c>
      <c r="J243" s="28">
        <f>SUM(J244:J267)</f>
        <v>0</v>
      </c>
      <c r="K243" s="28">
        <f>SUM(K244:K267)</f>
        <v>0</v>
      </c>
      <c r="L243" s="28">
        <f>SUM(L244:L267)</f>
        <v>0</v>
      </c>
      <c r="M243" s="2"/>
      <c r="AI243" s="43" t="s">
        <v>44</v>
      </c>
      <c r="AS243" s="28">
        <f>SUM(AJ244:AJ267)</f>
        <v>0</v>
      </c>
      <c r="AT243" s="28">
        <f>SUM(AK244:AK267)</f>
        <v>0</v>
      </c>
      <c r="AU243" s="28">
        <f>SUM(AL244:AL267)</f>
        <v>0</v>
      </c>
    </row>
    <row r="244" spans="2:64" ht="15" customHeight="1">
      <c r="B244" s="25" t="s">
        <v>528</v>
      </c>
      <c r="C244" s="62" t="s">
        <v>529</v>
      </c>
      <c r="D244" s="62"/>
      <c r="E244" s="62"/>
      <c r="F244" s="62"/>
      <c r="G244" s="23" t="s">
        <v>530</v>
      </c>
      <c r="H244" s="10">
        <v>5</v>
      </c>
      <c r="I244" s="53">
        <v>0</v>
      </c>
      <c r="J244" s="10">
        <f aca="true" t="shared" si="266" ref="J244:J267">H244*AO244</f>
        <v>0</v>
      </c>
      <c r="K244" s="10">
        <f aca="true" t="shared" si="267" ref="K244:K267">H244*AP244</f>
        <v>0</v>
      </c>
      <c r="L244" s="10">
        <f aca="true" t="shared" si="268" ref="L244:L267">H244*I244</f>
        <v>0</v>
      </c>
      <c r="M244" s="47"/>
      <c r="Z244" s="10">
        <f aca="true" t="shared" si="269" ref="Z244:Z267">IF(AQ244="5",BJ244,0)</f>
        <v>0</v>
      </c>
      <c r="AB244" s="10">
        <f aca="true" t="shared" si="270" ref="AB244:AB267">IF(AQ244="1",BH244,0)</f>
        <v>0</v>
      </c>
      <c r="AC244" s="10">
        <f aca="true" t="shared" si="271" ref="AC244:AC267">IF(AQ244="1",BI244,0)</f>
        <v>0</v>
      </c>
      <c r="AD244" s="10">
        <f aca="true" t="shared" si="272" ref="AD244:AD267">IF(AQ244="7",BH244,0)</f>
        <v>0</v>
      </c>
      <c r="AE244" s="10">
        <f aca="true" t="shared" si="273" ref="AE244:AE267">IF(AQ244="7",BI244,0)</f>
        <v>0</v>
      </c>
      <c r="AF244" s="10">
        <f aca="true" t="shared" si="274" ref="AF244:AF267">IF(AQ244="2",BH244,0)</f>
        <v>0</v>
      </c>
      <c r="AG244" s="10">
        <f aca="true" t="shared" si="275" ref="AG244:AG267">IF(AQ244="2",BI244,0)</f>
        <v>0</v>
      </c>
      <c r="AH244" s="10">
        <f aca="true" t="shared" si="276" ref="AH244:AH267">IF(AQ244="0",BJ244,0)</f>
        <v>0</v>
      </c>
      <c r="AI244" s="43" t="s">
        <v>44</v>
      </c>
      <c r="AJ244" s="10">
        <f aca="true" t="shared" si="277" ref="AJ244:AJ267">IF(AN244=0,L244,0)</f>
        <v>0</v>
      </c>
      <c r="AK244" s="10">
        <f aca="true" t="shared" si="278" ref="AK244:AK267">IF(AN244=15,L244,0)</f>
        <v>0</v>
      </c>
      <c r="AL244" s="10">
        <f aca="true" t="shared" si="279" ref="AL244:AL267">IF(AN244=21,L244,0)</f>
        <v>0</v>
      </c>
      <c r="AN244" s="10">
        <v>21</v>
      </c>
      <c r="AO244" s="10">
        <f aca="true" t="shared" si="280" ref="AO244:AO267">I244*1</f>
        <v>0</v>
      </c>
      <c r="AP244" s="10">
        <f aca="true" t="shared" si="281" ref="AP244:AP267">I244*(1-1)</f>
        <v>0</v>
      </c>
      <c r="AQ244" s="41" t="s">
        <v>531</v>
      </c>
      <c r="AV244" s="10">
        <f aca="true" t="shared" si="282" ref="AV244:AV267">AW244+AX244</f>
        <v>0</v>
      </c>
      <c r="AW244" s="10">
        <f aca="true" t="shared" si="283" ref="AW244:AW267">H244*AO244</f>
        <v>0</v>
      </c>
      <c r="AX244" s="10">
        <f aca="true" t="shared" si="284" ref="AX244:AX267">H244*AP244</f>
        <v>0</v>
      </c>
      <c r="AY244" s="41" t="s">
        <v>532</v>
      </c>
      <c r="AZ244" s="41" t="s">
        <v>533</v>
      </c>
      <c r="BA244" s="43" t="s">
        <v>51</v>
      </c>
      <c r="BC244" s="10">
        <f aca="true" t="shared" si="285" ref="BC244:BC267">AW244+AX244</f>
        <v>0</v>
      </c>
      <c r="BD244" s="10">
        <f aca="true" t="shared" si="286" ref="BD244:BD267">I244/(100-BE244)*100</f>
        <v>0</v>
      </c>
      <c r="BE244" s="10">
        <v>0</v>
      </c>
      <c r="BF244" s="10">
        <f>244</f>
        <v>244</v>
      </c>
      <c r="BH244" s="10">
        <f aca="true" t="shared" si="287" ref="BH244:BH267">H244*AO244</f>
        <v>0</v>
      </c>
      <c r="BI244" s="10">
        <f aca="true" t="shared" si="288" ref="BI244:BI267">H244*AP244</f>
        <v>0</v>
      </c>
      <c r="BJ244" s="10">
        <f aca="true" t="shared" si="289" ref="BJ244:BJ267">H244*I244</f>
        <v>0</v>
      </c>
      <c r="BK244" s="10"/>
      <c r="BL244" s="10"/>
    </row>
    <row r="245" spans="2:64" ht="15" customHeight="1">
      <c r="B245" s="25" t="s">
        <v>534</v>
      </c>
      <c r="C245" s="62" t="s">
        <v>535</v>
      </c>
      <c r="D245" s="62"/>
      <c r="E245" s="62"/>
      <c r="F245" s="62"/>
      <c r="G245" s="23" t="s">
        <v>60</v>
      </c>
      <c r="H245" s="10">
        <v>19.95</v>
      </c>
      <c r="I245" s="53">
        <v>0</v>
      </c>
      <c r="J245" s="10">
        <f t="shared" si="266"/>
        <v>0</v>
      </c>
      <c r="K245" s="10">
        <f t="shared" si="267"/>
        <v>0</v>
      </c>
      <c r="L245" s="10">
        <f t="shared" si="268"/>
        <v>0</v>
      </c>
      <c r="M245" s="47"/>
      <c r="Z245" s="10">
        <f t="shared" si="269"/>
        <v>0</v>
      </c>
      <c r="AB245" s="10">
        <f t="shared" si="270"/>
        <v>0</v>
      </c>
      <c r="AC245" s="10">
        <f t="shared" si="271"/>
        <v>0</v>
      </c>
      <c r="AD245" s="10">
        <f t="shared" si="272"/>
        <v>0</v>
      </c>
      <c r="AE245" s="10">
        <f t="shared" si="273"/>
        <v>0</v>
      </c>
      <c r="AF245" s="10">
        <f t="shared" si="274"/>
        <v>0</v>
      </c>
      <c r="AG245" s="10">
        <f t="shared" si="275"/>
        <v>0</v>
      </c>
      <c r="AH245" s="10">
        <f t="shared" si="276"/>
        <v>0</v>
      </c>
      <c r="AI245" s="43" t="s">
        <v>44</v>
      </c>
      <c r="AJ245" s="10">
        <f t="shared" si="277"/>
        <v>0</v>
      </c>
      <c r="AK245" s="10">
        <f t="shared" si="278"/>
        <v>0</v>
      </c>
      <c r="AL245" s="10">
        <f t="shared" si="279"/>
        <v>0</v>
      </c>
      <c r="AN245" s="10">
        <v>21</v>
      </c>
      <c r="AO245" s="10">
        <f t="shared" si="280"/>
        <v>0</v>
      </c>
      <c r="AP245" s="10">
        <f t="shared" si="281"/>
        <v>0</v>
      </c>
      <c r="AQ245" s="41" t="s">
        <v>531</v>
      </c>
      <c r="AV245" s="10">
        <f t="shared" si="282"/>
        <v>0</v>
      </c>
      <c r="AW245" s="10">
        <f t="shared" si="283"/>
        <v>0</v>
      </c>
      <c r="AX245" s="10">
        <f t="shared" si="284"/>
        <v>0</v>
      </c>
      <c r="AY245" s="41" t="s">
        <v>532</v>
      </c>
      <c r="AZ245" s="41" t="s">
        <v>533</v>
      </c>
      <c r="BA245" s="43" t="s">
        <v>51</v>
      </c>
      <c r="BC245" s="10">
        <f t="shared" si="285"/>
        <v>0</v>
      </c>
      <c r="BD245" s="10">
        <f t="shared" si="286"/>
        <v>0</v>
      </c>
      <c r="BE245" s="10">
        <v>0</v>
      </c>
      <c r="BF245" s="10">
        <f>245</f>
        <v>245</v>
      </c>
      <c r="BH245" s="10">
        <f t="shared" si="287"/>
        <v>0</v>
      </c>
      <c r="BI245" s="10">
        <f t="shared" si="288"/>
        <v>0</v>
      </c>
      <c r="BJ245" s="10">
        <f t="shared" si="289"/>
        <v>0</v>
      </c>
      <c r="BK245" s="10"/>
      <c r="BL245" s="10"/>
    </row>
    <row r="246" spans="2:64" ht="15" customHeight="1">
      <c r="B246" s="25" t="s">
        <v>536</v>
      </c>
      <c r="C246" s="62" t="s">
        <v>537</v>
      </c>
      <c r="D246" s="62"/>
      <c r="E246" s="62"/>
      <c r="F246" s="62"/>
      <c r="G246" s="23" t="s">
        <v>60</v>
      </c>
      <c r="H246" s="10">
        <v>25</v>
      </c>
      <c r="I246" s="53">
        <v>0</v>
      </c>
      <c r="J246" s="10">
        <f t="shared" si="266"/>
        <v>0</v>
      </c>
      <c r="K246" s="10">
        <f t="shared" si="267"/>
        <v>0</v>
      </c>
      <c r="L246" s="10">
        <f t="shared" si="268"/>
        <v>0</v>
      </c>
      <c r="M246" s="47"/>
      <c r="Z246" s="10">
        <f t="shared" si="269"/>
        <v>0</v>
      </c>
      <c r="AB246" s="10">
        <f t="shared" si="270"/>
        <v>0</v>
      </c>
      <c r="AC246" s="10">
        <f t="shared" si="271"/>
        <v>0</v>
      </c>
      <c r="AD246" s="10">
        <f t="shared" si="272"/>
        <v>0</v>
      </c>
      <c r="AE246" s="10">
        <f t="shared" si="273"/>
        <v>0</v>
      </c>
      <c r="AF246" s="10">
        <f t="shared" si="274"/>
        <v>0</v>
      </c>
      <c r="AG246" s="10">
        <f t="shared" si="275"/>
        <v>0</v>
      </c>
      <c r="AH246" s="10">
        <f t="shared" si="276"/>
        <v>0</v>
      </c>
      <c r="AI246" s="43" t="s">
        <v>44</v>
      </c>
      <c r="AJ246" s="10">
        <f t="shared" si="277"/>
        <v>0</v>
      </c>
      <c r="AK246" s="10">
        <f t="shared" si="278"/>
        <v>0</v>
      </c>
      <c r="AL246" s="10">
        <f t="shared" si="279"/>
        <v>0</v>
      </c>
      <c r="AN246" s="10">
        <v>21</v>
      </c>
      <c r="AO246" s="10">
        <f t="shared" si="280"/>
        <v>0</v>
      </c>
      <c r="AP246" s="10">
        <f t="shared" si="281"/>
        <v>0</v>
      </c>
      <c r="AQ246" s="41" t="s">
        <v>531</v>
      </c>
      <c r="AV246" s="10">
        <f t="shared" si="282"/>
        <v>0</v>
      </c>
      <c r="AW246" s="10">
        <f t="shared" si="283"/>
        <v>0</v>
      </c>
      <c r="AX246" s="10">
        <f t="shared" si="284"/>
        <v>0</v>
      </c>
      <c r="AY246" s="41" t="s">
        <v>532</v>
      </c>
      <c r="AZ246" s="41" t="s">
        <v>533</v>
      </c>
      <c r="BA246" s="43" t="s">
        <v>51</v>
      </c>
      <c r="BC246" s="10">
        <f t="shared" si="285"/>
        <v>0</v>
      </c>
      <c r="BD246" s="10">
        <f t="shared" si="286"/>
        <v>0</v>
      </c>
      <c r="BE246" s="10">
        <v>0</v>
      </c>
      <c r="BF246" s="10">
        <f>246</f>
        <v>246</v>
      </c>
      <c r="BH246" s="10">
        <f t="shared" si="287"/>
        <v>0</v>
      </c>
      <c r="BI246" s="10">
        <f t="shared" si="288"/>
        <v>0</v>
      </c>
      <c r="BJ246" s="10">
        <f t="shared" si="289"/>
        <v>0</v>
      </c>
      <c r="BK246" s="10"/>
      <c r="BL246" s="10"/>
    </row>
    <row r="247" spans="2:64" ht="15" customHeight="1">
      <c r="B247" s="25" t="s">
        <v>538</v>
      </c>
      <c r="C247" s="62" t="s">
        <v>539</v>
      </c>
      <c r="D247" s="62"/>
      <c r="E247" s="62"/>
      <c r="F247" s="62"/>
      <c r="G247" s="23" t="s">
        <v>60</v>
      </c>
      <c r="H247" s="10">
        <v>24</v>
      </c>
      <c r="I247" s="53">
        <v>0</v>
      </c>
      <c r="J247" s="10">
        <f t="shared" si="266"/>
        <v>0</v>
      </c>
      <c r="K247" s="10">
        <f t="shared" si="267"/>
        <v>0</v>
      </c>
      <c r="L247" s="10">
        <f t="shared" si="268"/>
        <v>0</v>
      </c>
      <c r="M247" s="47"/>
      <c r="Z247" s="10">
        <f t="shared" si="269"/>
        <v>0</v>
      </c>
      <c r="AB247" s="10">
        <f t="shared" si="270"/>
        <v>0</v>
      </c>
      <c r="AC247" s="10">
        <f t="shared" si="271"/>
        <v>0</v>
      </c>
      <c r="AD247" s="10">
        <f t="shared" si="272"/>
        <v>0</v>
      </c>
      <c r="AE247" s="10">
        <f t="shared" si="273"/>
        <v>0</v>
      </c>
      <c r="AF247" s="10">
        <f t="shared" si="274"/>
        <v>0</v>
      </c>
      <c r="AG247" s="10">
        <f t="shared" si="275"/>
        <v>0</v>
      </c>
      <c r="AH247" s="10">
        <f t="shared" si="276"/>
        <v>0</v>
      </c>
      <c r="AI247" s="43" t="s">
        <v>44</v>
      </c>
      <c r="AJ247" s="10">
        <f t="shared" si="277"/>
        <v>0</v>
      </c>
      <c r="AK247" s="10">
        <f t="shared" si="278"/>
        <v>0</v>
      </c>
      <c r="AL247" s="10">
        <f t="shared" si="279"/>
        <v>0</v>
      </c>
      <c r="AN247" s="10">
        <v>21</v>
      </c>
      <c r="AO247" s="10">
        <f t="shared" si="280"/>
        <v>0</v>
      </c>
      <c r="AP247" s="10">
        <f t="shared" si="281"/>
        <v>0</v>
      </c>
      <c r="AQ247" s="41" t="s">
        <v>531</v>
      </c>
      <c r="AV247" s="10">
        <f t="shared" si="282"/>
        <v>0</v>
      </c>
      <c r="AW247" s="10">
        <f t="shared" si="283"/>
        <v>0</v>
      </c>
      <c r="AX247" s="10">
        <f t="shared" si="284"/>
        <v>0</v>
      </c>
      <c r="AY247" s="41" t="s">
        <v>532</v>
      </c>
      <c r="AZ247" s="41" t="s">
        <v>533</v>
      </c>
      <c r="BA247" s="43" t="s">
        <v>51</v>
      </c>
      <c r="BC247" s="10">
        <f t="shared" si="285"/>
        <v>0</v>
      </c>
      <c r="BD247" s="10">
        <f t="shared" si="286"/>
        <v>0</v>
      </c>
      <c r="BE247" s="10">
        <v>0</v>
      </c>
      <c r="BF247" s="10">
        <f>247</f>
        <v>247</v>
      </c>
      <c r="BH247" s="10">
        <f t="shared" si="287"/>
        <v>0</v>
      </c>
      <c r="BI247" s="10">
        <f t="shared" si="288"/>
        <v>0</v>
      </c>
      <c r="BJ247" s="10">
        <f t="shared" si="289"/>
        <v>0</v>
      </c>
      <c r="BK247" s="10"/>
      <c r="BL247" s="10"/>
    </row>
    <row r="248" spans="2:64" ht="15" customHeight="1">
      <c r="B248" s="25" t="s">
        <v>540</v>
      </c>
      <c r="C248" s="62" t="s">
        <v>541</v>
      </c>
      <c r="D248" s="62"/>
      <c r="E248" s="62"/>
      <c r="F248" s="62"/>
      <c r="G248" s="23" t="s">
        <v>60</v>
      </c>
      <c r="H248" s="10">
        <v>1</v>
      </c>
      <c r="I248" s="53">
        <v>0</v>
      </c>
      <c r="J248" s="10">
        <f t="shared" si="266"/>
        <v>0</v>
      </c>
      <c r="K248" s="10">
        <f t="shared" si="267"/>
        <v>0</v>
      </c>
      <c r="L248" s="10">
        <f t="shared" si="268"/>
        <v>0</v>
      </c>
      <c r="M248" s="47"/>
      <c r="Z248" s="10">
        <f t="shared" si="269"/>
        <v>0</v>
      </c>
      <c r="AB248" s="10">
        <f t="shared" si="270"/>
        <v>0</v>
      </c>
      <c r="AC248" s="10">
        <f t="shared" si="271"/>
        <v>0</v>
      </c>
      <c r="AD248" s="10">
        <f t="shared" si="272"/>
        <v>0</v>
      </c>
      <c r="AE248" s="10">
        <f t="shared" si="273"/>
        <v>0</v>
      </c>
      <c r="AF248" s="10">
        <f t="shared" si="274"/>
        <v>0</v>
      </c>
      <c r="AG248" s="10">
        <f t="shared" si="275"/>
        <v>0</v>
      </c>
      <c r="AH248" s="10">
        <f t="shared" si="276"/>
        <v>0</v>
      </c>
      <c r="AI248" s="43" t="s">
        <v>44</v>
      </c>
      <c r="AJ248" s="10">
        <f t="shared" si="277"/>
        <v>0</v>
      </c>
      <c r="AK248" s="10">
        <f t="shared" si="278"/>
        <v>0</v>
      </c>
      <c r="AL248" s="10">
        <f t="shared" si="279"/>
        <v>0</v>
      </c>
      <c r="AN248" s="10">
        <v>21</v>
      </c>
      <c r="AO248" s="10">
        <f t="shared" si="280"/>
        <v>0</v>
      </c>
      <c r="AP248" s="10">
        <f t="shared" si="281"/>
        <v>0</v>
      </c>
      <c r="AQ248" s="41" t="s">
        <v>531</v>
      </c>
      <c r="AV248" s="10">
        <f t="shared" si="282"/>
        <v>0</v>
      </c>
      <c r="AW248" s="10">
        <f t="shared" si="283"/>
        <v>0</v>
      </c>
      <c r="AX248" s="10">
        <f t="shared" si="284"/>
        <v>0</v>
      </c>
      <c r="AY248" s="41" t="s">
        <v>532</v>
      </c>
      <c r="AZ248" s="41" t="s">
        <v>533</v>
      </c>
      <c r="BA248" s="43" t="s">
        <v>51</v>
      </c>
      <c r="BC248" s="10">
        <f t="shared" si="285"/>
        <v>0</v>
      </c>
      <c r="BD248" s="10">
        <f t="shared" si="286"/>
        <v>0</v>
      </c>
      <c r="BE248" s="10">
        <v>0</v>
      </c>
      <c r="BF248" s="10">
        <f>248</f>
        <v>248</v>
      </c>
      <c r="BH248" s="10">
        <f t="shared" si="287"/>
        <v>0</v>
      </c>
      <c r="BI248" s="10">
        <f t="shared" si="288"/>
        <v>0</v>
      </c>
      <c r="BJ248" s="10">
        <f t="shared" si="289"/>
        <v>0</v>
      </c>
      <c r="BK248" s="10"/>
      <c r="BL248" s="10"/>
    </row>
    <row r="249" spans="2:64" ht="15" customHeight="1">
      <c r="B249" s="25" t="s">
        <v>542</v>
      </c>
      <c r="C249" s="62" t="s">
        <v>543</v>
      </c>
      <c r="D249" s="62"/>
      <c r="E249" s="62"/>
      <c r="F249" s="62"/>
      <c r="G249" s="23" t="s">
        <v>60</v>
      </c>
      <c r="H249" s="10">
        <v>1</v>
      </c>
      <c r="I249" s="53">
        <v>0</v>
      </c>
      <c r="J249" s="10">
        <f t="shared" si="266"/>
        <v>0</v>
      </c>
      <c r="K249" s="10">
        <f t="shared" si="267"/>
        <v>0</v>
      </c>
      <c r="L249" s="10">
        <f t="shared" si="268"/>
        <v>0</v>
      </c>
      <c r="M249" s="47"/>
      <c r="Z249" s="10">
        <f t="shared" si="269"/>
        <v>0</v>
      </c>
      <c r="AB249" s="10">
        <f t="shared" si="270"/>
        <v>0</v>
      </c>
      <c r="AC249" s="10">
        <f t="shared" si="271"/>
        <v>0</v>
      </c>
      <c r="AD249" s="10">
        <f t="shared" si="272"/>
        <v>0</v>
      </c>
      <c r="AE249" s="10">
        <f t="shared" si="273"/>
        <v>0</v>
      </c>
      <c r="AF249" s="10">
        <f t="shared" si="274"/>
        <v>0</v>
      </c>
      <c r="AG249" s="10">
        <f t="shared" si="275"/>
        <v>0</v>
      </c>
      <c r="AH249" s="10">
        <f t="shared" si="276"/>
        <v>0</v>
      </c>
      <c r="AI249" s="43" t="s">
        <v>44</v>
      </c>
      <c r="AJ249" s="10">
        <f t="shared" si="277"/>
        <v>0</v>
      </c>
      <c r="AK249" s="10">
        <f t="shared" si="278"/>
        <v>0</v>
      </c>
      <c r="AL249" s="10">
        <f t="shared" si="279"/>
        <v>0</v>
      </c>
      <c r="AN249" s="10">
        <v>21</v>
      </c>
      <c r="AO249" s="10">
        <f t="shared" si="280"/>
        <v>0</v>
      </c>
      <c r="AP249" s="10">
        <f t="shared" si="281"/>
        <v>0</v>
      </c>
      <c r="AQ249" s="41" t="s">
        <v>531</v>
      </c>
      <c r="AV249" s="10">
        <f t="shared" si="282"/>
        <v>0</v>
      </c>
      <c r="AW249" s="10">
        <f t="shared" si="283"/>
        <v>0</v>
      </c>
      <c r="AX249" s="10">
        <f t="shared" si="284"/>
        <v>0</v>
      </c>
      <c r="AY249" s="41" t="s">
        <v>532</v>
      </c>
      <c r="AZ249" s="41" t="s">
        <v>533</v>
      </c>
      <c r="BA249" s="43" t="s">
        <v>51</v>
      </c>
      <c r="BC249" s="10">
        <f t="shared" si="285"/>
        <v>0</v>
      </c>
      <c r="BD249" s="10">
        <f t="shared" si="286"/>
        <v>0</v>
      </c>
      <c r="BE249" s="10">
        <v>0</v>
      </c>
      <c r="BF249" s="10">
        <f>249</f>
        <v>249</v>
      </c>
      <c r="BH249" s="10">
        <f t="shared" si="287"/>
        <v>0</v>
      </c>
      <c r="BI249" s="10">
        <f t="shared" si="288"/>
        <v>0</v>
      </c>
      <c r="BJ249" s="10">
        <f t="shared" si="289"/>
        <v>0</v>
      </c>
      <c r="BK249" s="10"/>
      <c r="BL249" s="10"/>
    </row>
    <row r="250" spans="2:64" ht="15" customHeight="1">
      <c r="B250" s="25" t="s">
        <v>544</v>
      </c>
      <c r="C250" s="62" t="s">
        <v>545</v>
      </c>
      <c r="D250" s="62"/>
      <c r="E250" s="62"/>
      <c r="F250" s="62"/>
      <c r="G250" s="23" t="s">
        <v>60</v>
      </c>
      <c r="H250" s="10">
        <v>320</v>
      </c>
      <c r="I250" s="53">
        <v>0</v>
      </c>
      <c r="J250" s="10">
        <f t="shared" si="266"/>
        <v>0</v>
      </c>
      <c r="K250" s="10">
        <f t="shared" si="267"/>
        <v>0</v>
      </c>
      <c r="L250" s="10">
        <f t="shared" si="268"/>
        <v>0</v>
      </c>
      <c r="M250" s="47"/>
      <c r="Z250" s="10">
        <f t="shared" si="269"/>
        <v>0</v>
      </c>
      <c r="AB250" s="10">
        <f t="shared" si="270"/>
        <v>0</v>
      </c>
      <c r="AC250" s="10">
        <f t="shared" si="271"/>
        <v>0</v>
      </c>
      <c r="AD250" s="10">
        <f t="shared" si="272"/>
        <v>0</v>
      </c>
      <c r="AE250" s="10">
        <f t="shared" si="273"/>
        <v>0</v>
      </c>
      <c r="AF250" s="10">
        <f t="shared" si="274"/>
        <v>0</v>
      </c>
      <c r="AG250" s="10">
        <f t="shared" si="275"/>
        <v>0</v>
      </c>
      <c r="AH250" s="10">
        <f t="shared" si="276"/>
        <v>0</v>
      </c>
      <c r="AI250" s="43" t="s">
        <v>44</v>
      </c>
      <c r="AJ250" s="10">
        <f t="shared" si="277"/>
        <v>0</v>
      </c>
      <c r="AK250" s="10">
        <f t="shared" si="278"/>
        <v>0</v>
      </c>
      <c r="AL250" s="10">
        <f t="shared" si="279"/>
        <v>0</v>
      </c>
      <c r="AN250" s="10">
        <v>21</v>
      </c>
      <c r="AO250" s="10">
        <f t="shared" si="280"/>
        <v>0</v>
      </c>
      <c r="AP250" s="10">
        <f t="shared" si="281"/>
        <v>0</v>
      </c>
      <c r="AQ250" s="41" t="s">
        <v>531</v>
      </c>
      <c r="AV250" s="10">
        <f t="shared" si="282"/>
        <v>0</v>
      </c>
      <c r="AW250" s="10">
        <f t="shared" si="283"/>
        <v>0</v>
      </c>
      <c r="AX250" s="10">
        <f t="shared" si="284"/>
        <v>0</v>
      </c>
      <c r="AY250" s="41" t="s">
        <v>532</v>
      </c>
      <c r="AZ250" s="41" t="s">
        <v>533</v>
      </c>
      <c r="BA250" s="43" t="s">
        <v>51</v>
      </c>
      <c r="BC250" s="10">
        <f t="shared" si="285"/>
        <v>0</v>
      </c>
      <c r="BD250" s="10">
        <f t="shared" si="286"/>
        <v>0</v>
      </c>
      <c r="BE250" s="10">
        <v>0</v>
      </c>
      <c r="BF250" s="10">
        <f>250</f>
        <v>250</v>
      </c>
      <c r="BH250" s="10">
        <f t="shared" si="287"/>
        <v>0</v>
      </c>
      <c r="BI250" s="10">
        <f t="shared" si="288"/>
        <v>0</v>
      </c>
      <c r="BJ250" s="10">
        <f t="shared" si="289"/>
        <v>0</v>
      </c>
      <c r="BK250" s="10"/>
      <c r="BL250" s="10"/>
    </row>
    <row r="251" spans="2:64" ht="15" customHeight="1">
      <c r="B251" s="25" t="s">
        <v>546</v>
      </c>
      <c r="C251" s="62" t="s">
        <v>547</v>
      </c>
      <c r="D251" s="62"/>
      <c r="E251" s="62"/>
      <c r="F251" s="62"/>
      <c r="G251" s="23" t="s">
        <v>548</v>
      </c>
      <c r="H251" s="10">
        <v>1197.18828</v>
      </c>
      <c r="I251" s="53">
        <v>0</v>
      </c>
      <c r="J251" s="10">
        <f t="shared" si="266"/>
        <v>0</v>
      </c>
      <c r="K251" s="10">
        <f t="shared" si="267"/>
        <v>0</v>
      </c>
      <c r="L251" s="10">
        <f t="shared" si="268"/>
        <v>0</v>
      </c>
      <c r="M251" s="47"/>
      <c r="Z251" s="10">
        <f t="shared" si="269"/>
        <v>0</v>
      </c>
      <c r="AB251" s="10">
        <f t="shared" si="270"/>
        <v>0</v>
      </c>
      <c r="AC251" s="10">
        <f t="shared" si="271"/>
        <v>0</v>
      </c>
      <c r="AD251" s="10">
        <f t="shared" si="272"/>
        <v>0</v>
      </c>
      <c r="AE251" s="10">
        <f t="shared" si="273"/>
        <v>0</v>
      </c>
      <c r="AF251" s="10">
        <f t="shared" si="274"/>
        <v>0</v>
      </c>
      <c r="AG251" s="10">
        <f t="shared" si="275"/>
        <v>0</v>
      </c>
      <c r="AH251" s="10">
        <f t="shared" si="276"/>
        <v>0</v>
      </c>
      <c r="AI251" s="43" t="s">
        <v>44</v>
      </c>
      <c r="AJ251" s="10">
        <f t="shared" si="277"/>
        <v>0</v>
      </c>
      <c r="AK251" s="10">
        <f t="shared" si="278"/>
        <v>0</v>
      </c>
      <c r="AL251" s="10">
        <f t="shared" si="279"/>
        <v>0</v>
      </c>
      <c r="AN251" s="10">
        <v>21</v>
      </c>
      <c r="AO251" s="10">
        <f t="shared" si="280"/>
        <v>0</v>
      </c>
      <c r="AP251" s="10">
        <f t="shared" si="281"/>
        <v>0</v>
      </c>
      <c r="AQ251" s="41" t="s">
        <v>531</v>
      </c>
      <c r="AV251" s="10">
        <f t="shared" si="282"/>
        <v>0</v>
      </c>
      <c r="AW251" s="10">
        <f t="shared" si="283"/>
        <v>0</v>
      </c>
      <c r="AX251" s="10">
        <f t="shared" si="284"/>
        <v>0</v>
      </c>
      <c r="AY251" s="41" t="s">
        <v>532</v>
      </c>
      <c r="AZ251" s="41" t="s">
        <v>533</v>
      </c>
      <c r="BA251" s="43" t="s">
        <v>51</v>
      </c>
      <c r="BC251" s="10">
        <f t="shared" si="285"/>
        <v>0</v>
      </c>
      <c r="BD251" s="10">
        <f t="shared" si="286"/>
        <v>0</v>
      </c>
      <c r="BE251" s="10">
        <v>0</v>
      </c>
      <c r="BF251" s="10">
        <f>251</f>
        <v>251</v>
      </c>
      <c r="BH251" s="10">
        <f t="shared" si="287"/>
        <v>0</v>
      </c>
      <c r="BI251" s="10">
        <f t="shared" si="288"/>
        <v>0</v>
      </c>
      <c r="BJ251" s="10">
        <f t="shared" si="289"/>
        <v>0</v>
      </c>
      <c r="BK251" s="10"/>
      <c r="BL251" s="10"/>
    </row>
    <row r="252" spans="2:64" ht="15" customHeight="1">
      <c r="B252" s="25" t="s">
        <v>549</v>
      </c>
      <c r="C252" s="62" t="s">
        <v>550</v>
      </c>
      <c r="D252" s="62"/>
      <c r="E252" s="62"/>
      <c r="F252" s="62"/>
      <c r="G252" s="23" t="s">
        <v>60</v>
      </c>
      <c r="H252" s="10">
        <v>9</v>
      </c>
      <c r="I252" s="53">
        <v>0</v>
      </c>
      <c r="J252" s="10">
        <f t="shared" si="266"/>
        <v>0</v>
      </c>
      <c r="K252" s="10">
        <f t="shared" si="267"/>
        <v>0</v>
      </c>
      <c r="L252" s="10">
        <f t="shared" si="268"/>
        <v>0</v>
      </c>
      <c r="M252" s="47"/>
      <c r="Z252" s="10">
        <f t="shared" si="269"/>
        <v>0</v>
      </c>
      <c r="AB252" s="10">
        <f t="shared" si="270"/>
        <v>0</v>
      </c>
      <c r="AC252" s="10">
        <f t="shared" si="271"/>
        <v>0</v>
      </c>
      <c r="AD252" s="10">
        <f t="shared" si="272"/>
        <v>0</v>
      </c>
      <c r="AE252" s="10">
        <f t="shared" si="273"/>
        <v>0</v>
      </c>
      <c r="AF252" s="10">
        <f t="shared" si="274"/>
        <v>0</v>
      </c>
      <c r="AG252" s="10">
        <f t="shared" si="275"/>
        <v>0</v>
      </c>
      <c r="AH252" s="10">
        <f t="shared" si="276"/>
        <v>0</v>
      </c>
      <c r="AI252" s="43" t="s">
        <v>44</v>
      </c>
      <c r="AJ252" s="10">
        <f t="shared" si="277"/>
        <v>0</v>
      </c>
      <c r="AK252" s="10">
        <f t="shared" si="278"/>
        <v>0</v>
      </c>
      <c r="AL252" s="10">
        <f t="shared" si="279"/>
        <v>0</v>
      </c>
      <c r="AN252" s="10">
        <v>21</v>
      </c>
      <c r="AO252" s="10">
        <f t="shared" si="280"/>
        <v>0</v>
      </c>
      <c r="AP252" s="10">
        <f t="shared" si="281"/>
        <v>0</v>
      </c>
      <c r="AQ252" s="41" t="s">
        <v>531</v>
      </c>
      <c r="AV252" s="10">
        <f t="shared" si="282"/>
        <v>0</v>
      </c>
      <c r="AW252" s="10">
        <f t="shared" si="283"/>
        <v>0</v>
      </c>
      <c r="AX252" s="10">
        <f t="shared" si="284"/>
        <v>0</v>
      </c>
      <c r="AY252" s="41" t="s">
        <v>532</v>
      </c>
      <c r="AZ252" s="41" t="s">
        <v>533</v>
      </c>
      <c r="BA252" s="43" t="s">
        <v>51</v>
      </c>
      <c r="BC252" s="10">
        <f t="shared" si="285"/>
        <v>0</v>
      </c>
      <c r="BD252" s="10">
        <f t="shared" si="286"/>
        <v>0</v>
      </c>
      <c r="BE252" s="10">
        <v>0</v>
      </c>
      <c r="BF252" s="10">
        <f>252</f>
        <v>252</v>
      </c>
      <c r="BH252" s="10">
        <f t="shared" si="287"/>
        <v>0</v>
      </c>
      <c r="BI252" s="10">
        <f t="shared" si="288"/>
        <v>0</v>
      </c>
      <c r="BJ252" s="10">
        <f t="shared" si="289"/>
        <v>0</v>
      </c>
      <c r="BK252" s="10"/>
      <c r="BL252" s="10"/>
    </row>
    <row r="253" spans="2:64" ht="15" customHeight="1">
      <c r="B253" s="25" t="s">
        <v>551</v>
      </c>
      <c r="C253" s="62" t="s">
        <v>552</v>
      </c>
      <c r="D253" s="62"/>
      <c r="E253" s="62"/>
      <c r="F253" s="62"/>
      <c r="G253" s="23" t="s">
        <v>60</v>
      </c>
      <c r="H253" s="10">
        <v>4</v>
      </c>
      <c r="I253" s="53">
        <v>0</v>
      </c>
      <c r="J253" s="10">
        <f t="shared" si="266"/>
        <v>0</v>
      </c>
      <c r="K253" s="10">
        <f t="shared" si="267"/>
        <v>0</v>
      </c>
      <c r="L253" s="10">
        <f t="shared" si="268"/>
        <v>0</v>
      </c>
      <c r="M253" s="47"/>
      <c r="Z253" s="10">
        <f t="shared" si="269"/>
        <v>0</v>
      </c>
      <c r="AB253" s="10">
        <f t="shared" si="270"/>
        <v>0</v>
      </c>
      <c r="AC253" s="10">
        <f t="shared" si="271"/>
        <v>0</v>
      </c>
      <c r="AD253" s="10">
        <f t="shared" si="272"/>
        <v>0</v>
      </c>
      <c r="AE253" s="10">
        <f t="shared" si="273"/>
        <v>0</v>
      </c>
      <c r="AF253" s="10">
        <f t="shared" si="274"/>
        <v>0</v>
      </c>
      <c r="AG253" s="10">
        <f t="shared" si="275"/>
        <v>0</v>
      </c>
      <c r="AH253" s="10">
        <f t="shared" si="276"/>
        <v>0</v>
      </c>
      <c r="AI253" s="43" t="s">
        <v>44</v>
      </c>
      <c r="AJ253" s="10">
        <f t="shared" si="277"/>
        <v>0</v>
      </c>
      <c r="AK253" s="10">
        <f t="shared" si="278"/>
        <v>0</v>
      </c>
      <c r="AL253" s="10">
        <f t="shared" si="279"/>
        <v>0</v>
      </c>
      <c r="AN253" s="10">
        <v>21</v>
      </c>
      <c r="AO253" s="10">
        <f t="shared" si="280"/>
        <v>0</v>
      </c>
      <c r="AP253" s="10">
        <f t="shared" si="281"/>
        <v>0</v>
      </c>
      <c r="AQ253" s="41" t="s">
        <v>531</v>
      </c>
      <c r="AV253" s="10">
        <f t="shared" si="282"/>
        <v>0</v>
      </c>
      <c r="AW253" s="10">
        <f t="shared" si="283"/>
        <v>0</v>
      </c>
      <c r="AX253" s="10">
        <f t="shared" si="284"/>
        <v>0</v>
      </c>
      <c r="AY253" s="41" t="s">
        <v>532</v>
      </c>
      <c r="AZ253" s="41" t="s">
        <v>533</v>
      </c>
      <c r="BA253" s="43" t="s">
        <v>51</v>
      </c>
      <c r="BC253" s="10">
        <f t="shared" si="285"/>
        <v>0</v>
      </c>
      <c r="BD253" s="10">
        <f t="shared" si="286"/>
        <v>0</v>
      </c>
      <c r="BE253" s="10">
        <v>0</v>
      </c>
      <c r="BF253" s="10">
        <f>253</f>
        <v>253</v>
      </c>
      <c r="BH253" s="10">
        <f t="shared" si="287"/>
        <v>0</v>
      </c>
      <c r="BI253" s="10">
        <f t="shared" si="288"/>
        <v>0</v>
      </c>
      <c r="BJ253" s="10">
        <f t="shared" si="289"/>
        <v>0</v>
      </c>
      <c r="BK253" s="10"/>
      <c r="BL253" s="10"/>
    </row>
    <row r="254" spans="2:64" ht="15" customHeight="1">
      <c r="B254" s="25" t="s">
        <v>553</v>
      </c>
      <c r="C254" s="62" t="s">
        <v>554</v>
      </c>
      <c r="D254" s="62"/>
      <c r="E254" s="62"/>
      <c r="F254" s="62"/>
      <c r="G254" s="23" t="s">
        <v>60</v>
      </c>
      <c r="H254" s="10">
        <v>2</v>
      </c>
      <c r="I254" s="53">
        <v>0</v>
      </c>
      <c r="J254" s="10">
        <f t="shared" si="266"/>
        <v>0</v>
      </c>
      <c r="K254" s="10">
        <f t="shared" si="267"/>
        <v>0</v>
      </c>
      <c r="L254" s="10">
        <f t="shared" si="268"/>
        <v>0</v>
      </c>
      <c r="M254" s="47"/>
      <c r="Z254" s="10">
        <f t="shared" si="269"/>
        <v>0</v>
      </c>
      <c r="AB254" s="10">
        <f t="shared" si="270"/>
        <v>0</v>
      </c>
      <c r="AC254" s="10">
        <f t="shared" si="271"/>
        <v>0</v>
      </c>
      <c r="AD254" s="10">
        <f t="shared" si="272"/>
        <v>0</v>
      </c>
      <c r="AE254" s="10">
        <f t="shared" si="273"/>
        <v>0</v>
      </c>
      <c r="AF254" s="10">
        <f t="shared" si="274"/>
        <v>0</v>
      </c>
      <c r="AG254" s="10">
        <f t="shared" si="275"/>
        <v>0</v>
      </c>
      <c r="AH254" s="10">
        <f t="shared" si="276"/>
        <v>0</v>
      </c>
      <c r="AI254" s="43" t="s">
        <v>44</v>
      </c>
      <c r="AJ254" s="10">
        <f t="shared" si="277"/>
        <v>0</v>
      </c>
      <c r="AK254" s="10">
        <f t="shared" si="278"/>
        <v>0</v>
      </c>
      <c r="AL254" s="10">
        <f t="shared" si="279"/>
        <v>0</v>
      </c>
      <c r="AN254" s="10">
        <v>21</v>
      </c>
      <c r="AO254" s="10">
        <f t="shared" si="280"/>
        <v>0</v>
      </c>
      <c r="AP254" s="10">
        <f t="shared" si="281"/>
        <v>0</v>
      </c>
      <c r="AQ254" s="41" t="s">
        <v>531</v>
      </c>
      <c r="AV254" s="10">
        <f t="shared" si="282"/>
        <v>0</v>
      </c>
      <c r="AW254" s="10">
        <f t="shared" si="283"/>
        <v>0</v>
      </c>
      <c r="AX254" s="10">
        <f t="shared" si="284"/>
        <v>0</v>
      </c>
      <c r="AY254" s="41" t="s">
        <v>532</v>
      </c>
      <c r="AZ254" s="41" t="s">
        <v>533</v>
      </c>
      <c r="BA254" s="43" t="s">
        <v>51</v>
      </c>
      <c r="BC254" s="10">
        <f t="shared" si="285"/>
        <v>0</v>
      </c>
      <c r="BD254" s="10">
        <f t="shared" si="286"/>
        <v>0</v>
      </c>
      <c r="BE254" s="10">
        <v>0</v>
      </c>
      <c r="BF254" s="10">
        <f>254</f>
        <v>254</v>
      </c>
      <c r="BH254" s="10">
        <f t="shared" si="287"/>
        <v>0</v>
      </c>
      <c r="BI254" s="10">
        <f t="shared" si="288"/>
        <v>0</v>
      </c>
      <c r="BJ254" s="10">
        <f t="shared" si="289"/>
        <v>0</v>
      </c>
      <c r="BK254" s="10"/>
      <c r="BL254" s="10"/>
    </row>
    <row r="255" spans="2:64" ht="15" customHeight="1">
      <c r="B255" s="25" t="s">
        <v>555</v>
      </c>
      <c r="C255" s="62" t="s">
        <v>556</v>
      </c>
      <c r="D255" s="62"/>
      <c r="E255" s="62"/>
      <c r="F255" s="62"/>
      <c r="G255" s="23" t="s">
        <v>60</v>
      </c>
      <c r="H255" s="10">
        <v>3</v>
      </c>
      <c r="I255" s="53">
        <v>0</v>
      </c>
      <c r="J255" s="10">
        <f t="shared" si="266"/>
        <v>0</v>
      </c>
      <c r="K255" s="10">
        <f t="shared" si="267"/>
        <v>0</v>
      </c>
      <c r="L255" s="10">
        <f t="shared" si="268"/>
        <v>0</v>
      </c>
      <c r="M255" s="47"/>
      <c r="Z255" s="10">
        <f t="shared" si="269"/>
        <v>0</v>
      </c>
      <c r="AB255" s="10">
        <f t="shared" si="270"/>
        <v>0</v>
      </c>
      <c r="AC255" s="10">
        <f t="shared" si="271"/>
        <v>0</v>
      </c>
      <c r="AD255" s="10">
        <f t="shared" si="272"/>
        <v>0</v>
      </c>
      <c r="AE255" s="10">
        <f t="shared" si="273"/>
        <v>0</v>
      </c>
      <c r="AF255" s="10">
        <f t="shared" si="274"/>
        <v>0</v>
      </c>
      <c r="AG255" s="10">
        <f t="shared" si="275"/>
        <v>0</v>
      </c>
      <c r="AH255" s="10">
        <f t="shared" si="276"/>
        <v>0</v>
      </c>
      <c r="AI255" s="43" t="s">
        <v>44</v>
      </c>
      <c r="AJ255" s="10">
        <f t="shared" si="277"/>
        <v>0</v>
      </c>
      <c r="AK255" s="10">
        <f t="shared" si="278"/>
        <v>0</v>
      </c>
      <c r="AL255" s="10">
        <f t="shared" si="279"/>
        <v>0</v>
      </c>
      <c r="AN255" s="10">
        <v>21</v>
      </c>
      <c r="AO255" s="10">
        <f t="shared" si="280"/>
        <v>0</v>
      </c>
      <c r="AP255" s="10">
        <f t="shared" si="281"/>
        <v>0</v>
      </c>
      <c r="AQ255" s="41" t="s">
        <v>531</v>
      </c>
      <c r="AV255" s="10">
        <f t="shared" si="282"/>
        <v>0</v>
      </c>
      <c r="AW255" s="10">
        <f t="shared" si="283"/>
        <v>0</v>
      </c>
      <c r="AX255" s="10">
        <f t="shared" si="284"/>
        <v>0</v>
      </c>
      <c r="AY255" s="41" t="s">
        <v>532</v>
      </c>
      <c r="AZ255" s="41" t="s">
        <v>533</v>
      </c>
      <c r="BA255" s="43" t="s">
        <v>51</v>
      </c>
      <c r="BC255" s="10">
        <f t="shared" si="285"/>
        <v>0</v>
      </c>
      <c r="BD255" s="10">
        <f t="shared" si="286"/>
        <v>0</v>
      </c>
      <c r="BE255" s="10">
        <v>0</v>
      </c>
      <c r="BF255" s="10">
        <f>255</f>
        <v>255</v>
      </c>
      <c r="BH255" s="10">
        <f t="shared" si="287"/>
        <v>0</v>
      </c>
      <c r="BI255" s="10">
        <f t="shared" si="288"/>
        <v>0</v>
      </c>
      <c r="BJ255" s="10">
        <f t="shared" si="289"/>
        <v>0</v>
      </c>
      <c r="BK255" s="10"/>
      <c r="BL255" s="10"/>
    </row>
    <row r="256" spans="2:64" ht="15" customHeight="1">
      <c r="B256" s="25" t="s">
        <v>557</v>
      </c>
      <c r="C256" s="62" t="s">
        <v>558</v>
      </c>
      <c r="D256" s="62"/>
      <c r="E256" s="62"/>
      <c r="F256" s="62"/>
      <c r="G256" s="23" t="s">
        <v>60</v>
      </c>
      <c r="H256" s="10">
        <v>17</v>
      </c>
      <c r="I256" s="53">
        <v>0</v>
      </c>
      <c r="J256" s="10">
        <f t="shared" si="266"/>
        <v>0</v>
      </c>
      <c r="K256" s="10">
        <f t="shared" si="267"/>
        <v>0</v>
      </c>
      <c r="L256" s="10">
        <f t="shared" si="268"/>
        <v>0</v>
      </c>
      <c r="M256" s="47"/>
      <c r="Z256" s="10">
        <f t="shared" si="269"/>
        <v>0</v>
      </c>
      <c r="AB256" s="10">
        <f t="shared" si="270"/>
        <v>0</v>
      </c>
      <c r="AC256" s="10">
        <f t="shared" si="271"/>
        <v>0</v>
      </c>
      <c r="AD256" s="10">
        <f t="shared" si="272"/>
        <v>0</v>
      </c>
      <c r="AE256" s="10">
        <f t="shared" si="273"/>
        <v>0</v>
      </c>
      <c r="AF256" s="10">
        <f t="shared" si="274"/>
        <v>0</v>
      </c>
      <c r="AG256" s="10">
        <f t="shared" si="275"/>
        <v>0</v>
      </c>
      <c r="AH256" s="10">
        <f t="shared" si="276"/>
        <v>0</v>
      </c>
      <c r="AI256" s="43" t="s">
        <v>44</v>
      </c>
      <c r="AJ256" s="10">
        <f t="shared" si="277"/>
        <v>0</v>
      </c>
      <c r="AK256" s="10">
        <f t="shared" si="278"/>
        <v>0</v>
      </c>
      <c r="AL256" s="10">
        <f t="shared" si="279"/>
        <v>0</v>
      </c>
      <c r="AN256" s="10">
        <v>21</v>
      </c>
      <c r="AO256" s="10">
        <f t="shared" si="280"/>
        <v>0</v>
      </c>
      <c r="AP256" s="10">
        <f t="shared" si="281"/>
        <v>0</v>
      </c>
      <c r="AQ256" s="41" t="s">
        <v>531</v>
      </c>
      <c r="AV256" s="10">
        <f t="shared" si="282"/>
        <v>0</v>
      </c>
      <c r="AW256" s="10">
        <f t="shared" si="283"/>
        <v>0</v>
      </c>
      <c r="AX256" s="10">
        <f t="shared" si="284"/>
        <v>0</v>
      </c>
      <c r="AY256" s="41" t="s">
        <v>532</v>
      </c>
      <c r="AZ256" s="41" t="s">
        <v>533</v>
      </c>
      <c r="BA256" s="43" t="s">
        <v>51</v>
      </c>
      <c r="BC256" s="10">
        <f t="shared" si="285"/>
        <v>0</v>
      </c>
      <c r="BD256" s="10">
        <f t="shared" si="286"/>
        <v>0</v>
      </c>
      <c r="BE256" s="10">
        <v>0</v>
      </c>
      <c r="BF256" s="10">
        <f>256</f>
        <v>256</v>
      </c>
      <c r="BH256" s="10">
        <f t="shared" si="287"/>
        <v>0</v>
      </c>
      <c r="BI256" s="10">
        <f t="shared" si="288"/>
        <v>0</v>
      </c>
      <c r="BJ256" s="10">
        <f t="shared" si="289"/>
        <v>0</v>
      </c>
      <c r="BK256" s="10"/>
      <c r="BL256" s="10"/>
    </row>
    <row r="257" spans="2:64" ht="15" customHeight="1">
      <c r="B257" s="25" t="s">
        <v>559</v>
      </c>
      <c r="C257" s="62" t="s">
        <v>560</v>
      </c>
      <c r="D257" s="62"/>
      <c r="E257" s="62"/>
      <c r="F257" s="62"/>
      <c r="G257" s="23" t="s">
        <v>60</v>
      </c>
      <c r="H257" s="10">
        <v>17</v>
      </c>
      <c r="I257" s="53">
        <v>0</v>
      </c>
      <c r="J257" s="10">
        <f t="shared" si="266"/>
        <v>0</v>
      </c>
      <c r="K257" s="10">
        <f t="shared" si="267"/>
        <v>0</v>
      </c>
      <c r="L257" s="10">
        <f t="shared" si="268"/>
        <v>0</v>
      </c>
      <c r="M257" s="47"/>
      <c r="Z257" s="10">
        <f t="shared" si="269"/>
        <v>0</v>
      </c>
      <c r="AB257" s="10">
        <f t="shared" si="270"/>
        <v>0</v>
      </c>
      <c r="AC257" s="10">
        <f t="shared" si="271"/>
        <v>0</v>
      </c>
      <c r="AD257" s="10">
        <f t="shared" si="272"/>
        <v>0</v>
      </c>
      <c r="AE257" s="10">
        <f t="shared" si="273"/>
        <v>0</v>
      </c>
      <c r="AF257" s="10">
        <f t="shared" si="274"/>
        <v>0</v>
      </c>
      <c r="AG257" s="10">
        <f t="shared" si="275"/>
        <v>0</v>
      </c>
      <c r="AH257" s="10">
        <f t="shared" si="276"/>
        <v>0</v>
      </c>
      <c r="AI257" s="43" t="s">
        <v>44</v>
      </c>
      <c r="AJ257" s="10">
        <f t="shared" si="277"/>
        <v>0</v>
      </c>
      <c r="AK257" s="10">
        <f t="shared" si="278"/>
        <v>0</v>
      </c>
      <c r="AL257" s="10">
        <f t="shared" si="279"/>
        <v>0</v>
      </c>
      <c r="AN257" s="10">
        <v>21</v>
      </c>
      <c r="AO257" s="10">
        <f t="shared" si="280"/>
        <v>0</v>
      </c>
      <c r="AP257" s="10">
        <f t="shared" si="281"/>
        <v>0</v>
      </c>
      <c r="AQ257" s="41" t="s">
        <v>531</v>
      </c>
      <c r="AV257" s="10">
        <f t="shared" si="282"/>
        <v>0</v>
      </c>
      <c r="AW257" s="10">
        <f t="shared" si="283"/>
        <v>0</v>
      </c>
      <c r="AX257" s="10">
        <f t="shared" si="284"/>
        <v>0</v>
      </c>
      <c r="AY257" s="41" t="s">
        <v>532</v>
      </c>
      <c r="AZ257" s="41" t="s">
        <v>533</v>
      </c>
      <c r="BA257" s="43" t="s">
        <v>51</v>
      </c>
      <c r="BC257" s="10">
        <f t="shared" si="285"/>
        <v>0</v>
      </c>
      <c r="BD257" s="10">
        <f t="shared" si="286"/>
        <v>0</v>
      </c>
      <c r="BE257" s="10">
        <v>0</v>
      </c>
      <c r="BF257" s="10">
        <f>257</f>
        <v>257</v>
      </c>
      <c r="BH257" s="10">
        <f t="shared" si="287"/>
        <v>0</v>
      </c>
      <c r="BI257" s="10">
        <f t="shared" si="288"/>
        <v>0</v>
      </c>
      <c r="BJ257" s="10">
        <f t="shared" si="289"/>
        <v>0</v>
      </c>
      <c r="BK257" s="10"/>
      <c r="BL257" s="10"/>
    </row>
    <row r="258" spans="2:64" ht="15" customHeight="1">
      <c r="B258" s="25" t="s">
        <v>561</v>
      </c>
      <c r="C258" s="62" t="s">
        <v>562</v>
      </c>
      <c r="D258" s="62"/>
      <c r="E258" s="62"/>
      <c r="F258" s="62"/>
      <c r="G258" s="23" t="s">
        <v>60</v>
      </c>
      <c r="H258" s="10">
        <v>9</v>
      </c>
      <c r="I258" s="53">
        <v>0</v>
      </c>
      <c r="J258" s="10">
        <f t="shared" si="266"/>
        <v>0</v>
      </c>
      <c r="K258" s="10">
        <f t="shared" si="267"/>
        <v>0</v>
      </c>
      <c r="L258" s="10">
        <f t="shared" si="268"/>
        <v>0</v>
      </c>
      <c r="M258" s="47"/>
      <c r="Z258" s="10">
        <f t="shared" si="269"/>
        <v>0</v>
      </c>
      <c r="AB258" s="10">
        <f t="shared" si="270"/>
        <v>0</v>
      </c>
      <c r="AC258" s="10">
        <f t="shared" si="271"/>
        <v>0</v>
      </c>
      <c r="AD258" s="10">
        <f t="shared" si="272"/>
        <v>0</v>
      </c>
      <c r="AE258" s="10">
        <f t="shared" si="273"/>
        <v>0</v>
      </c>
      <c r="AF258" s="10">
        <f t="shared" si="274"/>
        <v>0</v>
      </c>
      <c r="AG258" s="10">
        <f t="shared" si="275"/>
        <v>0</v>
      </c>
      <c r="AH258" s="10">
        <f t="shared" si="276"/>
        <v>0</v>
      </c>
      <c r="AI258" s="43" t="s">
        <v>44</v>
      </c>
      <c r="AJ258" s="10">
        <f t="shared" si="277"/>
        <v>0</v>
      </c>
      <c r="AK258" s="10">
        <f t="shared" si="278"/>
        <v>0</v>
      </c>
      <c r="AL258" s="10">
        <f t="shared" si="279"/>
        <v>0</v>
      </c>
      <c r="AN258" s="10">
        <v>21</v>
      </c>
      <c r="AO258" s="10">
        <f t="shared" si="280"/>
        <v>0</v>
      </c>
      <c r="AP258" s="10">
        <f t="shared" si="281"/>
        <v>0</v>
      </c>
      <c r="AQ258" s="41" t="s">
        <v>531</v>
      </c>
      <c r="AV258" s="10">
        <f t="shared" si="282"/>
        <v>0</v>
      </c>
      <c r="AW258" s="10">
        <f t="shared" si="283"/>
        <v>0</v>
      </c>
      <c r="AX258" s="10">
        <f t="shared" si="284"/>
        <v>0</v>
      </c>
      <c r="AY258" s="41" t="s">
        <v>532</v>
      </c>
      <c r="AZ258" s="41" t="s">
        <v>533</v>
      </c>
      <c r="BA258" s="43" t="s">
        <v>51</v>
      </c>
      <c r="BC258" s="10">
        <f t="shared" si="285"/>
        <v>0</v>
      </c>
      <c r="BD258" s="10">
        <f t="shared" si="286"/>
        <v>0</v>
      </c>
      <c r="BE258" s="10">
        <v>0</v>
      </c>
      <c r="BF258" s="10">
        <f>258</f>
        <v>258</v>
      </c>
      <c r="BH258" s="10">
        <f t="shared" si="287"/>
        <v>0</v>
      </c>
      <c r="BI258" s="10">
        <f t="shared" si="288"/>
        <v>0</v>
      </c>
      <c r="BJ258" s="10">
        <f t="shared" si="289"/>
        <v>0</v>
      </c>
      <c r="BK258" s="10"/>
      <c r="BL258" s="10"/>
    </row>
    <row r="259" spans="2:64" ht="15" customHeight="1">
      <c r="B259" s="25" t="s">
        <v>563</v>
      </c>
      <c r="C259" s="62" t="s">
        <v>564</v>
      </c>
      <c r="D259" s="62"/>
      <c r="E259" s="62"/>
      <c r="F259" s="62"/>
      <c r="G259" s="23" t="s">
        <v>60</v>
      </c>
      <c r="H259" s="10">
        <v>17</v>
      </c>
      <c r="I259" s="53">
        <v>0</v>
      </c>
      <c r="J259" s="10">
        <f t="shared" si="266"/>
        <v>0</v>
      </c>
      <c r="K259" s="10">
        <f t="shared" si="267"/>
        <v>0</v>
      </c>
      <c r="L259" s="10">
        <f t="shared" si="268"/>
        <v>0</v>
      </c>
      <c r="M259" s="47"/>
      <c r="Z259" s="10">
        <f t="shared" si="269"/>
        <v>0</v>
      </c>
      <c r="AB259" s="10">
        <f t="shared" si="270"/>
        <v>0</v>
      </c>
      <c r="AC259" s="10">
        <f t="shared" si="271"/>
        <v>0</v>
      </c>
      <c r="AD259" s="10">
        <f t="shared" si="272"/>
        <v>0</v>
      </c>
      <c r="AE259" s="10">
        <f t="shared" si="273"/>
        <v>0</v>
      </c>
      <c r="AF259" s="10">
        <f t="shared" si="274"/>
        <v>0</v>
      </c>
      <c r="AG259" s="10">
        <f t="shared" si="275"/>
        <v>0</v>
      </c>
      <c r="AH259" s="10">
        <f t="shared" si="276"/>
        <v>0</v>
      </c>
      <c r="AI259" s="43" t="s">
        <v>44</v>
      </c>
      <c r="AJ259" s="10">
        <f t="shared" si="277"/>
        <v>0</v>
      </c>
      <c r="AK259" s="10">
        <f t="shared" si="278"/>
        <v>0</v>
      </c>
      <c r="AL259" s="10">
        <f t="shared" si="279"/>
        <v>0</v>
      </c>
      <c r="AN259" s="10">
        <v>21</v>
      </c>
      <c r="AO259" s="10">
        <f t="shared" si="280"/>
        <v>0</v>
      </c>
      <c r="AP259" s="10">
        <f t="shared" si="281"/>
        <v>0</v>
      </c>
      <c r="AQ259" s="41" t="s">
        <v>531</v>
      </c>
      <c r="AV259" s="10">
        <f t="shared" si="282"/>
        <v>0</v>
      </c>
      <c r="AW259" s="10">
        <f t="shared" si="283"/>
        <v>0</v>
      </c>
      <c r="AX259" s="10">
        <f t="shared" si="284"/>
        <v>0</v>
      </c>
      <c r="AY259" s="41" t="s">
        <v>532</v>
      </c>
      <c r="AZ259" s="41" t="s">
        <v>533</v>
      </c>
      <c r="BA259" s="43" t="s">
        <v>51</v>
      </c>
      <c r="BC259" s="10">
        <f t="shared" si="285"/>
        <v>0</v>
      </c>
      <c r="BD259" s="10">
        <f t="shared" si="286"/>
        <v>0</v>
      </c>
      <c r="BE259" s="10">
        <v>0</v>
      </c>
      <c r="BF259" s="10">
        <f>259</f>
        <v>259</v>
      </c>
      <c r="BH259" s="10">
        <f t="shared" si="287"/>
        <v>0</v>
      </c>
      <c r="BI259" s="10">
        <f t="shared" si="288"/>
        <v>0</v>
      </c>
      <c r="BJ259" s="10">
        <f t="shared" si="289"/>
        <v>0</v>
      </c>
      <c r="BK259" s="10"/>
      <c r="BL259" s="10"/>
    </row>
    <row r="260" spans="2:64" ht="15" customHeight="1">
      <c r="B260" s="25" t="s">
        <v>565</v>
      </c>
      <c r="C260" s="62" t="s">
        <v>566</v>
      </c>
      <c r="D260" s="62"/>
      <c r="E260" s="62"/>
      <c r="F260" s="62"/>
      <c r="G260" s="23" t="s">
        <v>63</v>
      </c>
      <c r="H260" s="10">
        <v>45.9</v>
      </c>
      <c r="I260" s="53">
        <v>0</v>
      </c>
      <c r="J260" s="10">
        <f t="shared" si="266"/>
        <v>0</v>
      </c>
      <c r="K260" s="10">
        <f t="shared" si="267"/>
        <v>0</v>
      </c>
      <c r="L260" s="10">
        <f t="shared" si="268"/>
        <v>0</v>
      </c>
      <c r="M260" s="47"/>
      <c r="Z260" s="10">
        <f t="shared" si="269"/>
        <v>0</v>
      </c>
      <c r="AB260" s="10">
        <f t="shared" si="270"/>
        <v>0</v>
      </c>
      <c r="AC260" s="10">
        <f t="shared" si="271"/>
        <v>0</v>
      </c>
      <c r="AD260" s="10">
        <f t="shared" si="272"/>
        <v>0</v>
      </c>
      <c r="AE260" s="10">
        <f t="shared" si="273"/>
        <v>0</v>
      </c>
      <c r="AF260" s="10">
        <f t="shared" si="274"/>
        <v>0</v>
      </c>
      <c r="AG260" s="10">
        <f t="shared" si="275"/>
        <v>0</v>
      </c>
      <c r="AH260" s="10">
        <f t="shared" si="276"/>
        <v>0</v>
      </c>
      <c r="AI260" s="43" t="s">
        <v>44</v>
      </c>
      <c r="AJ260" s="10">
        <f t="shared" si="277"/>
        <v>0</v>
      </c>
      <c r="AK260" s="10">
        <f t="shared" si="278"/>
        <v>0</v>
      </c>
      <c r="AL260" s="10">
        <f t="shared" si="279"/>
        <v>0</v>
      </c>
      <c r="AN260" s="10">
        <v>21</v>
      </c>
      <c r="AO260" s="10">
        <f t="shared" si="280"/>
        <v>0</v>
      </c>
      <c r="AP260" s="10">
        <f t="shared" si="281"/>
        <v>0</v>
      </c>
      <c r="AQ260" s="41" t="s">
        <v>531</v>
      </c>
      <c r="AV260" s="10">
        <f t="shared" si="282"/>
        <v>0</v>
      </c>
      <c r="AW260" s="10">
        <f t="shared" si="283"/>
        <v>0</v>
      </c>
      <c r="AX260" s="10">
        <f t="shared" si="284"/>
        <v>0</v>
      </c>
      <c r="AY260" s="41" t="s">
        <v>532</v>
      </c>
      <c r="AZ260" s="41" t="s">
        <v>533</v>
      </c>
      <c r="BA260" s="43" t="s">
        <v>51</v>
      </c>
      <c r="BC260" s="10">
        <f t="shared" si="285"/>
        <v>0</v>
      </c>
      <c r="BD260" s="10">
        <f t="shared" si="286"/>
        <v>0</v>
      </c>
      <c r="BE260" s="10">
        <v>0</v>
      </c>
      <c r="BF260" s="10">
        <f>260</f>
        <v>260</v>
      </c>
      <c r="BH260" s="10">
        <f t="shared" si="287"/>
        <v>0</v>
      </c>
      <c r="BI260" s="10">
        <f t="shared" si="288"/>
        <v>0</v>
      </c>
      <c r="BJ260" s="10">
        <f t="shared" si="289"/>
        <v>0</v>
      </c>
      <c r="BK260" s="10"/>
      <c r="BL260" s="10"/>
    </row>
    <row r="261" spans="2:64" ht="15" customHeight="1">
      <c r="B261" s="25" t="s">
        <v>567</v>
      </c>
      <c r="C261" s="62" t="s">
        <v>568</v>
      </c>
      <c r="D261" s="62"/>
      <c r="E261" s="62"/>
      <c r="F261" s="62"/>
      <c r="G261" s="23" t="s">
        <v>60</v>
      </c>
      <c r="H261" s="10">
        <v>20.4</v>
      </c>
      <c r="I261" s="53">
        <v>0</v>
      </c>
      <c r="J261" s="10">
        <f t="shared" si="266"/>
        <v>0</v>
      </c>
      <c r="K261" s="10">
        <f t="shared" si="267"/>
        <v>0</v>
      </c>
      <c r="L261" s="10">
        <f t="shared" si="268"/>
        <v>0</v>
      </c>
      <c r="M261" s="47"/>
      <c r="Z261" s="10">
        <f t="shared" si="269"/>
        <v>0</v>
      </c>
      <c r="AB261" s="10">
        <f t="shared" si="270"/>
        <v>0</v>
      </c>
      <c r="AC261" s="10">
        <f t="shared" si="271"/>
        <v>0</v>
      </c>
      <c r="AD261" s="10">
        <f t="shared" si="272"/>
        <v>0</v>
      </c>
      <c r="AE261" s="10">
        <f t="shared" si="273"/>
        <v>0</v>
      </c>
      <c r="AF261" s="10">
        <f t="shared" si="274"/>
        <v>0</v>
      </c>
      <c r="AG261" s="10">
        <f t="shared" si="275"/>
        <v>0</v>
      </c>
      <c r="AH261" s="10">
        <f t="shared" si="276"/>
        <v>0</v>
      </c>
      <c r="AI261" s="43" t="s">
        <v>44</v>
      </c>
      <c r="AJ261" s="10">
        <f t="shared" si="277"/>
        <v>0</v>
      </c>
      <c r="AK261" s="10">
        <f t="shared" si="278"/>
        <v>0</v>
      </c>
      <c r="AL261" s="10">
        <f t="shared" si="279"/>
        <v>0</v>
      </c>
      <c r="AN261" s="10">
        <v>21</v>
      </c>
      <c r="AO261" s="10">
        <f t="shared" si="280"/>
        <v>0</v>
      </c>
      <c r="AP261" s="10">
        <f t="shared" si="281"/>
        <v>0</v>
      </c>
      <c r="AQ261" s="41" t="s">
        <v>531</v>
      </c>
      <c r="AV261" s="10">
        <f t="shared" si="282"/>
        <v>0</v>
      </c>
      <c r="AW261" s="10">
        <f t="shared" si="283"/>
        <v>0</v>
      </c>
      <c r="AX261" s="10">
        <f t="shared" si="284"/>
        <v>0</v>
      </c>
      <c r="AY261" s="41" t="s">
        <v>532</v>
      </c>
      <c r="AZ261" s="41" t="s">
        <v>533</v>
      </c>
      <c r="BA261" s="43" t="s">
        <v>51</v>
      </c>
      <c r="BC261" s="10">
        <f t="shared" si="285"/>
        <v>0</v>
      </c>
      <c r="BD261" s="10">
        <f t="shared" si="286"/>
        <v>0</v>
      </c>
      <c r="BE261" s="10">
        <v>0</v>
      </c>
      <c r="BF261" s="10">
        <f>261</f>
        <v>261</v>
      </c>
      <c r="BH261" s="10">
        <f t="shared" si="287"/>
        <v>0</v>
      </c>
      <c r="BI261" s="10">
        <f t="shared" si="288"/>
        <v>0</v>
      </c>
      <c r="BJ261" s="10">
        <f t="shared" si="289"/>
        <v>0</v>
      </c>
      <c r="BK261" s="10"/>
      <c r="BL261" s="10"/>
    </row>
    <row r="262" spans="2:64" ht="15" customHeight="1">
      <c r="B262" s="25" t="s">
        <v>569</v>
      </c>
      <c r="C262" s="62" t="s">
        <v>570</v>
      </c>
      <c r="D262" s="62"/>
      <c r="E262" s="62"/>
      <c r="F262" s="62"/>
      <c r="G262" s="23" t="s">
        <v>173</v>
      </c>
      <c r="H262" s="10">
        <v>3.06</v>
      </c>
      <c r="I262" s="53">
        <v>0</v>
      </c>
      <c r="J262" s="10">
        <f t="shared" si="266"/>
        <v>0</v>
      </c>
      <c r="K262" s="10">
        <f t="shared" si="267"/>
        <v>0</v>
      </c>
      <c r="L262" s="10">
        <f t="shared" si="268"/>
        <v>0</v>
      </c>
      <c r="M262" s="47"/>
      <c r="Z262" s="10">
        <f t="shared" si="269"/>
        <v>0</v>
      </c>
      <c r="AB262" s="10">
        <f t="shared" si="270"/>
        <v>0</v>
      </c>
      <c r="AC262" s="10">
        <f t="shared" si="271"/>
        <v>0</v>
      </c>
      <c r="AD262" s="10">
        <f t="shared" si="272"/>
        <v>0</v>
      </c>
      <c r="AE262" s="10">
        <f t="shared" si="273"/>
        <v>0</v>
      </c>
      <c r="AF262" s="10">
        <f t="shared" si="274"/>
        <v>0</v>
      </c>
      <c r="AG262" s="10">
        <f t="shared" si="275"/>
        <v>0</v>
      </c>
      <c r="AH262" s="10">
        <f t="shared" si="276"/>
        <v>0</v>
      </c>
      <c r="AI262" s="43" t="s">
        <v>44</v>
      </c>
      <c r="AJ262" s="10">
        <f t="shared" si="277"/>
        <v>0</v>
      </c>
      <c r="AK262" s="10">
        <f t="shared" si="278"/>
        <v>0</v>
      </c>
      <c r="AL262" s="10">
        <f t="shared" si="279"/>
        <v>0</v>
      </c>
      <c r="AN262" s="10">
        <v>21</v>
      </c>
      <c r="AO262" s="10">
        <f t="shared" si="280"/>
        <v>0</v>
      </c>
      <c r="AP262" s="10">
        <f t="shared" si="281"/>
        <v>0</v>
      </c>
      <c r="AQ262" s="41" t="s">
        <v>531</v>
      </c>
      <c r="AV262" s="10">
        <f t="shared" si="282"/>
        <v>0</v>
      </c>
      <c r="AW262" s="10">
        <f t="shared" si="283"/>
        <v>0</v>
      </c>
      <c r="AX262" s="10">
        <f t="shared" si="284"/>
        <v>0</v>
      </c>
      <c r="AY262" s="41" t="s">
        <v>532</v>
      </c>
      <c r="AZ262" s="41" t="s">
        <v>533</v>
      </c>
      <c r="BA262" s="43" t="s">
        <v>51</v>
      </c>
      <c r="BC262" s="10">
        <f t="shared" si="285"/>
        <v>0</v>
      </c>
      <c r="BD262" s="10">
        <f t="shared" si="286"/>
        <v>0</v>
      </c>
      <c r="BE262" s="10">
        <v>0</v>
      </c>
      <c r="BF262" s="10">
        <f>262</f>
        <v>262</v>
      </c>
      <c r="BH262" s="10">
        <f t="shared" si="287"/>
        <v>0</v>
      </c>
      <c r="BI262" s="10">
        <f t="shared" si="288"/>
        <v>0</v>
      </c>
      <c r="BJ262" s="10">
        <f t="shared" si="289"/>
        <v>0</v>
      </c>
      <c r="BK262" s="10"/>
      <c r="BL262" s="10"/>
    </row>
    <row r="263" spans="2:64" ht="15" customHeight="1">
      <c r="B263" s="25" t="s">
        <v>571</v>
      </c>
      <c r="C263" s="62" t="s">
        <v>572</v>
      </c>
      <c r="D263" s="62"/>
      <c r="E263" s="62"/>
      <c r="F263" s="62"/>
      <c r="G263" s="23" t="s">
        <v>178</v>
      </c>
      <c r="H263" s="10">
        <v>1</v>
      </c>
      <c r="I263" s="53">
        <v>0</v>
      </c>
      <c r="J263" s="10">
        <f t="shared" si="266"/>
        <v>0</v>
      </c>
      <c r="K263" s="10">
        <f t="shared" si="267"/>
        <v>0</v>
      </c>
      <c r="L263" s="10">
        <f t="shared" si="268"/>
        <v>0</v>
      </c>
      <c r="M263" s="47"/>
      <c r="Z263" s="10">
        <f t="shared" si="269"/>
        <v>0</v>
      </c>
      <c r="AB263" s="10">
        <f t="shared" si="270"/>
        <v>0</v>
      </c>
      <c r="AC263" s="10">
        <f t="shared" si="271"/>
        <v>0</v>
      </c>
      <c r="AD263" s="10">
        <f t="shared" si="272"/>
        <v>0</v>
      </c>
      <c r="AE263" s="10">
        <f t="shared" si="273"/>
        <v>0</v>
      </c>
      <c r="AF263" s="10">
        <f t="shared" si="274"/>
        <v>0</v>
      </c>
      <c r="AG263" s="10">
        <f t="shared" si="275"/>
        <v>0</v>
      </c>
      <c r="AH263" s="10">
        <f t="shared" si="276"/>
        <v>0</v>
      </c>
      <c r="AI263" s="43" t="s">
        <v>44</v>
      </c>
      <c r="AJ263" s="10">
        <f t="shared" si="277"/>
        <v>0</v>
      </c>
      <c r="AK263" s="10">
        <f t="shared" si="278"/>
        <v>0</v>
      </c>
      <c r="AL263" s="10">
        <f t="shared" si="279"/>
        <v>0</v>
      </c>
      <c r="AN263" s="10">
        <v>21</v>
      </c>
      <c r="AO263" s="10">
        <f t="shared" si="280"/>
        <v>0</v>
      </c>
      <c r="AP263" s="10">
        <f t="shared" si="281"/>
        <v>0</v>
      </c>
      <c r="AQ263" s="41" t="s">
        <v>531</v>
      </c>
      <c r="AV263" s="10">
        <f t="shared" si="282"/>
        <v>0</v>
      </c>
      <c r="AW263" s="10">
        <f t="shared" si="283"/>
        <v>0</v>
      </c>
      <c r="AX263" s="10">
        <f t="shared" si="284"/>
        <v>0</v>
      </c>
      <c r="AY263" s="41" t="s">
        <v>532</v>
      </c>
      <c r="AZ263" s="41" t="s">
        <v>533</v>
      </c>
      <c r="BA263" s="43" t="s">
        <v>51</v>
      </c>
      <c r="BC263" s="10">
        <f t="shared" si="285"/>
        <v>0</v>
      </c>
      <c r="BD263" s="10">
        <f t="shared" si="286"/>
        <v>0</v>
      </c>
      <c r="BE263" s="10">
        <v>0</v>
      </c>
      <c r="BF263" s="10">
        <f>263</f>
        <v>263</v>
      </c>
      <c r="BH263" s="10">
        <f t="shared" si="287"/>
        <v>0</v>
      </c>
      <c r="BI263" s="10">
        <f t="shared" si="288"/>
        <v>0</v>
      </c>
      <c r="BJ263" s="10">
        <f t="shared" si="289"/>
        <v>0</v>
      </c>
      <c r="BK263" s="10"/>
      <c r="BL263" s="10"/>
    </row>
    <row r="264" spans="2:64" ht="15" customHeight="1">
      <c r="B264" s="25" t="s">
        <v>573</v>
      </c>
      <c r="C264" s="62" t="s">
        <v>574</v>
      </c>
      <c r="D264" s="62"/>
      <c r="E264" s="62"/>
      <c r="F264" s="62"/>
      <c r="G264" s="23" t="s">
        <v>178</v>
      </c>
      <c r="H264" s="10">
        <v>1</v>
      </c>
      <c r="I264" s="53">
        <v>0</v>
      </c>
      <c r="J264" s="10">
        <f t="shared" si="266"/>
        <v>0</v>
      </c>
      <c r="K264" s="10">
        <f t="shared" si="267"/>
        <v>0</v>
      </c>
      <c r="L264" s="10">
        <f t="shared" si="268"/>
        <v>0</v>
      </c>
      <c r="M264" s="47"/>
      <c r="Z264" s="10">
        <f t="shared" si="269"/>
        <v>0</v>
      </c>
      <c r="AB264" s="10">
        <f t="shared" si="270"/>
        <v>0</v>
      </c>
      <c r="AC264" s="10">
        <f t="shared" si="271"/>
        <v>0</v>
      </c>
      <c r="AD264" s="10">
        <f t="shared" si="272"/>
        <v>0</v>
      </c>
      <c r="AE264" s="10">
        <f t="shared" si="273"/>
        <v>0</v>
      </c>
      <c r="AF264" s="10">
        <f t="shared" si="274"/>
        <v>0</v>
      </c>
      <c r="AG264" s="10">
        <f t="shared" si="275"/>
        <v>0</v>
      </c>
      <c r="AH264" s="10">
        <f t="shared" si="276"/>
        <v>0</v>
      </c>
      <c r="AI264" s="43" t="s">
        <v>44</v>
      </c>
      <c r="AJ264" s="10">
        <f t="shared" si="277"/>
        <v>0</v>
      </c>
      <c r="AK264" s="10">
        <f t="shared" si="278"/>
        <v>0</v>
      </c>
      <c r="AL264" s="10">
        <f t="shared" si="279"/>
        <v>0</v>
      </c>
      <c r="AN264" s="10">
        <v>21</v>
      </c>
      <c r="AO264" s="10">
        <f t="shared" si="280"/>
        <v>0</v>
      </c>
      <c r="AP264" s="10">
        <f t="shared" si="281"/>
        <v>0</v>
      </c>
      <c r="AQ264" s="41" t="s">
        <v>531</v>
      </c>
      <c r="AV264" s="10">
        <f t="shared" si="282"/>
        <v>0</v>
      </c>
      <c r="AW264" s="10">
        <f t="shared" si="283"/>
        <v>0</v>
      </c>
      <c r="AX264" s="10">
        <f t="shared" si="284"/>
        <v>0</v>
      </c>
      <c r="AY264" s="41" t="s">
        <v>532</v>
      </c>
      <c r="AZ264" s="41" t="s">
        <v>533</v>
      </c>
      <c r="BA264" s="43" t="s">
        <v>51</v>
      </c>
      <c r="BC264" s="10">
        <f t="shared" si="285"/>
        <v>0</v>
      </c>
      <c r="BD264" s="10">
        <f t="shared" si="286"/>
        <v>0</v>
      </c>
      <c r="BE264" s="10">
        <v>0</v>
      </c>
      <c r="BF264" s="10">
        <f>264</f>
        <v>264</v>
      </c>
      <c r="BH264" s="10">
        <f t="shared" si="287"/>
        <v>0</v>
      </c>
      <c r="BI264" s="10">
        <f t="shared" si="288"/>
        <v>0</v>
      </c>
      <c r="BJ264" s="10">
        <f t="shared" si="289"/>
        <v>0</v>
      </c>
      <c r="BK264" s="10"/>
      <c r="BL264" s="10"/>
    </row>
    <row r="265" spans="2:64" ht="15" customHeight="1">
      <c r="B265" s="25" t="s">
        <v>575</v>
      </c>
      <c r="C265" s="62" t="s">
        <v>576</v>
      </c>
      <c r="D265" s="62"/>
      <c r="E265" s="62"/>
      <c r="F265" s="62"/>
      <c r="G265" s="23" t="s">
        <v>63</v>
      </c>
      <c r="H265" s="10">
        <v>370.4508</v>
      </c>
      <c r="I265" s="53">
        <v>0</v>
      </c>
      <c r="J265" s="10">
        <f t="shared" si="266"/>
        <v>0</v>
      </c>
      <c r="K265" s="10">
        <f t="shared" si="267"/>
        <v>0</v>
      </c>
      <c r="L265" s="10">
        <f t="shared" si="268"/>
        <v>0</v>
      </c>
      <c r="M265" s="47"/>
      <c r="Z265" s="10">
        <f t="shared" si="269"/>
        <v>0</v>
      </c>
      <c r="AB265" s="10">
        <f t="shared" si="270"/>
        <v>0</v>
      </c>
      <c r="AC265" s="10">
        <f t="shared" si="271"/>
        <v>0</v>
      </c>
      <c r="AD265" s="10">
        <f t="shared" si="272"/>
        <v>0</v>
      </c>
      <c r="AE265" s="10">
        <f t="shared" si="273"/>
        <v>0</v>
      </c>
      <c r="AF265" s="10">
        <f t="shared" si="274"/>
        <v>0</v>
      </c>
      <c r="AG265" s="10">
        <f t="shared" si="275"/>
        <v>0</v>
      </c>
      <c r="AH265" s="10">
        <f t="shared" si="276"/>
        <v>0</v>
      </c>
      <c r="AI265" s="43" t="s">
        <v>44</v>
      </c>
      <c r="AJ265" s="10">
        <f t="shared" si="277"/>
        <v>0</v>
      </c>
      <c r="AK265" s="10">
        <f t="shared" si="278"/>
        <v>0</v>
      </c>
      <c r="AL265" s="10">
        <f t="shared" si="279"/>
        <v>0</v>
      </c>
      <c r="AN265" s="10">
        <v>21</v>
      </c>
      <c r="AO265" s="10">
        <f t="shared" si="280"/>
        <v>0</v>
      </c>
      <c r="AP265" s="10">
        <f t="shared" si="281"/>
        <v>0</v>
      </c>
      <c r="AQ265" s="41" t="s">
        <v>531</v>
      </c>
      <c r="AV265" s="10">
        <f t="shared" si="282"/>
        <v>0</v>
      </c>
      <c r="AW265" s="10">
        <f t="shared" si="283"/>
        <v>0</v>
      </c>
      <c r="AX265" s="10">
        <f t="shared" si="284"/>
        <v>0</v>
      </c>
      <c r="AY265" s="41" t="s">
        <v>532</v>
      </c>
      <c r="AZ265" s="41" t="s">
        <v>533</v>
      </c>
      <c r="BA265" s="43" t="s">
        <v>51</v>
      </c>
      <c r="BC265" s="10">
        <f t="shared" si="285"/>
        <v>0</v>
      </c>
      <c r="BD265" s="10">
        <f t="shared" si="286"/>
        <v>0</v>
      </c>
      <c r="BE265" s="10">
        <v>0</v>
      </c>
      <c r="BF265" s="10">
        <f>265</f>
        <v>265</v>
      </c>
      <c r="BH265" s="10">
        <f t="shared" si="287"/>
        <v>0</v>
      </c>
      <c r="BI265" s="10">
        <f t="shared" si="288"/>
        <v>0</v>
      </c>
      <c r="BJ265" s="10">
        <f t="shared" si="289"/>
        <v>0</v>
      </c>
      <c r="BK265" s="10"/>
      <c r="BL265" s="10"/>
    </row>
    <row r="266" spans="2:64" ht="15" customHeight="1">
      <c r="B266" s="25" t="s">
        <v>577</v>
      </c>
      <c r="C266" s="62" t="s">
        <v>578</v>
      </c>
      <c r="D266" s="62"/>
      <c r="E266" s="62"/>
      <c r="F266" s="62"/>
      <c r="G266" s="23" t="s">
        <v>63</v>
      </c>
      <c r="H266" s="10">
        <v>119.6728</v>
      </c>
      <c r="I266" s="53">
        <v>0</v>
      </c>
      <c r="J266" s="10">
        <f t="shared" si="266"/>
        <v>0</v>
      </c>
      <c r="K266" s="10">
        <f t="shared" si="267"/>
        <v>0</v>
      </c>
      <c r="L266" s="10">
        <f t="shared" si="268"/>
        <v>0</v>
      </c>
      <c r="M266" s="47"/>
      <c r="Z266" s="10">
        <f t="shared" si="269"/>
        <v>0</v>
      </c>
      <c r="AB266" s="10">
        <f t="shared" si="270"/>
        <v>0</v>
      </c>
      <c r="AC266" s="10">
        <f t="shared" si="271"/>
        <v>0</v>
      </c>
      <c r="AD266" s="10">
        <f t="shared" si="272"/>
        <v>0</v>
      </c>
      <c r="AE266" s="10">
        <f t="shared" si="273"/>
        <v>0</v>
      </c>
      <c r="AF266" s="10">
        <f t="shared" si="274"/>
        <v>0</v>
      </c>
      <c r="AG266" s="10">
        <f t="shared" si="275"/>
        <v>0</v>
      </c>
      <c r="AH266" s="10">
        <f t="shared" si="276"/>
        <v>0</v>
      </c>
      <c r="AI266" s="43" t="s">
        <v>44</v>
      </c>
      <c r="AJ266" s="10">
        <f t="shared" si="277"/>
        <v>0</v>
      </c>
      <c r="AK266" s="10">
        <f t="shared" si="278"/>
        <v>0</v>
      </c>
      <c r="AL266" s="10">
        <f t="shared" si="279"/>
        <v>0</v>
      </c>
      <c r="AN266" s="10">
        <v>21</v>
      </c>
      <c r="AO266" s="10">
        <f t="shared" si="280"/>
        <v>0</v>
      </c>
      <c r="AP266" s="10">
        <f t="shared" si="281"/>
        <v>0</v>
      </c>
      <c r="AQ266" s="41" t="s">
        <v>531</v>
      </c>
      <c r="AV266" s="10">
        <f t="shared" si="282"/>
        <v>0</v>
      </c>
      <c r="AW266" s="10">
        <f t="shared" si="283"/>
        <v>0</v>
      </c>
      <c r="AX266" s="10">
        <f t="shared" si="284"/>
        <v>0</v>
      </c>
      <c r="AY266" s="41" t="s">
        <v>532</v>
      </c>
      <c r="AZ266" s="41" t="s">
        <v>533</v>
      </c>
      <c r="BA266" s="43" t="s">
        <v>51</v>
      </c>
      <c r="BC266" s="10">
        <f t="shared" si="285"/>
        <v>0</v>
      </c>
      <c r="BD266" s="10">
        <f t="shared" si="286"/>
        <v>0</v>
      </c>
      <c r="BE266" s="10">
        <v>0</v>
      </c>
      <c r="BF266" s="10">
        <f>266</f>
        <v>266</v>
      </c>
      <c r="BH266" s="10">
        <f t="shared" si="287"/>
        <v>0</v>
      </c>
      <c r="BI266" s="10">
        <f t="shared" si="288"/>
        <v>0</v>
      </c>
      <c r="BJ266" s="10">
        <f t="shared" si="289"/>
        <v>0</v>
      </c>
      <c r="BK266" s="10"/>
      <c r="BL266" s="10"/>
    </row>
    <row r="267" spans="2:64" ht="15" customHeight="1">
      <c r="B267" s="1" t="s">
        <v>579</v>
      </c>
      <c r="C267" s="81" t="s">
        <v>580</v>
      </c>
      <c r="D267" s="81"/>
      <c r="E267" s="81"/>
      <c r="F267" s="81"/>
      <c r="G267" s="32" t="s">
        <v>63</v>
      </c>
      <c r="H267" s="13">
        <v>10.01</v>
      </c>
      <c r="I267" s="54">
        <v>0</v>
      </c>
      <c r="J267" s="13">
        <f t="shared" si="266"/>
        <v>0</v>
      </c>
      <c r="K267" s="13">
        <f t="shared" si="267"/>
        <v>0</v>
      </c>
      <c r="L267" s="13">
        <f t="shared" si="268"/>
        <v>0</v>
      </c>
      <c r="M267" s="30"/>
      <c r="Z267" s="10">
        <f t="shared" si="269"/>
        <v>0</v>
      </c>
      <c r="AB267" s="10">
        <f t="shared" si="270"/>
        <v>0</v>
      </c>
      <c r="AC267" s="10">
        <f t="shared" si="271"/>
        <v>0</v>
      </c>
      <c r="AD267" s="10">
        <f t="shared" si="272"/>
        <v>0</v>
      </c>
      <c r="AE267" s="10">
        <f t="shared" si="273"/>
        <v>0</v>
      </c>
      <c r="AF267" s="10">
        <f t="shared" si="274"/>
        <v>0</v>
      </c>
      <c r="AG267" s="10">
        <f t="shared" si="275"/>
        <v>0</v>
      </c>
      <c r="AH267" s="10">
        <f t="shared" si="276"/>
        <v>0</v>
      </c>
      <c r="AI267" s="43" t="s">
        <v>44</v>
      </c>
      <c r="AJ267" s="10">
        <f t="shared" si="277"/>
        <v>0</v>
      </c>
      <c r="AK267" s="10">
        <f t="shared" si="278"/>
        <v>0</v>
      </c>
      <c r="AL267" s="10">
        <f t="shared" si="279"/>
        <v>0</v>
      </c>
      <c r="AN267" s="10">
        <v>21</v>
      </c>
      <c r="AO267" s="10">
        <f t="shared" si="280"/>
        <v>0</v>
      </c>
      <c r="AP267" s="10">
        <f t="shared" si="281"/>
        <v>0</v>
      </c>
      <c r="AQ267" s="41" t="s">
        <v>531</v>
      </c>
      <c r="AV267" s="10">
        <f t="shared" si="282"/>
        <v>0</v>
      </c>
      <c r="AW267" s="10">
        <f t="shared" si="283"/>
        <v>0</v>
      </c>
      <c r="AX267" s="10">
        <f t="shared" si="284"/>
        <v>0</v>
      </c>
      <c r="AY267" s="41" t="s">
        <v>532</v>
      </c>
      <c r="AZ267" s="41" t="s">
        <v>533</v>
      </c>
      <c r="BA267" s="43" t="s">
        <v>51</v>
      </c>
      <c r="BC267" s="10">
        <f t="shared" si="285"/>
        <v>0</v>
      </c>
      <c r="BD267" s="10">
        <f t="shared" si="286"/>
        <v>0</v>
      </c>
      <c r="BE267" s="10">
        <v>0</v>
      </c>
      <c r="BF267" s="10">
        <f>267</f>
        <v>267</v>
      </c>
      <c r="BH267" s="10">
        <f t="shared" si="287"/>
        <v>0</v>
      </c>
      <c r="BI267" s="10">
        <f t="shared" si="288"/>
        <v>0</v>
      </c>
      <c r="BJ267" s="10">
        <f t="shared" si="289"/>
        <v>0</v>
      </c>
      <c r="BK267" s="10"/>
      <c r="BL267" s="10"/>
    </row>
    <row r="268" spans="10:12" ht="15" customHeight="1">
      <c r="J268" s="72" t="s">
        <v>581</v>
      </c>
      <c r="K268" s="72"/>
      <c r="L268" s="16">
        <f>L12+L14+L21+L26+L28+L40+L46+L49+L51+L57+L59+L75+L100+L115+L117+L119+L122+L128+L131+L145+L148+L156+L164+L178+L180+L183+L188+L191+L200+L210+L213+L216+L219+L221+L225+L227+L230+L243</f>
        <v>0</v>
      </c>
    </row>
    <row r="269" spans="1:13" ht="15" customHeight="1">
      <c r="A269" s="57" t="s">
        <v>582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1:13" ht="27" customHeight="1">
      <c r="A270" s="79" t="s">
        <v>583</v>
      </c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1:13" ht="15" customHeight="1">
      <c r="A271" s="55" t="s">
        <v>584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1:13" ht="1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1:13" ht="15" customHeight="1">
      <c r="A273" s="55"/>
      <c r="B273" s="56" t="s">
        <v>656</v>
      </c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1:13" ht="15" customHeight="1">
      <c r="A274" s="55"/>
      <c r="B274" s="56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1:13" ht="15" customHeight="1">
      <c r="A275" s="55"/>
      <c r="B275" s="56" t="s">
        <v>657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1:13" ht="15" customHeight="1">
      <c r="A276" s="55"/>
      <c r="B276" s="56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1:13" ht="15" customHeight="1">
      <c r="A277" s="55"/>
      <c r="B277" s="56" t="s">
        <v>658</v>
      </c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1:13" ht="15" customHeight="1">
      <c r="A278" s="55"/>
      <c r="B278" s="56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1:13" ht="15" customHeight="1">
      <c r="A279" s="55"/>
      <c r="B279" s="56" t="s">
        <v>659</v>
      </c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</row>
    <row r="280" spans="1:13" ht="15" customHeight="1">
      <c r="A280" s="55"/>
      <c r="B280" s="56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1:13" ht="15" customHeight="1">
      <c r="A281" s="55"/>
      <c r="B281" s="56" t="s">
        <v>660</v>
      </c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1:13" ht="15" customHeight="1">
      <c r="A282" s="55"/>
      <c r="B282" s="56" t="s">
        <v>661</v>
      </c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1:13" ht="15" customHeight="1">
      <c r="A283" s="55"/>
      <c r="B283" s="56" t="s">
        <v>662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1:13" ht="15" customHeight="1">
      <c r="A284" s="55"/>
      <c r="B284" s="56" t="s">
        <v>663</v>
      </c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1:13" ht="15" customHeight="1">
      <c r="A285" s="55"/>
      <c r="B285" s="56" t="s">
        <v>664</v>
      </c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</row>
  </sheetData>
  <mergeCells count="286">
    <mergeCell ref="C256:F256"/>
    <mergeCell ref="C257:F257"/>
    <mergeCell ref="C258:F258"/>
    <mergeCell ref="C259:F259"/>
    <mergeCell ref="C260:F260"/>
    <mergeCell ref="C261:F261"/>
    <mergeCell ref="J268:K268"/>
    <mergeCell ref="A270:M270"/>
    <mergeCell ref="C262:F262"/>
    <mergeCell ref="C263:F263"/>
    <mergeCell ref="C264:F264"/>
    <mergeCell ref="C265:F265"/>
    <mergeCell ref="C266:F266"/>
    <mergeCell ref="C267:F267"/>
    <mergeCell ref="C247:F247"/>
    <mergeCell ref="C248:F248"/>
    <mergeCell ref="C249:F249"/>
    <mergeCell ref="C250:F250"/>
    <mergeCell ref="C251:F251"/>
    <mergeCell ref="C252:F252"/>
    <mergeCell ref="C253:F253"/>
    <mergeCell ref="C254:F254"/>
    <mergeCell ref="C255:F255"/>
    <mergeCell ref="C238:F238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29:F229"/>
    <mergeCell ref="C230:F230"/>
    <mergeCell ref="C231:F231"/>
    <mergeCell ref="C232:F232"/>
    <mergeCell ref="C233:F233"/>
    <mergeCell ref="C234:F234"/>
    <mergeCell ref="C235:F235"/>
    <mergeCell ref="C236:F236"/>
    <mergeCell ref="C237:F237"/>
    <mergeCell ref="C220:F220"/>
    <mergeCell ref="C221:F221"/>
    <mergeCell ref="C222:F222"/>
    <mergeCell ref="C223:F223"/>
    <mergeCell ref="C224:F224"/>
    <mergeCell ref="C225:F225"/>
    <mergeCell ref="C226:F226"/>
    <mergeCell ref="C227:F227"/>
    <mergeCell ref="C228:F228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193:F193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I4:J5"/>
    <mergeCell ref="I6:J7"/>
    <mergeCell ref="I8:J9"/>
    <mergeCell ref="C2:D3"/>
    <mergeCell ref="C4:D5"/>
    <mergeCell ref="C11:F11"/>
    <mergeCell ref="J10:L10"/>
    <mergeCell ref="C12:F12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J3"/>
    <mergeCell ref="C6:D7"/>
    <mergeCell ref="C8:D9"/>
    <mergeCell ref="G2:H3"/>
    <mergeCell ref="G4:H5"/>
    <mergeCell ref="G6:H7"/>
    <mergeCell ref="G8:H9"/>
    <mergeCell ref="K2:M3"/>
    <mergeCell ref="K4:M5"/>
    <mergeCell ref="K6:M7"/>
    <mergeCell ref="K8:M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showOutlineSymbols="0" workbookViewId="0" topLeftCell="A1">
      <pane ySplit="11" topLeftCell="A30" activePane="bottomLeft" state="frozen"/>
      <selection pane="topLeft" activeCell="C48" sqref="C48:D48"/>
      <selection pane="bottomLeft" activeCell="A1" sqref="A1:G1"/>
    </sheetView>
  </sheetViews>
  <sheetFormatPr defaultColWidth="17" defaultRowHeight="15" customHeight="1"/>
  <cols>
    <col min="1" max="2" width="6" style="0" customWidth="1"/>
    <col min="3" max="3" width="100" style="0" customWidth="1"/>
    <col min="5" max="7" width="39" style="0" customWidth="1"/>
    <col min="8" max="9" width="17" style="0" hidden="1" customWidth="1"/>
  </cols>
  <sheetData>
    <row r="1" spans="1:7" ht="54.75" customHeight="1">
      <c r="A1" s="58" t="s">
        <v>585</v>
      </c>
      <c r="B1" s="58"/>
      <c r="C1" s="58"/>
      <c r="D1" s="58"/>
      <c r="E1" s="58"/>
      <c r="F1" s="58"/>
      <c r="G1" s="58"/>
    </row>
    <row r="2" spans="1:7" ht="15" customHeight="1">
      <c r="A2" s="59" t="s">
        <v>1</v>
      </c>
      <c r="B2" s="60"/>
      <c r="C2" s="70" t="str">
        <f>'Stavební rozpočet'!C2</f>
        <v>Kolej Hostivař - blok č.10</v>
      </c>
      <c r="D2" s="60" t="s">
        <v>3</v>
      </c>
      <c r="E2" s="60" t="s">
        <v>4</v>
      </c>
      <c r="F2" s="64" t="s">
        <v>5</v>
      </c>
      <c r="G2" s="82" t="str">
        <f>'Stavební rozpočet'!K2</f>
        <v>UK Koleje a menzy</v>
      </c>
    </row>
    <row r="3" spans="1:7" ht="15" customHeight="1">
      <c r="A3" s="61"/>
      <c r="B3" s="62"/>
      <c r="C3" s="72"/>
      <c r="D3" s="62"/>
      <c r="E3" s="62"/>
      <c r="F3" s="62"/>
      <c r="G3" s="67"/>
    </row>
    <row r="4" spans="1:7" ht="15" customHeight="1">
      <c r="A4" s="63" t="s">
        <v>7</v>
      </c>
      <c r="B4" s="62"/>
      <c r="C4" s="65" t="str">
        <f>'Stavební rozpočet'!C4</f>
        <v>Oprava hav. stavu vodovodních a kanalizačních stoupaček a sociálních zař. vč. stavebních prací</v>
      </c>
      <c r="D4" s="62" t="s">
        <v>9</v>
      </c>
      <c r="E4" s="62" t="s">
        <v>4</v>
      </c>
      <c r="F4" s="65" t="s">
        <v>10</v>
      </c>
      <c r="G4" s="83" t="str">
        <f>'Stavební rozpočet'!K4</f>
        <v> </v>
      </c>
    </row>
    <row r="5" spans="1:7" ht="15" customHeight="1">
      <c r="A5" s="61"/>
      <c r="B5" s="62"/>
      <c r="C5" s="62"/>
      <c r="D5" s="62"/>
      <c r="E5" s="62"/>
      <c r="F5" s="62"/>
      <c r="G5" s="67"/>
    </row>
    <row r="6" spans="1:7" ht="15" customHeight="1">
      <c r="A6" s="63" t="s">
        <v>12</v>
      </c>
      <c r="B6" s="62"/>
      <c r="C6" s="65" t="str">
        <f>'Stavební rozpočet'!C6</f>
        <v>Praha</v>
      </c>
      <c r="D6" s="62" t="s">
        <v>14</v>
      </c>
      <c r="E6" s="62" t="s">
        <v>4</v>
      </c>
      <c r="F6" s="65" t="s">
        <v>15</v>
      </c>
      <c r="G6" s="83" t="str">
        <f>'Stavební rozpočet'!K6</f>
        <v> </v>
      </c>
    </row>
    <row r="7" spans="1:7" ht="15" customHeight="1">
      <c r="A7" s="61"/>
      <c r="B7" s="62"/>
      <c r="C7" s="62"/>
      <c r="D7" s="62"/>
      <c r="E7" s="62"/>
      <c r="F7" s="62"/>
      <c r="G7" s="67"/>
    </row>
    <row r="8" spans="1:7" ht="15" customHeight="1">
      <c r="A8" s="63" t="s">
        <v>18</v>
      </c>
      <c r="B8" s="62"/>
      <c r="C8" s="65" t="str">
        <f>'Stavební rozpočet'!K8</f>
        <v> </v>
      </c>
      <c r="D8" s="62" t="s">
        <v>17</v>
      </c>
      <c r="E8" s="62" t="s">
        <v>4</v>
      </c>
      <c r="F8" s="62" t="s">
        <v>17</v>
      </c>
      <c r="G8" s="83" t="str">
        <f>'Stavební rozpočet'!G8</f>
        <v xml:space="preserve"> </v>
      </c>
    </row>
    <row r="9" spans="1:7" ht="15" customHeight="1">
      <c r="A9" s="61"/>
      <c r="B9" s="62"/>
      <c r="C9" s="62"/>
      <c r="D9" s="81"/>
      <c r="E9" s="62"/>
      <c r="F9" s="62"/>
      <c r="G9" s="67"/>
    </row>
    <row r="10" spans="1:7" ht="15" customHeight="1">
      <c r="A10" s="84" t="s">
        <v>586</v>
      </c>
      <c r="B10" s="85"/>
      <c r="C10" s="33" t="s">
        <v>20</v>
      </c>
      <c r="E10" s="24" t="s">
        <v>587</v>
      </c>
      <c r="F10" s="36" t="s">
        <v>588</v>
      </c>
      <c r="G10" s="36" t="s">
        <v>589</v>
      </c>
    </row>
    <row r="11" spans="1:9" ht="15" customHeight="1">
      <c r="A11" s="61" t="s">
        <v>118</v>
      </c>
      <c r="B11" s="62"/>
      <c r="C11" s="62" t="s">
        <v>45</v>
      </c>
      <c r="D11" s="62"/>
      <c r="E11" s="10">
        <f>'Stavební rozpočet'!J12</f>
        <v>0</v>
      </c>
      <c r="F11" s="10">
        <f>'Stavební rozpočet'!K12</f>
        <v>0</v>
      </c>
      <c r="G11" s="10">
        <f>'Stavební rozpočet'!L12</f>
        <v>0</v>
      </c>
      <c r="H11" s="41" t="s">
        <v>590</v>
      </c>
      <c r="I11" s="10">
        <f aca="true" t="shared" si="0" ref="I11:I48">IF(H11="F",0,G11)</f>
        <v>0</v>
      </c>
    </row>
    <row r="12" spans="1:9" ht="15" customHeight="1">
      <c r="A12" s="61" t="s">
        <v>129</v>
      </c>
      <c r="B12" s="62"/>
      <c r="C12" s="62" t="s">
        <v>52</v>
      </c>
      <c r="D12" s="62"/>
      <c r="E12" s="10">
        <f>'Stavební rozpočet'!J14</f>
        <v>0</v>
      </c>
      <c r="F12" s="10">
        <f>'Stavební rozpočet'!K14</f>
        <v>0</v>
      </c>
      <c r="G12" s="10">
        <f>'Stavební rozpočet'!L14</f>
        <v>0</v>
      </c>
      <c r="H12" s="41" t="s">
        <v>590</v>
      </c>
      <c r="I12" s="10">
        <f t="shared" si="0"/>
        <v>0</v>
      </c>
    </row>
    <row r="13" spans="1:9" ht="15" customHeight="1">
      <c r="A13" s="61" t="s">
        <v>139</v>
      </c>
      <c r="B13" s="62"/>
      <c r="C13" s="62" t="s">
        <v>70</v>
      </c>
      <c r="D13" s="62"/>
      <c r="E13" s="10">
        <f>'Stavební rozpočet'!J21</f>
        <v>0</v>
      </c>
      <c r="F13" s="10">
        <f>'Stavební rozpočet'!K21</f>
        <v>0</v>
      </c>
      <c r="G13" s="10">
        <f>'Stavební rozpočet'!L21</f>
        <v>0</v>
      </c>
      <c r="H13" s="41" t="s">
        <v>590</v>
      </c>
      <c r="I13" s="10">
        <f t="shared" si="0"/>
        <v>0</v>
      </c>
    </row>
    <row r="14" spans="1:9" ht="15" customHeight="1">
      <c r="A14" s="61" t="s">
        <v>160</v>
      </c>
      <c r="B14" s="62"/>
      <c r="C14" s="62" t="s">
        <v>80</v>
      </c>
      <c r="D14" s="62"/>
      <c r="E14" s="10">
        <f>'Stavební rozpočet'!J26</f>
        <v>0</v>
      </c>
      <c r="F14" s="10">
        <f>'Stavební rozpočet'!K26</f>
        <v>0</v>
      </c>
      <c r="G14" s="10">
        <f>'Stavební rozpočet'!L26</f>
        <v>0</v>
      </c>
      <c r="H14" s="41" t="s">
        <v>590</v>
      </c>
      <c r="I14" s="10">
        <f t="shared" si="0"/>
        <v>0</v>
      </c>
    </row>
    <row r="15" spans="1:9" ht="15" customHeight="1">
      <c r="A15" s="61" t="s">
        <v>201</v>
      </c>
      <c r="B15" s="62"/>
      <c r="C15" s="62" t="s">
        <v>85</v>
      </c>
      <c r="D15" s="62"/>
      <c r="E15" s="10">
        <f>'Stavební rozpočet'!J28</f>
        <v>0</v>
      </c>
      <c r="F15" s="10">
        <f>'Stavební rozpočet'!K28</f>
        <v>0</v>
      </c>
      <c r="G15" s="10">
        <f>'Stavební rozpočet'!L28</f>
        <v>0</v>
      </c>
      <c r="H15" s="41" t="s">
        <v>590</v>
      </c>
      <c r="I15" s="10">
        <f t="shared" si="0"/>
        <v>0</v>
      </c>
    </row>
    <row r="16" spans="1:9" ht="15" customHeight="1">
      <c r="A16" s="61" t="s">
        <v>203</v>
      </c>
      <c r="B16" s="62"/>
      <c r="C16" s="62" t="s">
        <v>110</v>
      </c>
      <c r="D16" s="62"/>
      <c r="E16" s="10">
        <f>'Stavební rozpočet'!J40</f>
        <v>0</v>
      </c>
      <c r="F16" s="10">
        <f>'Stavební rozpočet'!K40</f>
        <v>0</v>
      </c>
      <c r="G16" s="10">
        <f>'Stavební rozpočet'!L40</f>
        <v>0</v>
      </c>
      <c r="H16" s="41" t="s">
        <v>590</v>
      </c>
      <c r="I16" s="10">
        <f t="shared" si="0"/>
        <v>0</v>
      </c>
    </row>
    <row r="17" spans="1:9" ht="15" customHeight="1">
      <c r="A17" s="61" t="s">
        <v>206</v>
      </c>
      <c r="B17" s="62"/>
      <c r="C17" s="62" t="s">
        <v>122</v>
      </c>
      <c r="D17" s="62"/>
      <c r="E17" s="10">
        <f>'Stavební rozpočet'!J46</f>
        <v>0</v>
      </c>
      <c r="F17" s="10">
        <f>'Stavební rozpočet'!K46</f>
        <v>0</v>
      </c>
      <c r="G17" s="10">
        <f>'Stavební rozpočet'!L46</f>
        <v>0</v>
      </c>
      <c r="H17" s="41" t="s">
        <v>590</v>
      </c>
      <c r="I17" s="10">
        <f t="shared" si="0"/>
        <v>0</v>
      </c>
    </row>
    <row r="18" spans="1:9" ht="15" customHeight="1">
      <c r="A18" s="61" t="s">
        <v>207</v>
      </c>
      <c r="B18" s="62"/>
      <c r="C18" s="62" t="s">
        <v>128</v>
      </c>
      <c r="D18" s="62"/>
      <c r="E18" s="10">
        <f>'Stavební rozpočet'!J49</f>
        <v>0</v>
      </c>
      <c r="F18" s="10">
        <f>'Stavební rozpočet'!K49</f>
        <v>0</v>
      </c>
      <c r="G18" s="10">
        <f>'Stavební rozpočet'!L49</f>
        <v>0</v>
      </c>
      <c r="H18" s="41" t="s">
        <v>590</v>
      </c>
      <c r="I18" s="10">
        <f t="shared" si="0"/>
        <v>0</v>
      </c>
    </row>
    <row r="19" spans="1:9" ht="15" customHeight="1">
      <c r="A19" s="61" t="s">
        <v>591</v>
      </c>
      <c r="B19" s="62"/>
      <c r="C19" s="62" t="s">
        <v>132</v>
      </c>
      <c r="D19" s="62"/>
      <c r="E19" s="10">
        <f>'Stavební rozpočet'!J51</f>
        <v>0</v>
      </c>
      <c r="F19" s="10">
        <f>'Stavební rozpočet'!K51</f>
        <v>0</v>
      </c>
      <c r="G19" s="10">
        <f>'Stavební rozpočet'!L51</f>
        <v>0</v>
      </c>
      <c r="H19" s="41" t="s">
        <v>590</v>
      </c>
      <c r="I19" s="10">
        <f t="shared" si="0"/>
        <v>0</v>
      </c>
    </row>
    <row r="20" spans="1:9" ht="15" customHeight="1">
      <c r="A20" s="61" t="s">
        <v>592</v>
      </c>
      <c r="B20" s="62"/>
      <c r="C20" s="62" t="s">
        <v>145</v>
      </c>
      <c r="D20" s="62"/>
      <c r="E20" s="10">
        <f>'Stavební rozpočet'!J57</f>
        <v>0</v>
      </c>
      <c r="F20" s="10">
        <f>'Stavební rozpočet'!K57</f>
        <v>0</v>
      </c>
      <c r="G20" s="10">
        <f>'Stavební rozpočet'!L57</f>
        <v>0</v>
      </c>
      <c r="H20" s="41" t="s">
        <v>590</v>
      </c>
      <c r="I20" s="10">
        <f t="shared" si="0"/>
        <v>0</v>
      </c>
    </row>
    <row r="21" spans="1:9" ht="15" customHeight="1">
      <c r="A21" s="61" t="s">
        <v>593</v>
      </c>
      <c r="B21" s="62"/>
      <c r="C21" s="62" t="s">
        <v>149</v>
      </c>
      <c r="D21" s="62"/>
      <c r="E21" s="10">
        <f>'Stavební rozpočet'!J59</f>
        <v>0</v>
      </c>
      <c r="F21" s="10">
        <f>'Stavební rozpočet'!K59</f>
        <v>0</v>
      </c>
      <c r="G21" s="10">
        <f>'Stavební rozpočet'!L59</f>
        <v>0</v>
      </c>
      <c r="H21" s="41" t="s">
        <v>590</v>
      </c>
      <c r="I21" s="10">
        <f t="shared" si="0"/>
        <v>0</v>
      </c>
    </row>
    <row r="22" spans="1:9" ht="15" customHeight="1">
      <c r="A22" s="61" t="s">
        <v>222</v>
      </c>
      <c r="B22" s="62"/>
      <c r="C22" s="62" t="s">
        <v>186</v>
      </c>
      <c r="D22" s="62"/>
      <c r="E22" s="10">
        <f>'Stavební rozpočet'!J75</f>
        <v>0</v>
      </c>
      <c r="F22" s="10">
        <f>'Stavební rozpočet'!K75</f>
        <v>0</v>
      </c>
      <c r="G22" s="10">
        <f>'Stavební rozpočet'!L75</f>
        <v>0</v>
      </c>
      <c r="H22" s="41" t="s">
        <v>590</v>
      </c>
      <c r="I22" s="10">
        <f t="shared" si="0"/>
        <v>0</v>
      </c>
    </row>
    <row r="23" spans="1:9" ht="15" customHeight="1">
      <c r="A23" s="61" t="s">
        <v>594</v>
      </c>
      <c r="B23" s="62"/>
      <c r="C23" s="62" t="s">
        <v>232</v>
      </c>
      <c r="D23" s="62"/>
      <c r="E23" s="10">
        <f>'Stavební rozpočet'!J100</f>
        <v>0</v>
      </c>
      <c r="F23" s="10">
        <f>'Stavební rozpočet'!K100</f>
        <v>0</v>
      </c>
      <c r="G23" s="10">
        <f>'Stavební rozpočet'!L100</f>
        <v>0</v>
      </c>
      <c r="H23" s="41" t="s">
        <v>590</v>
      </c>
      <c r="I23" s="10">
        <f t="shared" si="0"/>
        <v>0</v>
      </c>
    </row>
    <row r="24" spans="1:9" ht="15" customHeight="1">
      <c r="A24" s="61" t="s">
        <v>595</v>
      </c>
      <c r="B24" s="62"/>
      <c r="C24" s="62" t="s">
        <v>263</v>
      </c>
      <c r="D24" s="62"/>
      <c r="E24" s="10">
        <f>'Stavební rozpočet'!J115</f>
        <v>0</v>
      </c>
      <c r="F24" s="10">
        <f>'Stavební rozpočet'!K115</f>
        <v>0</v>
      </c>
      <c r="G24" s="10">
        <f>'Stavební rozpočet'!L115</f>
        <v>0</v>
      </c>
      <c r="H24" s="41" t="s">
        <v>590</v>
      </c>
      <c r="I24" s="10">
        <f t="shared" si="0"/>
        <v>0</v>
      </c>
    </row>
    <row r="25" spans="1:9" ht="15" customHeight="1">
      <c r="A25" s="61" t="s">
        <v>596</v>
      </c>
      <c r="B25" s="62"/>
      <c r="C25" s="62" t="s">
        <v>268</v>
      </c>
      <c r="D25" s="62"/>
      <c r="E25" s="10">
        <f>'Stavební rozpočet'!J117</f>
        <v>0</v>
      </c>
      <c r="F25" s="10">
        <f>'Stavební rozpočet'!K117</f>
        <v>0</v>
      </c>
      <c r="G25" s="10">
        <f>'Stavební rozpočet'!L117</f>
        <v>0</v>
      </c>
      <c r="H25" s="41" t="s">
        <v>590</v>
      </c>
      <c r="I25" s="10">
        <f t="shared" si="0"/>
        <v>0</v>
      </c>
    </row>
    <row r="26" spans="1:9" ht="15" customHeight="1">
      <c r="A26" s="61" t="s">
        <v>597</v>
      </c>
      <c r="B26" s="62"/>
      <c r="C26" s="62" t="s">
        <v>272</v>
      </c>
      <c r="D26" s="62"/>
      <c r="E26" s="10">
        <f>'Stavební rozpočet'!J119</f>
        <v>0</v>
      </c>
      <c r="F26" s="10">
        <f>'Stavební rozpočet'!K119</f>
        <v>0</v>
      </c>
      <c r="G26" s="10">
        <f>'Stavební rozpočet'!L119</f>
        <v>0</v>
      </c>
      <c r="H26" s="41" t="s">
        <v>590</v>
      </c>
      <c r="I26" s="10">
        <f t="shared" si="0"/>
        <v>0</v>
      </c>
    </row>
    <row r="27" spans="1:9" ht="15" customHeight="1">
      <c r="A27" s="61" t="s">
        <v>598</v>
      </c>
      <c r="B27" s="62"/>
      <c r="C27" s="62" t="s">
        <v>279</v>
      </c>
      <c r="D27" s="62"/>
      <c r="E27" s="10">
        <f>'Stavební rozpočet'!J122</f>
        <v>0</v>
      </c>
      <c r="F27" s="10">
        <f>'Stavební rozpočet'!K122</f>
        <v>0</v>
      </c>
      <c r="G27" s="10">
        <f>'Stavební rozpočet'!L122</f>
        <v>0</v>
      </c>
      <c r="H27" s="41" t="s">
        <v>590</v>
      </c>
      <c r="I27" s="10">
        <f t="shared" si="0"/>
        <v>0</v>
      </c>
    </row>
    <row r="28" spans="1:9" ht="15" customHeight="1">
      <c r="A28" s="61" t="s">
        <v>599</v>
      </c>
      <c r="B28" s="62"/>
      <c r="C28" s="62" t="s">
        <v>291</v>
      </c>
      <c r="D28" s="62"/>
      <c r="E28" s="10">
        <f>'Stavební rozpočet'!J128</f>
        <v>0</v>
      </c>
      <c r="F28" s="10">
        <f>'Stavební rozpočet'!K128</f>
        <v>0</v>
      </c>
      <c r="G28" s="10">
        <f>'Stavební rozpočet'!L128</f>
        <v>0</v>
      </c>
      <c r="H28" s="41" t="s">
        <v>590</v>
      </c>
      <c r="I28" s="10">
        <f t="shared" si="0"/>
        <v>0</v>
      </c>
    </row>
    <row r="29" spans="1:9" ht="15" customHeight="1">
      <c r="A29" s="61" t="s">
        <v>600</v>
      </c>
      <c r="B29" s="62"/>
      <c r="C29" s="62" t="s">
        <v>297</v>
      </c>
      <c r="D29" s="62"/>
      <c r="E29" s="10">
        <f>'Stavební rozpočet'!J131</f>
        <v>0</v>
      </c>
      <c r="F29" s="10">
        <f>'Stavební rozpočet'!K131</f>
        <v>0</v>
      </c>
      <c r="G29" s="10">
        <f>'Stavební rozpočet'!L131</f>
        <v>0</v>
      </c>
      <c r="H29" s="41" t="s">
        <v>590</v>
      </c>
      <c r="I29" s="10">
        <f t="shared" si="0"/>
        <v>0</v>
      </c>
    </row>
    <row r="30" spans="1:9" ht="15" customHeight="1">
      <c r="A30" s="61" t="s">
        <v>601</v>
      </c>
      <c r="B30" s="62"/>
      <c r="C30" s="62" t="s">
        <v>326</v>
      </c>
      <c r="D30" s="62"/>
      <c r="E30" s="10">
        <f>'Stavební rozpočet'!J145</f>
        <v>0</v>
      </c>
      <c r="F30" s="10">
        <f>'Stavební rozpočet'!K145</f>
        <v>0</v>
      </c>
      <c r="G30" s="10">
        <f>'Stavební rozpočet'!L145</f>
        <v>0</v>
      </c>
      <c r="H30" s="41" t="s">
        <v>590</v>
      </c>
      <c r="I30" s="10">
        <f t="shared" si="0"/>
        <v>0</v>
      </c>
    </row>
    <row r="31" spans="1:9" ht="15" customHeight="1">
      <c r="A31" s="61" t="s">
        <v>236</v>
      </c>
      <c r="B31" s="62"/>
      <c r="C31" s="62" t="s">
        <v>332</v>
      </c>
      <c r="D31" s="62"/>
      <c r="E31" s="10">
        <f>'Stavební rozpočet'!J148</f>
        <v>0</v>
      </c>
      <c r="F31" s="10">
        <f>'Stavební rozpočet'!K148</f>
        <v>0</v>
      </c>
      <c r="G31" s="10">
        <f>'Stavební rozpočet'!L148</f>
        <v>0</v>
      </c>
      <c r="H31" s="41" t="s">
        <v>590</v>
      </c>
      <c r="I31" s="10">
        <f t="shared" si="0"/>
        <v>0</v>
      </c>
    </row>
    <row r="32" spans="1:9" ht="15" customHeight="1">
      <c r="A32" s="61" t="s">
        <v>602</v>
      </c>
      <c r="B32" s="62"/>
      <c r="C32" s="62" t="s">
        <v>348</v>
      </c>
      <c r="D32" s="62"/>
      <c r="E32" s="10">
        <f>'Stavební rozpočet'!J156</f>
        <v>0</v>
      </c>
      <c r="F32" s="10">
        <f>'Stavební rozpočet'!K156</f>
        <v>0</v>
      </c>
      <c r="G32" s="10">
        <f>'Stavební rozpočet'!L156</f>
        <v>0</v>
      </c>
      <c r="H32" s="41" t="s">
        <v>590</v>
      </c>
      <c r="I32" s="10">
        <f t="shared" si="0"/>
        <v>0</v>
      </c>
    </row>
    <row r="33" spans="1:9" ht="15" customHeight="1">
      <c r="A33" s="61" t="s">
        <v>603</v>
      </c>
      <c r="B33" s="62"/>
      <c r="C33" s="62" t="s">
        <v>364</v>
      </c>
      <c r="D33" s="62"/>
      <c r="E33" s="10">
        <f>'Stavební rozpočet'!J164</f>
        <v>0</v>
      </c>
      <c r="F33" s="10">
        <f>'Stavební rozpočet'!K164</f>
        <v>0</v>
      </c>
      <c r="G33" s="10">
        <f>'Stavební rozpočet'!L164</f>
        <v>0</v>
      </c>
      <c r="H33" s="41" t="s">
        <v>590</v>
      </c>
      <c r="I33" s="10">
        <f t="shared" si="0"/>
        <v>0</v>
      </c>
    </row>
    <row r="34" spans="1:9" ht="15" customHeight="1">
      <c r="A34" s="61" t="s">
        <v>259</v>
      </c>
      <c r="B34" s="62"/>
      <c r="C34" s="62" t="s">
        <v>392</v>
      </c>
      <c r="D34" s="62"/>
      <c r="E34" s="10">
        <f>'Stavební rozpočet'!J178</f>
        <v>0</v>
      </c>
      <c r="F34" s="10">
        <f>'Stavební rozpočet'!K178</f>
        <v>0</v>
      </c>
      <c r="G34" s="10">
        <f>'Stavební rozpočet'!L178</f>
        <v>0</v>
      </c>
      <c r="H34" s="41" t="s">
        <v>590</v>
      </c>
      <c r="I34" s="10">
        <f t="shared" si="0"/>
        <v>0</v>
      </c>
    </row>
    <row r="35" spans="1:9" ht="15" customHeight="1">
      <c r="A35" s="61" t="s">
        <v>261</v>
      </c>
      <c r="B35" s="62"/>
      <c r="C35" s="62" t="s">
        <v>397</v>
      </c>
      <c r="D35" s="62"/>
      <c r="E35" s="10">
        <f>'Stavební rozpočet'!J180</f>
        <v>0</v>
      </c>
      <c r="F35" s="10">
        <f>'Stavební rozpočet'!K180</f>
        <v>0</v>
      </c>
      <c r="G35" s="10">
        <f>'Stavební rozpočet'!L180</f>
        <v>0</v>
      </c>
      <c r="H35" s="41" t="s">
        <v>590</v>
      </c>
      <c r="I35" s="10">
        <f t="shared" si="0"/>
        <v>0</v>
      </c>
    </row>
    <row r="36" spans="1:9" ht="15" customHeight="1">
      <c r="A36" s="61" t="s">
        <v>277</v>
      </c>
      <c r="B36" s="62"/>
      <c r="C36" s="62" t="s">
        <v>405</v>
      </c>
      <c r="D36" s="62"/>
      <c r="E36" s="10">
        <f>'Stavební rozpočet'!J183</f>
        <v>0</v>
      </c>
      <c r="F36" s="10">
        <f>'Stavební rozpočet'!K183</f>
        <v>0</v>
      </c>
      <c r="G36" s="10">
        <f>'Stavební rozpočet'!L183</f>
        <v>0</v>
      </c>
      <c r="H36" s="41" t="s">
        <v>590</v>
      </c>
      <c r="I36" s="10">
        <f t="shared" si="0"/>
        <v>0</v>
      </c>
    </row>
    <row r="37" spans="1:9" ht="15" customHeight="1">
      <c r="A37" s="61" t="s">
        <v>280</v>
      </c>
      <c r="B37" s="62"/>
      <c r="C37" s="62" t="s">
        <v>416</v>
      </c>
      <c r="D37" s="62"/>
      <c r="E37" s="10">
        <f>'Stavební rozpočet'!J188</f>
        <v>0</v>
      </c>
      <c r="F37" s="10">
        <f>'Stavební rozpočet'!K188</f>
        <v>0</v>
      </c>
      <c r="G37" s="10">
        <f>'Stavební rozpočet'!L188</f>
        <v>0</v>
      </c>
      <c r="H37" s="41" t="s">
        <v>590</v>
      </c>
      <c r="I37" s="10">
        <f t="shared" si="0"/>
        <v>0</v>
      </c>
    </row>
    <row r="38" spans="1:9" ht="15" customHeight="1">
      <c r="A38" s="61" t="s">
        <v>283</v>
      </c>
      <c r="B38" s="62"/>
      <c r="C38" s="62" t="s">
        <v>422</v>
      </c>
      <c r="D38" s="62"/>
      <c r="E38" s="10">
        <f>'Stavební rozpočet'!J191</f>
        <v>0</v>
      </c>
      <c r="F38" s="10">
        <f>'Stavební rozpočet'!K191</f>
        <v>0</v>
      </c>
      <c r="G38" s="10">
        <f>'Stavební rozpočet'!L191</f>
        <v>0</v>
      </c>
      <c r="H38" s="41" t="s">
        <v>590</v>
      </c>
      <c r="I38" s="10">
        <f t="shared" si="0"/>
        <v>0</v>
      </c>
    </row>
    <row r="39" spans="1:9" ht="15" customHeight="1">
      <c r="A39" s="61" t="s">
        <v>285</v>
      </c>
      <c r="B39" s="62"/>
      <c r="C39" s="62" t="s">
        <v>440</v>
      </c>
      <c r="D39" s="62"/>
      <c r="E39" s="10">
        <f>'Stavební rozpočet'!J200</f>
        <v>0</v>
      </c>
      <c r="F39" s="10">
        <f>'Stavební rozpočet'!K200</f>
        <v>0</v>
      </c>
      <c r="G39" s="10">
        <f>'Stavební rozpočet'!L200</f>
        <v>0</v>
      </c>
      <c r="H39" s="41" t="s">
        <v>590</v>
      </c>
      <c r="I39" s="10">
        <f t="shared" si="0"/>
        <v>0</v>
      </c>
    </row>
    <row r="40" spans="1:9" ht="15" customHeight="1">
      <c r="A40" s="61" t="s">
        <v>604</v>
      </c>
      <c r="B40" s="62"/>
      <c r="C40" s="62" t="s">
        <v>461</v>
      </c>
      <c r="D40" s="62"/>
      <c r="E40" s="10">
        <f>'Stavební rozpočet'!J210</f>
        <v>0</v>
      </c>
      <c r="F40" s="10">
        <f>'Stavební rozpočet'!K210</f>
        <v>0</v>
      </c>
      <c r="G40" s="10">
        <f>'Stavební rozpočet'!L210</f>
        <v>0</v>
      </c>
      <c r="H40" s="41" t="s">
        <v>590</v>
      </c>
      <c r="I40" s="10">
        <f t="shared" si="0"/>
        <v>0</v>
      </c>
    </row>
    <row r="41" spans="1:9" ht="15" customHeight="1">
      <c r="A41" s="61" t="s">
        <v>605</v>
      </c>
      <c r="B41" s="62"/>
      <c r="C41" s="62" t="s">
        <v>467</v>
      </c>
      <c r="D41" s="62"/>
      <c r="E41" s="10">
        <f>'Stavební rozpočet'!J213</f>
        <v>0</v>
      </c>
      <c r="F41" s="10">
        <f>'Stavební rozpočet'!K213</f>
        <v>0</v>
      </c>
      <c r="G41" s="10">
        <f>'Stavební rozpočet'!L213</f>
        <v>0</v>
      </c>
      <c r="H41" s="41" t="s">
        <v>590</v>
      </c>
      <c r="I41" s="10">
        <f t="shared" si="0"/>
        <v>0</v>
      </c>
    </row>
    <row r="42" spans="1:9" ht="15" customHeight="1">
      <c r="A42" s="61" t="s">
        <v>606</v>
      </c>
      <c r="B42" s="62"/>
      <c r="C42" s="62" t="s">
        <v>473</v>
      </c>
      <c r="D42" s="62"/>
      <c r="E42" s="10">
        <f>'Stavební rozpočet'!J216</f>
        <v>0</v>
      </c>
      <c r="F42" s="10">
        <f>'Stavební rozpočet'!K216</f>
        <v>0</v>
      </c>
      <c r="G42" s="10">
        <f>'Stavební rozpočet'!L216</f>
        <v>0</v>
      </c>
      <c r="H42" s="41" t="s">
        <v>590</v>
      </c>
      <c r="I42" s="10">
        <f t="shared" si="0"/>
        <v>0</v>
      </c>
    </row>
    <row r="43" spans="1:9" ht="15" customHeight="1">
      <c r="A43" s="61" t="s">
        <v>607</v>
      </c>
      <c r="B43" s="62"/>
      <c r="C43" s="62" t="s">
        <v>479</v>
      </c>
      <c r="D43" s="62"/>
      <c r="E43" s="10">
        <f>'Stavební rozpočet'!J219</f>
        <v>0</v>
      </c>
      <c r="F43" s="10">
        <f>'Stavební rozpočet'!K219</f>
        <v>0</v>
      </c>
      <c r="G43" s="10">
        <f>'Stavební rozpočet'!L219</f>
        <v>0</v>
      </c>
      <c r="H43" s="41" t="s">
        <v>590</v>
      </c>
      <c r="I43" s="10">
        <f t="shared" si="0"/>
        <v>0</v>
      </c>
    </row>
    <row r="44" spans="1:9" ht="15" customHeight="1">
      <c r="A44" s="61" t="s">
        <v>608</v>
      </c>
      <c r="B44" s="62"/>
      <c r="C44" s="62" t="s">
        <v>483</v>
      </c>
      <c r="D44" s="62"/>
      <c r="E44" s="10">
        <f>'Stavební rozpočet'!J221</f>
        <v>0</v>
      </c>
      <c r="F44" s="10">
        <f>'Stavební rozpočet'!K221</f>
        <v>0</v>
      </c>
      <c r="G44" s="10">
        <f>'Stavební rozpočet'!L221</f>
        <v>0</v>
      </c>
      <c r="H44" s="41" t="s">
        <v>590</v>
      </c>
      <c r="I44" s="10">
        <f t="shared" si="0"/>
        <v>0</v>
      </c>
    </row>
    <row r="45" spans="1:9" ht="15" customHeight="1">
      <c r="A45" s="61" t="s">
        <v>609</v>
      </c>
      <c r="B45" s="62"/>
      <c r="C45" s="62" t="s">
        <v>491</v>
      </c>
      <c r="D45" s="62"/>
      <c r="E45" s="10">
        <f>'Stavební rozpočet'!J225</f>
        <v>0</v>
      </c>
      <c r="F45" s="10">
        <f>'Stavební rozpočet'!K225</f>
        <v>0</v>
      </c>
      <c r="G45" s="10">
        <f>'Stavební rozpočet'!L225</f>
        <v>0</v>
      </c>
      <c r="H45" s="41" t="s">
        <v>590</v>
      </c>
      <c r="I45" s="10">
        <f t="shared" si="0"/>
        <v>0</v>
      </c>
    </row>
    <row r="46" spans="1:9" ht="15" customHeight="1">
      <c r="A46" s="61" t="s">
        <v>610</v>
      </c>
      <c r="B46" s="62"/>
      <c r="C46" s="62" t="s">
        <v>495</v>
      </c>
      <c r="D46" s="62"/>
      <c r="E46" s="10">
        <f>'Stavební rozpočet'!J227</f>
        <v>0</v>
      </c>
      <c r="F46" s="10">
        <f>'Stavební rozpočet'!K227</f>
        <v>0</v>
      </c>
      <c r="G46" s="10">
        <f>'Stavební rozpočet'!L227</f>
        <v>0</v>
      </c>
      <c r="H46" s="41" t="s">
        <v>590</v>
      </c>
      <c r="I46" s="10">
        <f t="shared" si="0"/>
        <v>0</v>
      </c>
    </row>
    <row r="47" spans="1:9" ht="15" customHeight="1">
      <c r="A47" s="61" t="s">
        <v>611</v>
      </c>
      <c r="B47" s="62"/>
      <c r="C47" s="62" t="s">
        <v>501</v>
      </c>
      <c r="D47" s="62"/>
      <c r="E47" s="10">
        <f>'Stavební rozpočet'!J230</f>
        <v>0</v>
      </c>
      <c r="F47" s="10">
        <f>'Stavební rozpočet'!K230</f>
        <v>0</v>
      </c>
      <c r="G47" s="10">
        <f>'Stavební rozpočet'!L230</f>
        <v>0</v>
      </c>
      <c r="H47" s="41" t="s">
        <v>590</v>
      </c>
      <c r="I47" s="10">
        <f t="shared" si="0"/>
        <v>0</v>
      </c>
    </row>
    <row r="48" spans="1:9" ht="15" customHeight="1">
      <c r="A48" s="61" t="s">
        <v>44</v>
      </c>
      <c r="B48" s="62"/>
      <c r="C48" s="62" t="s">
        <v>527</v>
      </c>
      <c r="D48" s="62"/>
      <c r="E48" s="10">
        <f>'Stavební rozpočet'!J243</f>
        <v>0</v>
      </c>
      <c r="F48" s="10">
        <f>'Stavební rozpočet'!K243</f>
        <v>0</v>
      </c>
      <c r="G48" s="10">
        <f>'Stavební rozpočet'!L243</f>
        <v>0</v>
      </c>
      <c r="H48" s="41" t="s">
        <v>590</v>
      </c>
      <c r="I48" s="10">
        <f t="shared" si="0"/>
        <v>0</v>
      </c>
    </row>
    <row r="49" spans="6:7" ht="15" customHeight="1">
      <c r="F49" s="6" t="s">
        <v>581</v>
      </c>
      <c r="G49" s="16">
        <f>SUM(I11:I48)</f>
        <v>0</v>
      </c>
    </row>
  </sheetData>
  <mergeCells count="102">
    <mergeCell ref="A43:B43"/>
    <mergeCell ref="C43:D43"/>
    <mergeCell ref="A47:B47"/>
    <mergeCell ref="C47:D47"/>
    <mergeCell ref="A48:B48"/>
    <mergeCell ref="C48:D48"/>
    <mergeCell ref="A44:B44"/>
    <mergeCell ref="C44:D44"/>
    <mergeCell ref="A45:B45"/>
    <mergeCell ref="C45:D45"/>
    <mergeCell ref="A46:B46"/>
    <mergeCell ref="C46:D46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0:B10"/>
    <mergeCell ref="F4:F5"/>
    <mergeCell ref="F6:F7"/>
    <mergeCell ref="F8:F9"/>
    <mergeCell ref="C2:C3"/>
    <mergeCell ref="C4:C5"/>
    <mergeCell ref="A11:B11"/>
    <mergeCell ref="C11:D11"/>
    <mergeCell ref="A12:B12"/>
    <mergeCell ref="C12:D12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C6:C7"/>
    <mergeCell ref="C8:C9"/>
    <mergeCell ref="E2:E3"/>
    <mergeCell ref="E4:E5"/>
    <mergeCell ref="E6:E7"/>
    <mergeCell ref="E8:E9"/>
    <mergeCell ref="G2:G3"/>
    <mergeCell ref="G4:G5"/>
    <mergeCell ref="G6:G7"/>
    <mergeCell ref="G8:G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1"/>
  <sheetViews>
    <sheetView showOutlineSymbols="0" workbookViewId="0" topLeftCell="A1">
      <selection activeCell="B39" sqref="B39:L51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8" style="0" customWidth="1"/>
    <col min="4" max="4" width="14" style="0" customWidth="1"/>
    <col min="5" max="5" width="19.59765625" style="0" customWidth="1"/>
    <col min="6" max="6" width="38" style="0" customWidth="1"/>
    <col min="7" max="7" width="12.796875" style="0" customWidth="1"/>
    <col min="8" max="8" width="18" style="0" customWidth="1"/>
    <col min="9" max="9" width="38" style="0" customWidth="1"/>
  </cols>
  <sheetData>
    <row r="1" spans="1:9" ht="54.75" customHeight="1">
      <c r="A1" s="86" t="s">
        <v>612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1</v>
      </c>
      <c r="B2" s="60"/>
      <c r="C2" s="70" t="str">
        <f>'Stavební rozpočet'!C2</f>
        <v>Kolej Hostivař - blok č.10</v>
      </c>
      <c r="D2" s="71"/>
      <c r="E2" s="64" t="s">
        <v>5</v>
      </c>
      <c r="F2" s="64" t="str">
        <f>'Stavební rozpočet'!K2</f>
        <v>UK Koleje a menzy</v>
      </c>
      <c r="G2" s="60"/>
      <c r="H2" s="64" t="s">
        <v>613</v>
      </c>
      <c r="I2" s="66" t="s">
        <v>614</v>
      </c>
    </row>
    <row r="3" spans="1:9" ht="15" customHeight="1">
      <c r="A3" s="61"/>
      <c r="B3" s="62"/>
      <c r="C3" s="72"/>
      <c r="D3" s="72"/>
      <c r="E3" s="62"/>
      <c r="F3" s="62"/>
      <c r="G3" s="62"/>
      <c r="H3" s="62"/>
      <c r="I3" s="67"/>
    </row>
    <row r="4" spans="1:9" ht="15" customHeight="1">
      <c r="A4" s="63" t="s">
        <v>7</v>
      </c>
      <c r="B4" s="62"/>
      <c r="C4" s="65" t="str">
        <f>'Stavební rozpočet'!C4</f>
        <v>Oprava hav. stavu vodovodních a kanalizačních stoupaček a sociálních zař. vč. stavebních prací</v>
      </c>
      <c r="D4" s="62"/>
      <c r="E4" s="65" t="s">
        <v>10</v>
      </c>
      <c r="F4" s="65" t="str">
        <f>'Stavební rozpočet'!K4</f>
        <v> </v>
      </c>
      <c r="G4" s="62"/>
      <c r="H4" s="65" t="s">
        <v>613</v>
      </c>
      <c r="I4" s="67" t="s">
        <v>44</v>
      </c>
    </row>
    <row r="5" spans="1:9" ht="39" customHeight="1">
      <c r="A5" s="61"/>
      <c r="B5" s="62"/>
      <c r="C5" s="62"/>
      <c r="D5" s="62"/>
      <c r="E5" s="62"/>
      <c r="F5" s="62"/>
      <c r="G5" s="62"/>
      <c r="H5" s="62"/>
      <c r="I5" s="67"/>
    </row>
    <row r="6" spans="1:9" ht="15" customHeight="1">
      <c r="A6" s="63" t="s">
        <v>12</v>
      </c>
      <c r="B6" s="62"/>
      <c r="C6" s="65" t="str">
        <f>'Stavební rozpočet'!C6</f>
        <v>Praha</v>
      </c>
      <c r="D6" s="62"/>
      <c r="E6" s="65" t="s">
        <v>15</v>
      </c>
      <c r="F6" s="65" t="str">
        <f>'Stavební rozpočet'!K6</f>
        <v> </v>
      </c>
      <c r="G6" s="62"/>
      <c r="H6" s="65" t="s">
        <v>613</v>
      </c>
      <c r="I6" s="67" t="s">
        <v>44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67"/>
    </row>
    <row r="8" spans="1:9" ht="15" customHeight="1">
      <c r="A8" s="63" t="s">
        <v>9</v>
      </c>
      <c r="B8" s="62"/>
      <c r="C8" s="65" t="str">
        <f>'Stavební rozpočet'!G4</f>
        <v xml:space="preserve"> </v>
      </c>
      <c r="D8" s="62"/>
      <c r="E8" s="65" t="s">
        <v>14</v>
      </c>
      <c r="F8" s="65" t="str">
        <f>'Stavební rozpočet'!G6</f>
        <v xml:space="preserve"> </v>
      </c>
      <c r="G8" s="62"/>
      <c r="H8" s="62" t="s">
        <v>615</v>
      </c>
      <c r="I8" s="87">
        <v>218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67"/>
    </row>
    <row r="10" spans="1:9" ht="15" customHeight="1">
      <c r="A10" s="63" t="s">
        <v>16</v>
      </c>
      <c r="B10" s="62"/>
      <c r="C10" s="65" t="str">
        <f>'Stavební rozpočet'!C8</f>
        <v xml:space="preserve"> </v>
      </c>
      <c r="D10" s="62"/>
      <c r="E10" s="65" t="s">
        <v>18</v>
      </c>
      <c r="F10" s="65" t="str">
        <f>'Stavební rozpočet'!K8</f>
        <v> </v>
      </c>
      <c r="G10" s="62"/>
      <c r="H10" s="62" t="s">
        <v>616</v>
      </c>
      <c r="I10" s="83" t="str">
        <f>'Stavební rozpočet'!G8</f>
        <v xml:space="preserve"> </v>
      </c>
    </row>
    <row r="11" spans="1:9" ht="15" customHeight="1">
      <c r="A11" s="90"/>
      <c r="B11" s="81"/>
      <c r="C11" s="81"/>
      <c r="D11" s="81"/>
      <c r="E11" s="81"/>
      <c r="F11" s="81"/>
      <c r="G11" s="81"/>
      <c r="H11" s="81"/>
      <c r="I11" s="88"/>
    </row>
    <row r="12" spans="1:9" ht="22.5" customHeight="1">
      <c r="A12" s="89" t="s">
        <v>617</v>
      </c>
      <c r="B12" s="89"/>
      <c r="C12" s="89"/>
      <c r="D12" s="89"/>
      <c r="E12" s="89"/>
      <c r="F12" s="89"/>
      <c r="G12" s="89"/>
      <c r="H12" s="89"/>
      <c r="I12" s="89"/>
    </row>
    <row r="13" spans="1:9" ht="26.25" customHeight="1">
      <c r="A13" s="8" t="s">
        <v>618</v>
      </c>
      <c r="B13" s="91" t="s">
        <v>619</v>
      </c>
      <c r="C13" s="92"/>
      <c r="D13" s="7" t="s">
        <v>620</v>
      </c>
      <c r="E13" s="91" t="s">
        <v>621</v>
      </c>
      <c r="F13" s="92"/>
      <c r="G13" s="7" t="s">
        <v>622</v>
      </c>
      <c r="H13" s="91" t="s">
        <v>623</v>
      </c>
      <c r="I13" s="92"/>
    </row>
    <row r="14" spans="1:9" ht="15" customHeight="1">
      <c r="A14" s="27" t="s">
        <v>624</v>
      </c>
      <c r="B14" s="15" t="s">
        <v>625</v>
      </c>
      <c r="C14" s="34">
        <f>SUM('Stavební rozpočet'!AB12:AB267)</f>
        <v>0</v>
      </c>
      <c r="D14" s="99" t="s">
        <v>626</v>
      </c>
      <c r="E14" s="100"/>
      <c r="F14" s="34">
        <f>VORN!I15</f>
        <v>0</v>
      </c>
      <c r="G14" s="99" t="s">
        <v>627</v>
      </c>
      <c r="H14" s="100"/>
      <c r="I14" s="34">
        <f>VORN!I21</f>
        <v>0</v>
      </c>
    </row>
    <row r="15" spans="1:9" ht="15" customHeight="1">
      <c r="A15" s="35" t="s">
        <v>44</v>
      </c>
      <c r="B15" s="15" t="s">
        <v>30</v>
      </c>
      <c r="C15" s="34">
        <f>SUM('Stavební rozpočet'!AC12:AC267)</f>
        <v>0</v>
      </c>
      <c r="D15" s="99" t="s">
        <v>628</v>
      </c>
      <c r="E15" s="100"/>
      <c r="F15" s="34">
        <f>VORN!I16</f>
        <v>0</v>
      </c>
      <c r="G15" s="99" t="s">
        <v>629</v>
      </c>
      <c r="H15" s="100"/>
      <c r="I15" s="11">
        <f>VORN!I22</f>
        <v>0</v>
      </c>
    </row>
    <row r="16" spans="1:9" ht="15" customHeight="1">
      <c r="A16" s="27" t="s">
        <v>630</v>
      </c>
      <c r="B16" s="15" t="s">
        <v>625</v>
      </c>
      <c r="C16" s="34">
        <f>SUM('Stavební rozpočet'!AD12:AD267)</f>
        <v>0</v>
      </c>
      <c r="D16" s="99" t="s">
        <v>631</v>
      </c>
      <c r="E16" s="100"/>
      <c r="F16" s="34">
        <f>VORN!I17</f>
        <v>0</v>
      </c>
      <c r="G16" s="99" t="s">
        <v>632</v>
      </c>
      <c r="H16" s="100"/>
      <c r="I16" s="11">
        <f>VORN!I23</f>
        <v>0</v>
      </c>
    </row>
    <row r="17" spans="1:9" ht="15" customHeight="1">
      <c r="A17" s="35" t="s">
        <v>44</v>
      </c>
      <c r="B17" s="15" t="s">
        <v>30</v>
      </c>
      <c r="C17" s="34">
        <f>SUM('Stavební rozpočet'!AE12:AE267)</f>
        <v>0</v>
      </c>
      <c r="D17" s="99" t="s">
        <v>44</v>
      </c>
      <c r="E17" s="100"/>
      <c r="F17" s="11" t="s">
        <v>44</v>
      </c>
      <c r="G17" s="99" t="s">
        <v>633</v>
      </c>
      <c r="H17" s="100"/>
      <c r="I17" s="11">
        <f>VORN!I24</f>
        <v>0</v>
      </c>
    </row>
    <row r="18" spans="1:9" ht="15" customHeight="1">
      <c r="A18" s="27" t="s">
        <v>634</v>
      </c>
      <c r="B18" s="15" t="s">
        <v>625</v>
      </c>
      <c r="C18" s="34">
        <f>SUM('Stavební rozpočet'!AF12:AF267)</f>
        <v>0</v>
      </c>
      <c r="D18" s="99" t="s">
        <v>44</v>
      </c>
      <c r="E18" s="100"/>
      <c r="F18" s="11" t="s">
        <v>44</v>
      </c>
      <c r="G18" s="99" t="s">
        <v>635</v>
      </c>
      <c r="H18" s="100"/>
      <c r="I18" s="11">
        <f>VORN!I25</f>
        <v>0</v>
      </c>
    </row>
    <row r="19" spans="1:9" ht="15" customHeight="1">
      <c r="A19" s="35" t="s">
        <v>44</v>
      </c>
      <c r="B19" s="15" t="s">
        <v>30</v>
      </c>
      <c r="C19" s="34">
        <f>SUM('Stavební rozpočet'!AG12:AG267)</f>
        <v>0</v>
      </c>
      <c r="D19" s="99" t="s">
        <v>44</v>
      </c>
      <c r="E19" s="100"/>
      <c r="F19" s="11" t="s">
        <v>44</v>
      </c>
      <c r="G19" s="99" t="s">
        <v>636</v>
      </c>
      <c r="H19" s="100"/>
      <c r="I19" s="11">
        <f>VORN!I26</f>
        <v>0</v>
      </c>
    </row>
    <row r="20" spans="1:9" ht="15" customHeight="1">
      <c r="A20" s="93" t="s">
        <v>527</v>
      </c>
      <c r="B20" s="94"/>
      <c r="C20" s="34">
        <f>SUM('Stavební rozpočet'!AH12:AH267)</f>
        <v>0</v>
      </c>
      <c r="D20" s="99" t="s">
        <v>44</v>
      </c>
      <c r="E20" s="100"/>
      <c r="F20" s="11" t="s">
        <v>44</v>
      </c>
      <c r="G20" s="99" t="s">
        <v>44</v>
      </c>
      <c r="H20" s="100"/>
      <c r="I20" s="11" t="s">
        <v>44</v>
      </c>
    </row>
    <row r="21" spans="1:9" ht="15" customHeight="1">
      <c r="A21" s="95" t="s">
        <v>473</v>
      </c>
      <c r="B21" s="96"/>
      <c r="C21" s="45">
        <f>SUM('Stavební rozpočet'!Z12:Z267)</f>
        <v>0</v>
      </c>
      <c r="D21" s="101" t="s">
        <v>44</v>
      </c>
      <c r="E21" s="102"/>
      <c r="F21" s="37" t="s">
        <v>44</v>
      </c>
      <c r="G21" s="101" t="s">
        <v>44</v>
      </c>
      <c r="H21" s="102"/>
      <c r="I21" s="37" t="s">
        <v>44</v>
      </c>
    </row>
    <row r="22" spans="1:9" ht="16.5" customHeight="1">
      <c r="A22" s="97" t="s">
        <v>637</v>
      </c>
      <c r="B22" s="98"/>
      <c r="C22" s="29">
        <f>SUM(C14:C21)</f>
        <v>0</v>
      </c>
      <c r="D22" s="103" t="s">
        <v>638</v>
      </c>
      <c r="E22" s="98"/>
      <c r="F22" s="29">
        <f>SUM(F14:F21)</f>
        <v>0</v>
      </c>
      <c r="G22" s="103" t="s">
        <v>639</v>
      </c>
      <c r="H22" s="98"/>
      <c r="I22" s="29">
        <f>ROUND(C22*(7.9/100),2)</f>
        <v>0</v>
      </c>
    </row>
    <row r="23" spans="4:9" ht="15" customHeight="1">
      <c r="D23" s="93" t="s">
        <v>640</v>
      </c>
      <c r="E23" s="94"/>
      <c r="F23" s="20">
        <v>0</v>
      </c>
      <c r="G23" s="104" t="s">
        <v>641</v>
      </c>
      <c r="H23" s="94"/>
      <c r="I23" s="34">
        <v>0</v>
      </c>
    </row>
    <row r="24" spans="7:9" ht="15" customHeight="1">
      <c r="G24" s="93" t="s">
        <v>642</v>
      </c>
      <c r="H24" s="94"/>
      <c r="I24" s="45">
        <f>vorn_sum</f>
        <v>0</v>
      </c>
    </row>
    <row r="25" spans="7:9" ht="15" customHeight="1">
      <c r="G25" s="93" t="s">
        <v>643</v>
      </c>
      <c r="H25" s="94"/>
      <c r="I25" s="29">
        <v>0</v>
      </c>
    </row>
    <row r="27" spans="1:3" ht="15" customHeight="1">
      <c r="A27" s="105" t="s">
        <v>644</v>
      </c>
      <c r="B27" s="106"/>
      <c r="C27" s="5">
        <f>SUM('Stavební rozpočet'!AJ12:AJ267)</f>
        <v>0</v>
      </c>
    </row>
    <row r="28" spans="1:9" ht="15" customHeight="1">
      <c r="A28" s="107" t="s">
        <v>645</v>
      </c>
      <c r="B28" s="108"/>
      <c r="C28" s="9">
        <f>SUM('Stavební rozpočet'!AK12:AK267)</f>
        <v>0</v>
      </c>
      <c r="D28" s="106" t="s">
        <v>646</v>
      </c>
      <c r="E28" s="106"/>
      <c r="F28" s="5">
        <f>ROUND(C28*(15/100),2)</f>
        <v>0</v>
      </c>
      <c r="G28" s="106" t="s">
        <v>647</v>
      </c>
      <c r="H28" s="106"/>
      <c r="I28" s="5">
        <f>SUM(C27:C29)</f>
        <v>0</v>
      </c>
    </row>
    <row r="29" spans="1:9" ht="15" customHeight="1">
      <c r="A29" s="107" t="s">
        <v>648</v>
      </c>
      <c r="B29" s="108"/>
      <c r="C29" s="9">
        <f>SUM('Stavební rozpočet'!AL12:AL267)+(F22+I22+F23+I23+I24+I25)</f>
        <v>0</v>
      </c>
      <c r="D29" s="108" t="s">
        <v>649</v>
      </c>
      <c r="E29" s="108"/>
      <c r="F29" s="9">
        <f>ROUND(C29*(21/100),2)</f>
        <v>0</v>
      </c>
      <c r="G29" s="108" t="s">
        <v>650</v>
      </c>
      <c r="H29" s="108"/>
      <c r="I29" s="9">
        <f>SUM(F28:F29)+I28</f>
        <v>0</v>
      </c>
    </row>
    <row r="31" spans="1:9" ht="15" customHeight="1">
      <c r="A31" s="109" t="s">
        <v>651</v>
      </c>
      <c r="B31" s="110"/>
      <c r="C31" s="111"/>
      <c r="D31" s="110" t="s">
        <v>652</v>
      </c>
      <c r="E31" s="110"/>
      <c r="F31" s="111"/>
      <c r="G31" s="110" t="s">
        <v>653</v>
      </c>
      <c r="H31" s="110"/>
      <c r="I31" s="111"/>
    </row>
    <row r="32" spans="1:9" ht="15" customHeight="1">
      <c r="A32" s="112" t="s">
        <v>44</v>
      </c>
      <c r="B32" s="101"/>
      <c r="C32" s="113"/>
      <c r="D32" s="101" t="s">
        <v>44</v>
      </c>
      <c r="E32" s="101"/>
      <c r="F32" s="113"/>
      <c r="G32" s="101" t="s">
        <v>44</v>
      </c>
      <c r="H32" s="101"/>
      <c r="I32" s="113"/>
    </row>
    <row r="33" spans="1:9" ht="15" customHeight="1">
      <c r="A33" s="112" t="s">
        <v>44</v>
      </c>
      <c r="B33" s="101"/>
      <c r="C33" s="113"/>
      <c r="D33" s="101" t="s">
        <v>44</v>
      </c>
      <c r="E33" s="101"/>
      <c r="F33" s="113"/>
      <c r="G33" s="101" t="s">
        <v>44</v>
      </c>
      <c r="H33" s="101"/>
      <c r="I33" s="113"/>
    </row>
    <row r="34" spans="1:9" ht="15" customHeight="1">
      <c r="A34" s="112" t="s">
        <v>44</v>
      </c>
      <c r="B34" s="101"/>
      <c r="C34" s="113"/>
      <c r="D34" s="101" t="s">
        <v>44</v>
      </c>
      <c r="E34" s="101"/>
      <c r="F34" s="113"/>
      <c r="G34" s="101" t="s">
        <v>44</v>
      </c>
      <c r="H34" s="101"/>
      <c r="I34" s="113"/>
    </row>
    <row r="35" spans="1:9" ht="15" customHeight="1">
      <c r="A35" s="116" t="s">
        <v>654</v>
      </c>
      <c r="B35" s="114"/>
      <c r="C35" s="115"/>
      <c r="D35" s="114" t="s">
        <v>654</v>
      </c>
      <c r="E35" s="114"/>
      <c r="F35" s="115"/>
      <c r="G35" s="114" t="s">
        <v>654</v>
      </c>
      <c r="H35" s="114"/>
      <c r="I35" s="115"/>
    </row>
    <row r="36" ht="15" customHeight="1">
      <c r="A36" s="48" t="s">
        <v>582</v>
      </c>
    </row>
    <row r="37" spans="1:9" ht="27" customHeight="1">
      <c r="A37" s="65" t="s">
        <v>655</v>
      </c>
      <c r="B37" s="62"/>
      <c r="C37" s="62"/>
      <c r="D37" s="62"/>
      <c r="E37" s="62"/>
      <c r="F37" s="62"/>
      <c r="G37" s="62"/>
      <c r="H37" s="62"/>
      <c r="I37" s="62"/>
    </row>
    <row r="39" ht="15" customHeight="1">
      <c r="B39" s="52" t="s">
        <v>656</v>
      </c>
    </row>
    <row r="40" ht="15" customHeight="1">
      <c r="B40" s="52"/>
    </row>
    <row r="41" ht="15" customHeight="1">
      <c r="B41" s="52" t="s">
        <v>657</v>
      </c>
    </row>
    <row r="42" ht="15" customHeight="1">
      <c r="B42" s="52"/>
    </row>
    <row r="43" ht="15" customHeight="1">
      <c r="B43" s="52" t="s">
        <v>658</v>
      </c>
    </row>
    <row r="44" ht="15" customHeight="1">
      <c r="B44" s="52"/>
    </row>
    <row r="45" ht="15" customHeight="1">
      <c r="B45" s="52" t="s">
        <v>659</v>
      </c>
    </row>
    <row r="46" ht="15" customHeight="1">
      <c r="B46" s="52"/>
    </row>
    <row r="47" ht="15" customHeight="1">
      <c r="B47" s="52" t="s">
        <v>660</v>
      </c>
    </row>
    <row r="48" ht="15" customHeight="1">
      <c r="B48" s="52" t="s">
        <v>661</v>
      </c>
    </row>
    <row r="49" ht="15" customHeight="1">
      <c r="B49" s="52" t="s">
        <v>662</v>
      </c>
    </row>
    <row r="50" ht="15" customHeight="1">
      <c r="B50" s="52" t="s">
        <v>663</v>
      </c>
    </row>
    <row r="51" ht="15" customHeight="1">
      <c r="B51" s="52" t="s">
        <v>664</v>
      </c>
    </row>
  </sheetData>
  <mergeCells count="83">
    <mergeCell ref="A37:I37"/>
    <mergeCell ref="A31:C31"/>
    <mergeCell ref="A32:C32"/>
    <mergeCell ref="A33:C33"/>
    <mergeCell ref="A34:C34"/>
    <mergeCell ref="G31:I31"/>
    <mergeCell ref="G32:I32"/>
    <mergeCell ref="G33:I33"/>
    <mergeCell ref="G34:I34"/>
    <mergeCell ref="G35:I35"/>
    <mergeCell ref="A35:C35"/>
    <mergeCell ref="D31:F31"/>
    <mergeCell ref="D32:F32"/>
    <mergeCell ref="D33:F33"/>
    <mergeCell ref="D34:F34"/>
    <mergeCell ref="D35:F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13:C13"/>
    <mergeCell ref="E13:F13"/>
    <mergeCell ref="H13:I13"/>
    <mergeCell ref="A20:B20"/>
    <mergeCell ref="A21:B21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I2:I3"/>
    <mergeCell ref="I4:I5"/>
    <mergeCell ref="I6:I7"/>
    <mergeCell ref="I8:I9"/>
    <mergeCell ref="E8:E9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showOutlineSymbols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86" t="s">
        <v>665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9" t="s">
        <v>1</v>
      </c>
      <c r="B2" s="60"/>
      <c r="C2" s="70" t="str">
        <f>'Stavební rozpočet'!C2</f>
        <v>Kolej Hostivař - blok č.10</v>
      </c>
      <c r="D2" s="71"/>
      <c r="E2" s="64" t="s">
        <v>5</v>
      </c>
      <c r="F2" s="64" t="str">
        <f>'Stavební rozpočet'!K2</f>
        <v>UK Koleje a menzy</v>
      </c>
      <c r="G2" s="60"/>
      <c r="H2" s="64" t="s">
        <v>613</v>
      </c>
      <c r="I2" s="66" t="s">
        <v>614</v>
      </c>
    </row>
    <row r="3" spans="1:9" ht="15" customHeight="1">
      <c r="A3" s="61"/>
      <c r="B3" s="62"/>
      <c r="C3" s="72"/>
      <c r="D3" s="72"/>
      <c r="E3" s="62"/>
      <c r="F3" s="62"/>
      <c r="G3" s="62"/>
      <c r="H3" s="62"/>
      <c r="I3" s="67"/>
    </row>
    <row r="4" spans="1:9" ht="15" customHeight="1">
      <c r="A4" s="63" t="s">
        <v>7</v>
      </c>
      <c r="B4" s="62"/>
      <c r="C4" s="65" t="str">
        <f>'Stavební rozpočet'!C4</f>
        <v>Oprava hav. stavu vodovodních a kanalizačních stoupaček a sociálních zař. vč. stavebních prací</v>
      </c>
      <c r="D4" s="62"/>
      <c r="E4" s="65" t="s">
        <v>10</v>
      </c>
      <c r="F4" s="65" t="str">
        <f>'Stavební rozpočet'!K4</f>
        <v> </v>
      </c>
      <c r="G4" s="62"/>
      <c r="H4" s="65" t="s">
        <v>613</v>
      </c>
      <c r="I4" s="67" t="s">
        <v>44</v>
      </c>
    </row>
    <row r="5" spans="1:9" ht="39" customHeight="1">
      <c r="A5" s="61"/>
      <c r="B5" s="62"/>
      <c r="C5" s="62"/>
      <c r="D5" s="62"/>
      <c r="E5" s="62"/>
      <c r="F5" s="62"/>
      <c r="G5" s="62"/>
      <c r="H5" s="62"/>
      <c r="I5" s="67"/>
    </row>
    <row r="6" spans="1:9" ht="15" customHeight="1">
      <c r="A6" s="63" t="s">
        <v>12</v>
      </c>
      <c r="B6" s="62"/>
      <c r="C6" s="65" t="str">
        <f>'Stavební rozpočet'!C6</f>
        <v>Praha</v>
      </c>
      <c r="D6" s="62"/>
      <c r="E6" s="65" t="s">
        <v>15</v>
      </c>
      <c r="F6" s="65" t="str">
        <f>'Stavební rozpočet'!K6</f>
        <v> </v>
      </c>
      <c r="G6" s="62"/>
      <c r="H6" s="65" t="s">
        <v>613</v>
      </c>
      <c r="I6" s="67" t="s">
        <v>44</v>
      </c>
    </row>
    <row r="7" spans="1:9" ht="15" customHeight="1">
      <c r="A7" s="61"/>
      <c r="B7" s="62"/>
      <c r="C7" s="62"/>
      <c r="D7" s="62"/>
      <c r="E7" s="62"/>
      <c r="F7" s="62"/>
      <c r="G7" s="62"/>
      <c r="H7" s="62"/>
      <c r="I7" s="67"/>
    </row>
    <row r="8" spans="1:9" ht="15" customHeight="1">
      <c r="A8" s="63" t="s">
        <v>9</v>
      </c>
      <c r="B8" s="62"/>
      <c r="C8" s="65" t="str">
        <f>'Stavební rozpočet'!G4</f>
        <v xml:space="preserve"> </v>
      </c>
      <c r="D8" s="62"/>
      <c r="E8" s="65" t="s">
        <v>14</v>
      </c>
      <c r="F8" s="65" t="str">
        <f>'Stavební rozpočet'!G6</f>
        <v xml:space="preserve"> </v>
      </c>
      <c r="G8" s="62"/>
      <c r="H8" s="62" t="s">
        <v>615</v>
      </c>
      <c r="I8" s="87">
        <v>218</v>
      </c>
    </row>
    <row r="9" spans="1:9" ht="15" customHeight="1">
      <c r="A9" s="61"/>
      <c r="B9" s="62"/>
      <c r="C9" s="62"/>
      <c r="D9" s="62"/>
      <c r="E9" s="62"/>
      <c r="F9" s="62"/>
      <c r="G9" s="62"/>
      <c r="H9" s="62"/>
      <c r="I9" s="67"/>
    </row>
    <row r="10" spans="1:9" ht="15" customHeight="1">
      <c r="A10" s="63" t="s">
        <v>16</v>
      </c>
      <c r="B10" s="62"/>
      <c r="C10" s="65" t="str">
        <f>'Stavební rozpočet'!C8</f>
        <v xml:space="preserve"> </v>
      </c>
      <c r="D10" s="62"/>
      <c r="E10" s="65" t="s">
        <v>18</v>
      </c>
      <c r="F10" s="65" t="str">
        <f>'Stavební rozpočet'!K8</f>
        <v> </v>
      </c>
      <c r="G10" s="62"/>
      <c r="H10" s="62" t="s">
        <v>616</v>
      </c>
      <c r="I10" s="83" t="str">
        <f>'Stavební rozpočet'!G8</f>
        <v xml:space="preserve"> </v>
      </c>
    </row>
    <row r="11" spans="1:9" ht="15" customHeight="1">
      <c r="A11" s="90"/>
      <c r="B11" s="81"/>
      <c r="C11" s="81"/>
      <c r="D11" s="81"/>
      <c r="E11" s="81"/>
      <c r="F11" s="81"/>
      <c r="G11" s="81"/>
      <c r="H11" s="81"/>
      <c r="I11" s="88"/>
    </row>
    <row r="13" spans="1:5" ht="15.75" customHeight="1">
      <c r="A13" s="117" t="s">
        <v>666</v>
      </c>
      <c r="B13" s="117"/>
      <c r="C13" s="117"/>
      <c r="D13" s="117"/>
      <c r="E13" s="117"/>
    </row>
    <row r="14" spans="1:9" ht="15" customHeight="1">
      <c r="A14" s="118" t="s">
        <v>667</v>
      </c>
      <c r="B14" s="119"/>
      <c r="C14" s="119"/>
      <c r="D14" s="119"/>
      <c r="E14" s="120"/>
      <c r="F14" s="39" t="s">
        <v>668</v>
      </c>
      <c r="G14" s="39" t="s">
        <v>669</v>
      </c>
      <c r="H14" s="39" t="s">
        <v>670</v>
      </c>
      <c r="I14" s="39" t="s">
        <v>668</v>
      </c>
    </row>
    <row r="15" spans="1:9" ht="15" customHeight="1">
      <c r="A15" s="90" t="s">
        <v>626</v>
      </c>
      <c r="B15" s="81"/>
      <c r="C15" s="81"/>
      <c r="D15" s="81"/>
      <c r="E15" s="88"/>
      <c r="F15" s="44">
        <v>0</v>
      </c>
      <c r="G15" s="17" t="s">
        <v>44</v>
      </c>
      <c r="H15" s="17" t="s">
        <v>44</v>
      </c>
      <c r="I15" s="44">
        <f>F15</f>
        <v>0</v>
      </c>
    </row>
    <row r="16" spans="1:9" ht="15" customHeight="1">
      <c r="A16" s="90" t="s">
        <v>628</v>
      </c>
      <c r="B16" s="81"/>
      <c r="C16" s="81"/>
      <c r="D16" s="81"/>
      <c r="E16" s="88"/>
      <c r="F16" s="44">
        <v>0</v>
      </c>
      <c r="G16" s="17" t="s">
        <v>44</v>
      </c>
      <c r="H16" s="17" t="s">
        <v>44</v>
      </c>
      <c r="I16" s="44">
        <f>F16</f>
        <v>0</v>
      </c>
    </row>
    <row r="17" spans="1:9" ht="15" customHeight="1">
      <c r="A17" s="61" t="s">
        <v>631</v>
      </c>
      <c r="B17" s="62"/>
      <c r="C17" s="62"/>
      <c r="D17" s="62"/>
      <c r="E17" s="67"/>
      <c r="F17" s="50">
        <v>0</v>
      </c>
      <c r="G17" s="18" t="s">
        <v>44</v>
      </c>
      <c r="H17" s="18" t="s">
        <v>44</v>
      </c>
      <c r="I17" s="50">
        <f>F17</f>
        <v>0</v>
      </c>
    </row>
    <row r="18" spans="1:9" ht="15" customHeight="1">
      <c r="A18" s="84" t="s">
        <v>671</v>
      </c>
      <c r="B18" s="121"/>
      <c r="C18" s="121"/>
      <c r="D18" s="121"/>
      <c r="E18" s="122"/>
      <c r="F18" s="42" t="s">
        <v>44</v>
      </c>
      <c r="G18" s="3" t="s">
        <v>44</v>
      </c>
      <c r="H18" s="3" t="s">
        <v>44</v>
      </c>
      <c r="I18" s="31">
        <f>SUM(I15:I17)</f>
        <v>0</v>
      </c>
    </row>
    <row r="20" spans="1:9" ht="15" customHeight="1">
      <c r="A20" s="118" t="s">
        <v>623</v>
      </c>
      <c r="B20" s="119"/>
      <c r="C20" s="119"/>
      <c r="D20" s="119"/>
      <c r="E20" s="120"/>
      <c r="F20" s="39" t="s">
        <v>668</v>
      </c>
      <c r="G20" s="39" t="s">
        <v>669</v>
      </c>
      <c r="H20" s="39" t="s">
        <v>670</v>
      </c>
      <c r="I20" s="39" t="s">
        <v>668</v>
      </c>
    </row>
    <row r="21" spans="1:9" ht="15" customHeight="1">
      <c r="A21" s="90" t="s">
        <v>627</v>
      </c>
      <c r="B21" s="81"/>
      <c r="C21" s="81"/>
      <c r="D21" s="81"/>
      <c r="E21" s="88"/>
      <c r="F21" s="44">
        <v>0</v>
      </c>
      <c r="G21" s="17" t="s">
        <v>44</v>
      </c>
      <c r="H21" s="17" t="s">
        <v>44</v>
      </c>
      <c r="I21" s="44">
        <f aca="true" t="shared" si="0" ref="I21:I26">F21</f>
        <v>0</v>
      </c>
    </row>
    <row r="22" spans="1:9" ht="15" customHeight="1">
      <c r="A22" s="90" t="s">
        <v>629</v>
      </c>
      <c r="B22" s="81"/>
      <c r="C22" s="81"/>
      <c r="D22" s="81"/>
      <c r="E22" s="88"/>
      <c r="F22" s="44">
        <v>0</v>
      </c>
      <c r="G22" s="17" t="s">
        <v>44</v>
      </c>
      <c r="H22" s="17" t="s">
        <v>44</v>
      </c>
      <c r="I22" s="44">
        <f t="shared" si="0"/>
        <v>0</v>
      </c>
    </row>
    <row r="23" spans="1:9" ht="15" customHeight="1">
      <c r="A23" s="90" t="s">
        <v>632</v>
      </c>
      <c r="B23" s="81"/>
      <c r="C23" s="81"/>
      <c r="D23" s="81"/>
      <c r="E23" s="88"/>
      <c r="F23" s="44">
        <v>0</v>
      </c>
      <c r="G23" s="17" t="s">
        <v>44</v>
      </c>
      <c r="H23" s="17" t="s">
        <v>44</v>
      </c>
      <c r="I23" s="44">
        <f t="shared" si="0"/>
        <v>0</v>
      </c>
    </row>
    <row r="24" spans="1:9" ht="15" customHeight="1">
      <c r="A24" s="90" t="s">
        <v>633</v>
      </c>
      <c r="B24" s="81"/>
      <c r="C24" s="81"/>
      <c r="D24" s="81"/>
      <c r="E24" s="88"/>
      <c r="F24" s="44">
        <v>0</v>
      </c>
      <c r="G24" s="17" t="s">
        <v>44</v>
      </c>
      <c r="H24" s="17" t="s">
        <v>44</v>
      </c>
      <c r="I24" s="44">
        <f t="shared" si="0"/>
        <v>0</v>
      </c>
    </row>
    <row r="25" spans="1:9" ht="15" customHeight="1">
      <c r="A25" s="90" t="s">
        <v>635</v>
      </c>
      <c r="B25" s="81"/>
      <c r="C25" s="81"/>
      <c r="D25" s="81"/>
      <c r="E25" s="88"/>
      <c r="F25" s="44">
        <v>0</v>
      </c>
      <c r="G25" s="17" t="s">
        <v>44</v>
      </c>
      <c r="H25" s="17" t="s">
        <v>44</v>
      </c>
      <c r="I25" s="44">
        <f t="shared" si="0"/>
        <v>0</v>
      </c>
    </row>
    <row r="26" spans="1:9" ht="15" customHeight="1">
      <c r="A26" s="61" t="s">
        <v>636</v>
      </c>
      <c r="B26" s="62"/>
      <c r="C26" s="62"/>
      <c r="D26" s="62"/>
      <c r="E26" s="67"/>
      <c r="F26" s="50">
        <v>0</v>
      </c>
      <c r="G26" s="18" t="s">
        <v>44</v>
      </c>
      <c r="H26" s="18" t="s">
        <v>44</v>
      </c>
      <c r="I26" s="50">
        <f t="shared" si="0"/>
        <v>0</v>
      </c>
    </row>
    <row r="27" spans="1:9" ht="15" customHeight="1">
      <c r="A27" s="84" t="s">
        <v>672</v>
      </c>
      <c r="B27" s="121"/>
      <c r="C27" s="121"/>
      <c r="D27" s="121"/>
      <c r="E27" s="122"/>
      <c r="F27" s="42" t="s">
        <v>44</v>
      </c>
      <c r="G27" s="31">
        <v>7.9</v>
      </c>
      <c r="H27" s="31">
        <f>'Krycí list rozpočtu'!C22</f>
        <v>0</v>
      </c>
      <c r="I27" s="31">
        <f>ROUND((G27/100)*H27,2)</f>
        <v>0</v>
      </c>
    </row>
    <row r="29" spans="1:9" ht="15.75" customHeight="1">
      <c r="A29" s="123" t="s">
        <v>673</v>
      </c>
      <c r="B29" s="124"/>
      <c r="C29" s="124"/>
      <c r="D29" s="124"/>
      <c r="E29" s="125"/>
      <c r="F29" s="126">
        <f>I18+I27</f>
        <v>0</v>
      </c>
      <c r="G29" s="127"/>
      <c r="H29" s="127"/>
      <c r="I29" s="128"/>
    </row>
    <row r="33" spans="1:5" ht="15.75" customHeight="1">
      <c r="A33" s="117" t="s">
        <v>674</v>
      </c>
      <c r="B33" s="117"/>
      <c r="C33" s="117"/>
      <c r="D33" s="117"/>
      <c r="E33" s="117"/>
    </row>
    <row r="34" spans="1:9" ht="15" customHeight="1">
      <c r="A34" s="118" t="s">
        <v>675</v>
      </c>
      <c r="B34" s="119"/>
      <c r="C34" s="119"/>
      <c r="D34" s="119"/>
      <c r="E34" s="120"/>
      <c r="F34" s="39" t="s">
        <v>668</v>
      </c>
      <c r="G34" s="39" t="s">
        <v>669</v>
      </c>
      <c r="H34" s="39" t="s">
        <v>670</v>
      </c>
      <c r="I34" s="39" t="s">
        <v>668</v>
      </c>
    </row>
    <row r="35" spans="1:9" ht="15" customHeight="1">
      <c r="A35" s="61" t="s">
        <v>44</v>
      </c>
      <c r="B35" s="62"/>
      <c r="C35" s="62"/>
      <c r="D35" s="62"/>
      <c r="E35" s="67"/>
      <c r="F35" s="50">
        <v>0</v>
      </c>
      <c r="G35" s="18" t="s">
        <v>44</v>
      </c>
      <c r="H35" s="18" t="s">
        <v>44</v>
      </c>
      <c r="I35" s="50">
        <f>F35</f>
        <v>0</v>
      </c>
    </row>
    <row r="36" spans="1:9" ht="15" customHeight="1">
      <c r="A36" s="84" t="s">
        <v>676</v>
      </c>
      <c r="B36" s="121"/>
      <c r="C36" s="121"/>
      <c r="D36" s="121"/>
      <c r="E36" s="122"/>
      <c r="F36" s="42" t="s">
        <v>44</v>
      </c>
      <c r="G36" s="3" t="s">
        <v>44</v>
      </c>
      <c r="H36" s="3" t="s">
        <v>44</v>
      </c>
      <c r="I36" s="31">
        <f>SUM(I35:I35)</f>
        <v>0</v>
      </c>
    </row>
  </sheetData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14:E14"/>
    <mergeCell ref="A10:B11"/>
    <mergeCell ref="E8:E9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F2:G3"/>
    <mergeCell ref="F4:G5"/>
    <mergeCell ref="F6:G7"/>
    <mergeCell ref="F8:G9"/>
    <mergeCell ref="F10:G11"/>
    <mergeCell ref="E4:E5"/>
    <mergeCell ref="E6:E7"/>
    <mergeCell ref="A13:E13"/>
    <mergeCell ref="C2:D3"/>
    <mergeCell ref="C4:D5"/>
    <mergeCell ref="C6:D7"/>
    <mergeCell ref="C8:D9"/>
    <mergeCell ref="C10:D11"/>
    <mergeCell ref="E10:E11"/>
    <mergeCell ref="H10:H11"/>
    <mergeCell ref="A1:I1"/>
    <mergeCell ref="A2:B3"/>
    <mergeCell ref="A4:B5"/>
    <mergeCell ref="A6:B7"/>
    <mergeCell ref="A8:B9"/>
    <mergeCell ref="I2:I3"/>
    <mergeCell ref="I4:I5"/>
    <mergeCell ref="I6:I7"/>
    <mergeCell ref="I8:I9"/>
    <mergeCell ref="H2:H3"/>
    <mergeCell ref="H4:H5"/>
    <mergeCell ref="H6:H7"/>
    <mergeCell ref="H8:H9"/>
    <mergeCell ref="I10:I11"/>
    <mergeCell ref="E2:E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4C04F0-6250-4BD9-80D2-2349DDED4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52E55-4D93-456C-90EA-572842086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Marie Vyklická</cp:lastModifiedBy>
  <dcterms:created xsi:type="dcterms:W3CDTF">2021-06-10T20:06:38Z</dcterms:created>
  <dcterms:modified xsi:type="dcterms:W3CDTF">2023-12-07T08:51:41Z</dcterms:modified>
  <cp:category/>
  <cp:version/>
  <cp:contentType/>
  <cp:contentStatus/>
</cp:coreProperties>
</file>