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04"/>
  <workbookPr codeName="ThisWorkbook" defaultThemeVersion="124226"/>
  <workbookProtection workbookAlgorithmName="SHA-512" workbookHashValue="PtfGeUq5BU7q4OpZIob9Doa0EQhSJZh4HXrkrAPm8CKd445aqtdetKfXzI/xqM7+pcZDQ9yZWs4FWUYi8fO3ZQ==" workbookSpinCount="100000" workbookSaltValue="W+MX7g4D0D9U7dC5IljkWw==" lockStructure="1"/>
  <bookViews>
    <workbookView xWindow="65416" yWindow="65416" windowWidth="38640" windowHeight="21120" activeTab="0"/>
  </bookViews>
  <sheets>
    <sheet name="SSPaD " sheetId="17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<sst xmlns="http://schemas.openxmlformats.org/spreadsheetml/2006/main" count="2105" uniqueCount="1351">
  <si>
    <t>Soupis Stavebních Prací a Dodávek</t>
  </si>
  <si>
    <t>CÚ2023 /II</t>
  </si>
  <si>
    <t>na akci :</t>
  </si>
  <si>
    <t>Aktualizace a doplnění PD - oprava a regulace stávajícího topného systému v objektu UK PF</t>
  </si>
  <si>
    <t>Právnická Fakulta Univerzity  Karlovy</t>
  </si>
  <si>
    <t>Praha 1, Náměstí Curieových 7</t>
  </si>
  <si>
    <t>Rekapitulace nákladů předpoklad pro rok 2023/2</t>
  </si>
  <si>
    <t>Základní rozpočtové náklady</t>
  </si>
  <si>
    <t>Přípravné práce</t>
  </si>
  <si>
    <t>Kč</t>
  </si>
  <si>
    <t>Vypuštění vody z otopné soustavy a její lkvidace</t>
  </si>
  <si>
    <t>Renovace stávajících otopných článkových těles</t>
  </si>
  <si>
    <t xml:space="preserve">731 - Vytápění </t>
  </si>
  <si>
    <t>713 - Izolace tepelné</t>
  </si>
  <si>
    <t>721 - Zdravotně technické instalace</t>
  </si>
  <si>
    <t>784 - Malby stěn v okolí radiátorů.</t>
  </si>
  <si>
    <t>783 - Nátěry</t>
  </si>
  <si>
    <t>součet bez DPH</t>
  </si>
  <si>
    <t xml:space="preserve">Vedlejší rozpočtové náklady                        </t>
  </si>
  <si>
    <t>Náklady celkem bez DPH</t>
  </si>
  <si>
    <t>DPH 21%</t>
  </si>
  <si>
    <t>Náklady celkem včetně DPH</t>
  </si>
  <si>
    <t>p.č.</t>
  </si>
  <si>
    <t>položka č.</t>
  </si>
  <si>
    <t>popis prací a dodávek</t>
  </si>
  <si>
    <t>m.j.</t>
  </si>
  <si>
    <t>počet m.j.</t>
  </si>
  <si>
    <t>cena / m.j.</t>
  </si>
  <si>
    <t>cena celkem</t>
  </si>
  <si>
    <t>1</t>
  </si>
  <si>
    <t>Všeobecné poznámky:</t>
  </si>
  <si>
    <t>2</t>
  </si>
  <si>
    <t xml:space="preserve">1) Pro jednoznačné nacenění jednotlivých prací a dodávek uvedených  v Soupise prací , je  nutné je oceňovat současně se čtením Projektové Dokumentace a Technické Zprávy. </t>
  </si>
  <si>
    <t>3</t>
  </si>
  <si>
    <t>2)Jednotkové ceny nabídky zahrnují veškeré náklady pro zhotovení bezvadného funkčně způsobilého díla, které je předmětem smlouvy a bude schopno plnit řádně svojí funkci po dobu min. 10 let.</t>
  </si>
  <si>
    <t>4</t>
  </si>
  <si>
    <t>3) Náklady na přípomoce,pomocný a montážní materiál je 
součástí jednotkové ceny</t>
  </si>
  <si>
    <t>5</t>
  </si>
  <si>
    <t>4)Jednotkové ceny uvedené v Soupise prací budou zahrnovat veškeré práce(montáže)a dodávky potřebné pro dokončení a předání díla objednateli do užívání bez vad a nedodělků. Nabízené jednotkové ceny jsou pevné ceny, platné až do přejímky ve smyslu obchodního práva.</t>
  </si>
  <si>
    <t>6</t>
  </si>
  <si>
    <t>5) Podrobnosti a specifikace viz Výrobní dokumentace zhotovitele.(Např. podrobnosti:před demontáží otopných těles označit číselně 1x těleso+1x stěna a výškové osazení konzol, pro stejné zpětné připojení na potrubí).</t>
  </si>
  <si>
    <t>7</t>
  </si>
  <si>
    <t>6) Průměr potrubí (DN) je pro vypouštění vody a nátěry uveden cca; pro přesnost ověřit na stavbě.</t>
  </si>
  <si>
    <t>8</t>
  </si>
  <si>
    <t>9</t>
  </si>
  <si>
    <t>10</t>
  </si>
  <si>
    <t>Příprané práce</t>
  </si>
  <si>
    <t>KČ</t>
  </si>
  <si>
    <t>celkem</t>
  </si>
  <si>
    <t>11</t>
  </si>
  <si>
    <t>12</t>
  </si>
  <si>
    <r>
      <rPr>
        <b/>
        <sz val="9"/>
        <rFont val="Arial"/>
        <family val="2"/>
      </rPr>
      <t>Provizorní zakrytí a</t>
    </r>
    <r>
      <rPr>
        <sz val="9"/>
        <rFont val="Arial"/>
        <family val="2"/>
      </rPr>
      <t xml:space="preserve"> (pozdější odstranění)</t>
    </r>
    <r>
      <rPr>
        <b/>
        <sz val="9"/>
        <rFont val="Arial"/>
        <family val="2"/>
      </rPr>
      <t xml:space="preserve"> ,</t>
    </r>
    <r>
      <rPr>
        <sz val="9"/>
        <rFont val="Arial"/>
        <family val="2"/>
      </rPr>
      <t xml:space="preserve"> stávajících nášlapných ploch proti poškození při demontáži k jejich renovaci a zpětné montáži otopných těles  + obložení výtahu po celou dobu opravných prací . (např. geotextilii)</t>
    </r>
  </si>
  <si>
    <t>13</t>
  </si>
  <si>
    <t>C - 014/
619996145/P</t>
  </si>
  <si>
    <r>
      <rPr>
        <b/>
        <sz val="9"/>
        <rFont val="Arial"/>
        <family val="2"/>
      </rPr>
      <t xml:space="preserve">  Provizorní zakrytí podlah</t>
    </r>
    <r>
      <rPr>
        <sz val="9"/>
        <rFont val="Arial"/>
        <family val="2"/>
      </rPr>
      <t xml:space="preserve"> geotextilii od topného tělesa k vnitrostaveništní mezideponii (dvůr)</t>
    </r>
  </si>
  <si>
    <t>m2</t>
  </si>
  <si>
    <t>14</t>
  </si>
  <si>
    <r>
      <t>výměra : pro tělesa, 410ks*0,80*cca 35m</t>
    </r>
    <r>
      <rPr>
        <sz val="7"/>
        <rFont val="Arial"/>
        <family val="2"/>
      </rPr>
      <t xml:space="preserve"> /suť 0,002/</t>
    </r>
  </si>
  <si>
    <t>15</t>
  </si>
  <si>
    <t>16</t>
  </si>
  <si>
    <t>619996127/P</t>
  </si>
  <si>
    <r>
      <rPr>
        <b/>
        <sz val="9"/>
        <rFont val="Arial"/>
        <family val="2"/>
      </rPr>
      <t xml:space="preserve">  Ochrana svislých </t>
    </r>
    <r>
      <rPr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vodorovných ploch výtahu z OSB desek</t>
    </r>
  </si>
  <si>
    <t>17</t>
  </si>
  <si>
    <r>
      <t xml:space="preserve">výměra : obložení stěn výtahu+nášlapné plochy, 2,0*2,0+(2,0*3)*1,50 </t>
    </r>
    <r>
      <rPr>
        <sz val="7"/>
        <rFont val="Arial"/>
        <family val="2"/>
      </rPr>
      <t xml:space="preserve"> /suť 0,02/</t>
    </r>
  </si>
  <si>
    <t>18</t>
  </si>
  <si>
    <t>19</t>
  </si>
  <si>
    <t>619996145/P</t>
  </si>
  <si>
    <r>
      <rPr>
        <b/>
        <sz val="9"/>
        <rFont val="Arial"/>
        <family val="2"/>
      </rPr>
      <t xml:space="preserve">  Ochrana konstrukcí</t>
    </r>
    <r>
      <rPr>
        <sz val="9"/>
        <rFont val="Arial"/>
        <family val="2"/>
      </rPr>
      <t xml:space="preserve"> nebo samostatných prvků</t>
    </r>
    <r>
      <rPr>
        <b/>
        <sz val="9"/>
        <rFont val="Arial"/>
        <family val="2"/>
      </rPr>
      <t xml:space="preserve">-zárubní </t>
    </r>
    <r>
      <rPr>
        <sz val="9"/>
        <rFont val="Arial"/>
        <family val="2"/>
      </rPr>
      <t xml:space="preserve">obalením geotextilií ; výměra : (1,00+2,10)*2*0,30*135 
</t>
    </r>
    <r>
      <rPr>
        <sz val="7"/>
        <rFont val="Arial"/>
        <family val="2"/>
      </rPr>
      <t xml:space="preserve"> /su</t>
    </r>
    <r>
      <rPr>
        <sz val="9"/>
        <rFont val="Arial"/>
        <family val="2"/>
      </rPr>
      <t xml:space="preserve">ť </t>
    </r>
    <r>
      <rPr>
        <sz val="7"/>
        <rFont val="Arial"/>
        <family val="2"/>
      </rPr>
      <t>0,002/</t>
    </r>
  </si>
  <si>
    <t>20</t>
  </si>
  <si>
    <t>21</t>
  </si>
  <si>
    <t xml:space="preserve">619996145/P
</t>
  </si>
  <si>
    <r>
      <rPr>
        <b/>
        <sz val="9"/>
        <rFont val="Arial"/>
        <family val="2"/>
      </rPr>
      <t xml:space="preserve">  Provizorní ochrana</t>
    </r>
    <r>
      <rPr>
        <sz val="9"/>
        <rFont val="Arial"/>
        <family val="2"/>
      </rPr>
      <t> geotextilii stávajících svislých ploch</t>
    </r>
    <r>
      <rPr>
        <b/>
        <sz val="9"/>
        <rFont val="Arial"/>
        <family val="2"/>
      </rPr>
      <t xml:space="preserve"> stěn  </t>
    </r>
    <r>
      <rPr>
        <sz val="8"/>
        <rFont val="Arial"/>
        <family val="2"/>
      </rPr>
      <t xml:space="preserve"> proti </t>
    </r>
    <r>
      <rPr>
        <sz val="9"/>
        <rFont val="Arial"/>
        <family val="2"/>
      </rPr>
      <t>poškozen</t>
    </r>
    <r>
      <rPr>
        <sz val="8"/>
        <rFont val="Arial"/>
        <family val="2"/>
      </rPr>
      <t>í</t>
    </r>
    <r>
      <rPr>
        <sz val="9"/>
        <rFont val="Arial"/>
        <family val="2"/>
      </rPr>
      <t xml:space="preserve"> při demontáži a osazování nových konzol a pro zpětné zavěšení otopných těles.</t>
    </r>
  </si>
  <si>
    <t>22</t>
  </si>
  <si>
    <r>
      <t xml:space="preserve">výměra : 2,0*2,0*410ks </t>
    </r>
    <r>
      <rPr>
        <sz val="7"/>
        <rFont val="Arial"/>
        <family val="2"/>
      </rPr>
      <t>/suť 0,002/</t>
    </r>
  </si>
  <si>
    <t>23</t>
  </si>
  <si>
    <t>24</t>
  </si>
  <si>
    <t>9539451342/P</t>
  </si>
  <si>
    <t>Nové ocelové držáky-konzoly pro zavěšení otopných těles</t>
  </si>
  <si>
    <t>25</t>
  </si>
  <si>
    <t>výměra : 410ks*2</t>
  </si>
  <si>
    <t>ks</t>
  </si>
  <si>
    <t>26</t>
  </si>
  <si>
    <t>953965134/P</t>
  </si>
  <si>
    <t>Kotevní šroub pro chemické kotvy ccaM 16 dl 350 mm (přesná velikost viz výrobní dokumentace) ; výměra : 410ks*4</t>
  </si>
  <si>
    <t>27</t>
  </si>
  <si>
    <t>28</t>
  </si>
  <si>
    <r>
      <rPr>
        <b/>
        <sz val="9"/>
        <rFont val="Arial"/>
        <family val="2"/>
      </rPr>
      <t>Provizorní ochrana</t>
    </r>
    <r>
      <rPr>
        <sz val="9"/>
        <rFont val="Arial"/>
        <family val="2"/>
      </rPr>
      <t xml:space="preserve"> geotextilii stávajících  ploch  </t>
    </r>
    <r>
      <rPr>
        <b/>
        <sz val="9"/>
        <rFont val="Arial"/>
        <family val="2"/>
      </rPr>
      <t xml:space="preserve">podlahy </t>
    </r>
    <r>
      <rPr>
        <sz val="9"/>
        <rFont val="Arial"/>
        <family val="2"/>
      </rPr>
      <t xml:space="preserve"> proti poškození při demontáži a osazování nových konzol pro zavěšení otopných těles.</t>
    </r>
  </si>
  <si>
    <t>29</t>
  </si>
  <si>
    <r>
      <t>výměra : 1,50*1,50*410ks</t>
    </r>
    <r>
      <rPr>
        <sz val="7"/>
        <rFont val="Arial"/>
        <family val="2"/>
      </rPr>
      <t xml:space="preserve"> /suť 0,002/</t>
    </r>
  </si>
  <si>
    <t>30</t>
  </si>
  <si>
    <t>mezisoučet (t) pro montáž</t>
  </si>
  <si>
    <t>t</t>
  </si>
  <si>
    <t>31</t>
  </si>
  <si>
    <t>976075211/P</t>
  </si>
  <si>
    <r>
      <rPr>
        <b/>
        <sz val="9"/>
        <rFont val="Arial"/>
        <family val="2"/>
      </rPr>
      <t xml:space="preserve">  Odstranění závěsných </t>
    </r>
    <r>
      <rPr>
        <sz val="9"/>
        <rFont val="Arial"/>
        <family val="2"/>
      </rPr>
      <t>ocelových konzol, držáků hmotnosti cca 3kg/ks</t>
    </r>
  </si>
  <si>
    <t>32</t>
  </si>
  <si>
    <r>
      <t xml:space="preserve">výměra : 410ks*4*cca 3kg </t>
    </r>
    <r>
      <rPr>
        <sz val="7"/>
        <rFont val="Arial"/>
        <family val="2"/>
      </rPr>
      <t>/suť 0,002/</t>
    </r>
  </si>
  <si>
    <t>33</t>
  </si>
  <si>
    <t>mezisoučet (t) pro demontáž</t>
  </si>
  <si>
    <t>34</t>
  </si>
  <si>
    <t>998011003/P</t>
  </si>
  <si>
    <t>Přesun hmot do v.24m (3,89t)* pro montáž  z vnitrostaveništní deponie</t>
  </si>
  <si>
    <t>35</t>
  </si>
  <si>
    <t>Přesun hmot do v.24m (3,89t)* pro demontáž na vnitrostaveništní deponii</t>
  </si>
  <si>
    <t>36</t>
  </si>
  <si>
    <t>997002511/P</t>
  </si>
  <si>
    <t>Vodorovné přemístění suti a vybouraných hmot bez naložení ale se složením a urovnáním do 1 km</t>
  </si>
  <si>
    <t>37</t>
  </si>
  <si>
    <t>997002519/P</t>
  </si>
  <si>
    <t>Příplatek ZKD 1 km přemístění suti a vybouraných hmot (kč/t 14,0*10km)</t>
  </si>
  <si>
    <t>38</t>
  </si>
  <si>
    <t>997002611/P</t>
  </si>
  <si>
    <t>Nakládání suti a vybouraných hmot</t>
  </si>
  <si>
    <t>39</t>
  </si>
  <si>
    <t>469973116/P</t>
  </si>
  <si>
    <t>Poplatek za uložení na skládku - skládkovné</t>
  </si>
  <si>
    <t>40</t>
  </si>
  <si>
    <t>41</t>
  </si>
  <si>
    <t>42</t>
  </si>
  <si>
    <t>43</t>
  </si>
  <si>
    <t>735494811/P</t>
  </si>
  <si>
    <t>Vypuštění vody z otopných těles a potrubí na všech větvích</t>
  </si>
  <si>
    <t>44</t>
  </si>
  <si>
    <t xml:space="preserve">Odvoz a likvidace vypuštěné vody viz dílenská dokumentace </t>
  </si>
  <si>
    <t>kpl</t>
  </si>
  <si>
    <t>45</t>
  </si>
  <si>
    <t>46</t>
  </si>
  <si>
    <t>47</t>
  </si>
  <si>
    <t>48</t>
  </si>
  <si>
    <t>HZS2221</t>
  </si>
  <si>
    <r>
      <t xml:space="preserve"> </t>
    </r>
    <r>
      <rPr>
        <b/>
        <sz val="9"/>
        <rFont val="Arial"/>
        <family val="2"/>
      </rPr>
      <t>Vzorový radiátor</t>
    </r>
    <r>
      <rPr>
        <sz val="9"/>
        <rFont val="Arial"/>
        <family val="2"/>
      </rPr>
      <t xml:space="preserve"> po proplachu, vyčištěnř, přetěsněný, na posouzení vhodnosti nátěru a proměření tl. nátěru 1 ks (3,57m2/prům. otopné těleso)</t>
    </r>
  </si>
  <si>
    <t>HZS</t>
  </si>
  <si>
    <t>49</t>
  </si>
  <si>
    <t>50</t>
  </si>
  <si>
    <t>735117110/P</t>
  </si>
  <si>
    <t>Odpojení a připojení otopného článkového  tělesa litinového po nátěru ; výměra 1930,24m2*2</t>
  </si>
  <si>
    <t>51</t>
  </si>
  <si>
    <r>
      <rPr>
        <b/>
        <sz val="9"/>
        <rFont val="Arial"/>
        <family val="2"/>
      </rPr>
      <t>Odvoz otopných t</t>
    </r>
    <r>
      <rPr>
        <sz val="9"/>
        <rFont val="Arial"/>
        <family val="2"/>
      </rPr>
      <t>ěles litinových článkových na místo k proplachovému zařízení, kde se provede jejich zkouška těsnosti +přetěsnění+vyregulování  a jejich zpětný odovoz na vnitristaveništní deponii</t>
    </r>
  </si>
  <si>
    <t>52</t>
  </si>
  <si>
    <t xml:space="preserve">výměra : 1930,24m2*0,02380t/m2 </t>
  </si>
  <si>
    <t>53</t>
  </si>
  <si>
    <t xml:space="preserve">Vodorovné přemístění demontovaných otopných těles bez naložení ale se složením  do 1 km </t>
  </si>
  <si>
    <t>54</t>
  </si>
  <si>
    <t>997002519//P</t>
  </si>
  <si>
    <t>Příplatek ZKD 1 km přemístění  demontovaných otopných těles (kč/t 14,0*375km)</t>
  </si>
  <si>
    <t>55</t>
  </si>
  <si>
    <t>Nakládání demontovaných otopných těles</t>
  </si>
  <si>
    <t>56</t>
  </si>
  <si>
    <t>735191904/P</t>
  </si>
  <si>
    <r>
      <t>Vyčištění otopných těles </t>
    </r>
    <r>
      <rPr>
        <sz val="9"/>
        <rFont val="Arial"/>
        <family val="2"/>
      </rPr>
      <t xml:space="preserve">litinových článkových </t>
    </r>
    <r>
      <rPr>
        <b/>
        <sz val="9"/>
        <rFont val="Arial"/>
        <family val="2"/>
      </rPr>
      <t>proplachem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vodou </t>
    </r>
  </si>
  <si>
    <t>57</t>
  </si>
  <si>
    <t>735110911/P</t>
  </si>
  <si>
    <r>
      <rPr>
        <b/>
        <sz val="9"/>
        <rFont val="Arial"/>
        <family val="2"/>
      </rPr>
      <t>Přetěsnění růžice</t>
    </r>
    <r>
      <rPr>
        <sz val="9"/>
        <rFont val="Arial"/>
        <family val="2"/>
      </rPr>
      <t xml:space="preserve"> radiátorové otopných těles litinových článkových; výměra 410*2</t>
    </r>
  </si>
  <si>
    <t>58</t>
  </si>
  <si>
    <t>735000912/P</t>
  </si>
  <si>
    <r>
      <rPr>
        <b/>
        <sz val="9"/>
        <rFont val="Arial"/>
        <family val="2"/>
      </rPr>
      <t>Vyregulování ventilu</t>
    </r>
    <r>
      <rPr>
        <sz val="9"/>
        <rFont val="Arial"/>
        <family val="2"/>
      </rPr>
      <t xml:space="preserve"> nebo kohoutu dvojregulačního s</t>
    </r>
    <r>
      <rPr>
        <b/>
        <sz val="9"/>
        <rFont val="Arial"/>
        <family val="2"/>
      </rPr>
      <t xml:space="preserve"> termostatickým ovládáním</t>
    </r>
  </si>
  <si>
    <t>59</t>
  </si>
  <si>
    <t>ks - tělesa</t>
  </si>
  <si>
    <t>60</t>
  </si>
  <si>
    <t>Výměra: celková plocha otopných litinových radiátorů</t>
  </si>
  <si>
    <t>61</t>
  </si>
  <si>
    <t>větev  SEVER / SEVER LEVÁ</t>
  </si>
  <si>
    <t>62</t>
  </si>
  <si>
    <t>m.č.</t>
  </si>
  <si>
    <r>
      <t xml:space="preserve"> - Dvořákovo náměstí - v.č. 1.4.1.9 / </t>
    </r>
    <r>
      <rPr>
        <sz val="9"/>
        <rFont val="Arial"/>
        <family val="2"/>
      </rPr>
      <t>mezisoučet</t>
    </r>
  </si>
  <si>
    <t>63</t>
  </si>
  <si>
    <r>
      <t xml:space="preserve">   1.PP/ PP01  -  SEVER LEVÁ  </t>
    </r>
    <r>
      <rPr>
        <sz val="9"/>
        <rFont val="Arial"/>
        <family val="2"/>
      </rPr>
      <t>(Dvořákovo nám.)</t>
    </r>
  </si>
  <si>
    <t>64</t>
  </si>
  <si>
    <t>031</t>
  </si>
  <si>
    <t xml:space="preserve">  22 - 500/160 /ks 2/ (0,255m2/čl.)</t>
  </si>
  <si>
    <t>65</t>
  </si>
  <si>
    <t>030</t>
  </si>
  <si>
    <t xml:space="preserve">  22 - 500/160 /ks 1/ (0,255m2/čl.)</t>
  </si>
  <si>
    <t>66</t>
  </si>
  <si>
    <t>027</t>
  </si>
  <si>
    <t xml:space="preserve">  20 - 500/160 /ks 2/ (0,255m2/čl.)</t>
  </si>
  <si>
    <t>67</t>
  </si>
  <si>
    <t xml:space="preserve">  15 - 500/160 /ks 1/ (0,255m2/čl.)</t>
  </si>
  <si>
    <t>68</t>
  </si>
  <si>
    <t>025</t>
  </si>
  <si>
    <t xml:space="preserve">  16 - 500/160 /ks 1/ (0,255m2/čl.)</t>
  </si>
  <si>
    <t>69</t>
  </si>
  <si>
    <t>024</t>
  </si>
  <si>
    <t>70</t>
  </si>
  <si>
    <t>023</t>
  </si>
  <si>
    <t>71</t>
  </si>
  <si>
    <t>022_1</t>
  </si>
  <si>
    <t xml:space="preserve">  24 - 500/160 /ks 2/ (0,255m2/čl.)</t>
  </si>
  <si>
    <t>72</t>
  </si>
  <si>
    <t>73</t>
  </si>
  <si>
    <r>
      <t xml:space="preserve">  </t>
    </r>
    <r>
      <rPr>
        <b/>
        <sz val="8"/>
        <rFont val="Arial"/>
        <family val="2"/>
      </rPr>
      <t xml:space="preserve"> 1.NP/ NP00   -  SEVER LEVÁ </t>
    </r>
    <r>
      <rPr>
        <sz val="8"/>
        <rFont val="Arial"/>
        <family val="2"/>
      </rPr>
      <t>(Dvořákovo nám.)</t>
    </r>
  </si>
  <si>
    <t>74</t>
  </si>
  <si>
    <t>014.1</t>
  </si>
  <si>
    <t>75</t>
  </si>
  <si>
    <t>014.2</t>
  </si>
  <si>
    <t xml:space="preserve">  18 - 500/160 /ks 1/ (0,255m2/čl.)</t>
  </si>
  <si>
    <t>76</t>
  </si>
  <si>
    <t>012</t>
  </si>
  <si>
    <t xml:space="preserve">  14 - 500/160 /ks 6/ (0,255m2/čl.)</t>
  </si>
  <si>
    <t>77</t>
  </si>
  <si>
    <t>011</t>
  </si>
  <si>
    <t xml:space="preserve">  17 - 500/160 /ks 1/ (0,255m2/čl.)</t>
  </si>
  <si>
    <t>78</t>
  </si>
  <si>
    <t>010.1</t>
  </si>
  <si>
    <t>79</t>
  </si>
  <si>
    <t>009.1</t>
  </si>
  <si>
    <t>80</t>
  </si>
  <si>
    <t>81</t>
  </si>
  <si>
    <r>
      <t xml:space="preserve">   </t>
    </r>
    <r>
      <rPr>
        <b/>
        <sz val="8"/>
        <rFont val="Arial"/>
        <family val="2"/>
      </rPr>
      <t xml:space="preserve">2.NP/ NP01  -  SEVER LEVÁ </t>
    </r>
    <r>
      <rPr>
        <sz val="8"/>
        <rFont val="Arial"/>
        <family val="2"/>
      </rPr>
      <t>(Dvořákovo nám.)</t>
    </r>
  </si>
  <si>
    <t>82</t>
  </si>
  <si>
    <t>117</t>
  </si>
  <si>
    <t xml:space="preserve">  24 - 500/160 /ks 3/ (0,255m2/čl.)</t>
  </si>
  <si>
    <t>83</t>
  </si>
  <si>
    <t>116</t>
  </si>
  <si>
    <t xml:space="preserve">  18- 500/160 /ks 2/ (0,255m2/čl.)</t>
  </si>
  <si>
    <t>84</t>
  </si>
  <si>
    <t>115</t>
  </si>
  <si>
    <t xml:space="preserve">  14 - 500/160 /ks 1/ (0,255m2/čl.)</t>
  </si>
  <si>
    <t>85</t>
  </si>
  <si>
    <t>114_1</t>
  </si>
  <si>
    <t xml:space="preserve">  20 - 500/160 /ks 1/ (0,255m2/čl.)</t>
  </si>
  <si>
    <t>86</t>
  </si>
  <si>
    <t>113</t>
  </si>
  <si>
    <t>87</t>
  </si>
  <si>
    <t>112</t>
  </si>
  <si>
    <t>88</t>
  </si>
  <si>
    <t>111</t>
  </si>
  <si>
    <t xml:space="preserve">  17- 500/160 /ks 1/ (0,255m2/čl.)</t>
  </si>
  <si>
    <t>89</t>
  </si>
  <si>
    <t>110</t>
  </si>
  <si>
    <t xml:space="preserve">  18- 500/160 /ks 1/ (0,255m2/čl.)</t>
  </si>
  <si>
    <t>90</t>
  </si>
  <si>
    <t>109</t>
  </si>
  <si>
    <t>91</t>
  </si>
  <si>
    <t>92</t>
  </si>
  <si>
    <r>
      <t xml:space="preserve">   </t>
    </r>
    <r>
      <rPr>
        <b/>
        <sz val="8"/>
        <rFont val="Arial"/>
        <family val="2"/>
      </rPr>
      <t>3.NP/ NP02  -  SEVER LEVÁ</t>
    </r>
    <r>
      <rPr>
        <sz val="8"/>
        <rFont val="Arial"/>
        <family val="2"/>
      </rPr>
      <t xml:space="preserve"> (Dvořákovo nám.)</t>
    </r>
  </si>
  <si>
    <t>93</t>
  </si>
  <si>
    <t>220</t>
  </si>
  <si>
    <t xml:space="preserve">  22- 500/160 /ks 3/ (0,255m2/čl.)</t>
  </si>
  <si>
    <t>94</t>
  </si>
  <si>
    <t>219</t>
  </si>
  <si>
    <t>95</t>
  </si>
  <si>
    <t>218</t>
  </si>
  <si>
    <t>96</t>
  </si>
  <si>
    <t>217_1</t>
  </si>
  <si>
    <t>97</t>
  </si>
  <si>
    <t>216_1</t>
  </si>
  <si>
    <t xml:space="preserve">  16- 500/160 /ks 1/ (0,255m2/čl.)</t>
  </si>
  <si>
    <t>98</t>
  </si>
  <si>
    <t>215_1</t>
  </si>
  <si>
    <t>99</t>
  </si>
  <si>
    <t>214</t>
  </si>
  <si>
    <t xml:space="preserve">  16- 500/160 /ks 2/ (0,255m2/čl.)</t>
  </si>
  <si>
    <t>100</t>
  </si>
  <si>
    <t>213</t>
  </si>
  <si>
    <t xml:space="preserve">  16- 500/160 /ks 3/ (0,255m2/čl.)</t>
  </si>
  <si>
    <t>101</t>
  </si>
  <si>
    <t>102</t>
  </si>
  <si>
    <r>
      <t xml:space="preserve">   </t>
    </r>
    <r>
      <rPr>
        <b/>
        <sz val="8"/>
        <rFont val="Arial"/>
        <family val="2"/>
      </rPr>
      <t>4.NP/ NP03  -  SEVER LEVÁ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(Dvořákovo nám.)</t>
    </r>
  </si>
  <si>
    <t>103</t>
  </si>
  <si>
    <t>319</t>
  </si>
  <si>
    <t xml:space="preserve">  13- 900/160 /ks 1/ (0,440m2/čl.)</t>
  </si>
  <si>
    <t>104</t>
  </si>
  <si>
    <t xml:space="preserve">  30- 500/160 /ks 2/ (0,255m2/čl.)</t>
  </si>
  <si>
    <t>105</t>
  </si>
  <si>
    <t>318</t>
  </si>
  <si>
    <t xml:space="preserve">  29- 500/160 /ks 1/ (0,255m2/čl.)</t>
  </si>
  <si>
    <t>106</t>
  </si>
  <si>
    <t>317</t>
  </si>
  <si>
    <t>107</t>
  </si>
  <si>
    <t>316</t>
  </si>
  <si>
    <t xml:space="preserve">  20- 500/160 /ks 1/ (0,255m2/čl.)</t>
  </si>
  <si>
    <t>108</t>
  </si>
  <si>
    <t>315</t>
  </si>
  <si>
    <t>314</t>
  </si>
  <si>
    <t>313</t>
  </si>
  <si>
    <t>312_1</t>
  </si>
  <si>
    <t xml:space="preserve">  24- 500/160 /ks 1/ (0,255m2/čl.)</t>
  </si>
  <si>
    <t>311_1</t>
  </si>
  <si>
    <t>310_1</t>
  </si>
  <si>
    <t xml:space="preserve">  22- 500/160 /ks 1/ (0,255m2/čl.)</t>
  </si>
  <si>
    <t>114</t>
  </si>
  <si>
    <t>větev SEVER / SEVER PRAVÁ</t>
  </si>
  <si>
    <t xml:space="preserve"> - Dvořákovo náměstí - v.č. 1.4.1.9</t>
  </si>
  <si>
    <r>
      <t xml:space="preserve">   1.PP/ PP01  - SEVER PRAVÁ</t>
    </r>
    <r>
      <rPr>
        <sz val="8"/>
        <rFont val="Arial"/>
        <family val="2"/>
      </rPr>
      <t xml:space="preserve"> (Dvořákovo nám.)</t>
    </r>
  </si>
  <si>
    <t>118</t>
  </si>
  <si>
    <t xml:space="preserve">  22 - 500/160 /ks 4/ (0,255m2/čl.)</t>
  </si>
  <si>
    <t>119</t>
  </si>
  <si>
    <t xml:space="preserve">  24 - 500/160 /ks 1/ (0,255m2/čl.)</t>
  </si>
  <si>
    <t>120</t>
  </si>
  <si>
    <t>022</t>
  </si>
  <si>
    <t xml:space="preserve">  12 - 500/160 /ks 2/ (0,255m2/čl.)</t>
  </si>
  <si>
    <t>121</t>
  </si>
  <si>
    <t>122</t>
  </si>
  <si>
    <t>018</t>
  </si>
  <si>
    <t xml:space="preserve">  10 - 900/70 /ks 1/ (0,205m2/čl.)</t>
  </si>
  <si>
    <t>123</t>
  </si>
  <si>
    <t>016</t>
  </si>
  <si>
    <t xml:space="preserve">  10 - 900/160 /ks 1/ (0,440m2/čl.)</t>
  </si>
  <si>
    <t>124</t>
  </si>
  <si>
    <t xml:space="preserve">  12 - 900/160 /ks 1/ (0,440m2/čl.)</t>
  </si>
  <si>
    <t>125</t>
  </si>
  <si>
    <t>126</t>
  </si>
  <si>
    <t>127</t>
  </si>
  <si>
    <r>
      <t xml:space="preserve">    1.NP/ NP00   - SEVER PRAVÁ </t>
    </r>
    <r>
      <rPr>
        <sz val="8"/>
        <rFont val="Arial"/>
        <family val="2"/>
      </rPr>
      <t>(Dvořákovo nám.)</t>
    </r>
  </si>
  <si>
    <t>128</t>
  </si>
  <si>
    <t>008_1</t>
  </si>
  <si>
    <t>129</t>
  </si>
  <si>
    <t>007_1</t>
  </si>
  <si>
    <t xml:space="preserve">  19 - 500/160 /ks 1/ (0,255m2/čl.)</t>
  </si>
  <si>
    <t>130</t>
  </si>
  <si>
    <t>006_1</t>
  </si>
  <si>
    <t>131</t>
  </si>
  <si>
    <t>005_1</t>
  </si>
  <si>
    <t>132</t>
  </si>
  <si>
    <t>005.1</t>
  </si>
  <si>
    <t>133</t>
  </si>
  <si>
    <t>004.1</t>
  </si>
  <si>
    <t>134</t>
  </si>
  <si>
    <t>003</t>
  </si>
  <si>
    <t>135</t>
  </si>
  <si>
    <t>002</t>
  </si>
  <si>
    <t>136</t>
  </si>
  <si>
    <t>001_1</t>
  </si>
  <si>
    <t>137</t>
  </si>
  <si>
    <t>038</t>
  </si>
  <si>
    <t xml:space="preserve">  20- 350/160 /ks 3/ (0,185m2/čl.)</t>
  </si>
  <si>
    <t>138</t>
  </si>
  <si>
    <t>139</t>
  </si>
  <si>
    <r>
      <t xml:space="preserve">   2.NP/ NP01  - SEVER PRAVÁ </t>
    </r>
    <r>
      <rPr>
        <sz val="8"/>
        <rFont val="Arial"/>
        <family val="2"/>
      </rPr>
      <t>(Dvořákovo nám.)</t>
    </r>
  </si>
  <si>
    <t>140</t>
  </si>
  <si>
    <t>141</t>
  </si>
  <si>
    <t>142</t>
  </si>
  <si>
    <t>106_1</t>
  </si>
  <si>
    <t>143</t>
  </si>
  <si>
    <t>105_1</t>
  </si>
  <si>
    <t>144</t>
  </si>
  <si>
    <t>145</t>
  </si>
  <si>
    <t xml:space="preserve">  16 - 500/160 /ks 3/ (0,255m2/čl.)</t>
  </si>
  <si>
    <t>146</t>
  </si>
  <si>
    <t xml:space="preserve">  28 - 500/160 /ks 1/ (0,255m2/čl.)</t>
  </si>
  <si>
    <t>147</t>
  </si>
  <si>
    <t xml:space="preserve">  22 - 500/160 /ks 3/ (0,255m2/čl.)</t>
  </si>
  <si>
    <t>148</t>
  </si>
  <si>
    <t>149</t>
  </si>
  <si>
    <r>
      <t xml:space="preserve">   3.NP/ NP02  - SEVER PRAVÁ </t>
    </r>
    <r>
      <rPr>
        <sz val="8"/>
        <rFont val="Arial"/>
        <family val="2"/>
      </rPr>
      <t>(Dvořákovo nám.)</t>
    </r>
  </si>
  <si>
    <t>150</t>
  </si>
  <si>
    <t>212</t>
  </si>
  <si>
    <t>151</t>
  </si>
  <si>
    <t>211</t>
  </si>
  <si>
    <t>152</t>
  </si>
  <si>
    <t>210</t>
  </si>
  <si>
    <t>153</t>
  </si>
  <si>
    <t>209</t>
  </si>
  <si>
    <t>154</t>
  </si>
  <si>
    <t>208</t>
  </si>
  <si>
    <t>155</t>
  </si>
  <si>
    <t>207</t>
  </si>
  <si>
    <t>156</t>
  </si>
  <si>
    <t>206.1</t>
  </si>
  <si>
    <t>157</t>
  </si>
  <si>
    <t>205</t>
  </si>
  <si>
    <t>158</t>
  </si>
  <si>
    <t>204</t>
  </si>
  <si>
    <t>159</t>
  </si>
  <si>
    <t>203.1</t>
  </si>
  <si>
    <t>160</t>
  </si>
  <si>
    <t>202</t>
  </si>
  <si>
    <t>161</t>
  </si>
  <si>
    <t>201</t>
  </si>
  <si>
    <t xml:space="preserve">  30 - 500/160 /ks 1/ (0,255m2/čl.)</t>
  </si>
  <si>
    <t>162</t>
  </si>
  <si>
    <t>163</t>
  </si>
  <si>
    <r>
      <t xml:space="preserve">4.NP/ NP03  - SEVER PRAVÁ </t>
    </r>
    <r>
      <rPr>
        <sz val="8"/>
        <rFont val="Arial"/>
        <family val="2"/>
      </rPr>
      <t>(Dvořákovo nám.)</t>
    </r>
  </si>
  <si>
    <t>164</t>
  </si>
  <si>
    <t>370</t>
  </si>
  <si>
    <t>165</t>
  </si>
  <si>
    <t>309_1</t>
  </si>
  <si>
    <t xml:space="preserve">  26 - 500/160 /ks 1/ (0,255m2/čl.)</t>
  </si>
  <si>
    <t>166</t>
  </si>
  <si>
    <t>308_1</t>
  </si>
  <si>
    <t>167</t>
  </si>
  <si>
    <t>307_1</t>
  </si>
  <si>
    <t>168</t>
  </si>
  <si>
    <t>306_1</t>
  </si>
  <si>
    <t>169</t>
  </si>
  <si>
    <t>305</t>
  </si>
  <si>
    <t>170</t>
  </si>
  <si>
    <t>304</t>
  </si>
  <si>
    <t xml:space="preserve">  30 - 500/160 /ks 2/ (0,255m2/čl.)</t>
  </si>
  <si>
    <t>171</t>
  </si>
  <si>
    <t>303</t>
  </si>
  <si>
    <t xml:space="preserve">  30 - 500/160 /ks 3/ (0,255m2/čl.)</t>
  </si>
  <si>
    <t>172</t>
  </si>
  <si>
    <t>173</t>
  </si>
  <si>
    <t>větev JIH LEVÁ</t>
  </si>
  <si>
    <t>174</t>
  </si>
  <si>
    <r>
      <t xml:space="preserve"> - 17. listopadu- v.č. 1.4.1.10 / </t>
    </r>
    <r>
      <rPr>
        <sz val="9"/>
        <rFont val="Arial"/>
        <family val="2"/>
      </rPr>
      <t>mezisoučet</t>
    </r>
  </si>
  <si>
    <t>175</t>
  </si>
  <si>
    <t>1.PP/ PP01  -  JIH LEVÁ</t>
  </si>
  <si>
    <t>176</t>
  </si>
  <si>
    <t>060</t>
  </si>
  <si>
    <t xml:space="preserve">  7- 900/160 /ks 1/ (0,440m2/čl.)</t>
  </si>
  <si>
    <t>177</t>
  </si>
  <si>
    <t>178</t>
  </si>
  <si>
    <r>
      <t xml:space="preserve">1.NP/ NP00  -  JIH LEVÁ </t>
    </r>
    <r>
      <rPr>
        <sz val="8"/>
        <rFont val="Arial"/>
        <family val="2"/>
      </rPr>
      <t>(17. listopadu)</t>
    </r>
  </si>
  <si>
    <t>179</t>
  </si>
  <si>
    <t>021</t>
  </si>
  <si>
    <t xml:space="preserve">  18 - 500/160 /ks 2/ (0,255m2/čl.)</t>
  </si>
  <si>
    <t>180</t>
  </si>
  <si>
    <t xml:space="preserve">  28 - 500/160 /ks1/ (0,255m2/čl.)</t>
  </si>
  <si>
    <t>181</t>
  </si>
  <si>
    <t>023_1</t>
  </si>
  <si>
    <t>182</t>
  </si>
  <si>
    <t>024_1</t>
  </si>
  <si>
    <t xml:space="preserve">  19 - 500/160 /ks1/ (0,255m2/čl.)</t>
  </si>
  <si>
    <t>183</t>
  </si>
  <si>
    <t>025_1</t>
  </si>
  <si>
    <t>184</t>
  </si>
  <si>
    <t>026_1</t>
  </si>
  <si>
    <t>185</t>
  </si>
  <si>
    <t>027_1</t>
  </si>
  <si>
    <t xml:space="preserve"> 19 - 500/160 /ks1/ (0,255m2/čl.)</t>
  </si>
  <si>
    <t>186</t>
  </si>
  <si>
    <t>028_1</t>
  </si>
  <si>
    <t xml:space="preserve">  22 - 500/160 /ks1/ (0,255m2/čl.)</t>
  </si>
  <si>
    <t>187</t>
  </si>
  <si>
    <t>188</t>
  </si>
  <si>
    <r>
      <t xml:space="preserve">2.NP/ NP01  -  JIH LEVÁ </t>
    </r>
    <r>
      <rPr>
        <sz val="8"/>
        <rFont val="Arial"/>
        <family val="2"/>
      </rPr>
      <t>(17. listopadu)</t>
    </r>
  </si>
  <si>
    <t>189</t>
  </si>
  <si>
    <t>190</t>
  </si>
  <si>
    <t xml:space="preserve">  12 - 900/70/ks 1/ (0,205m2/čl.)</t>
  </si>
  <si>
    <t>191</t>
  </si>
  <si>
    <t>125_1</t>
  </si>
  <si>
    <t>192</t>
  </si>
  <si>
    <t>126-1</t>
  </si>
  <si>
    <t>193</t>
  </si>
  <si>
    <t>127_1</t>
  </si>
  <si>
    <t>194</t>
  </si>
  <si>
    <t>128_1</t>
  </si>
  <si>
    <t>195</t>
  </si>
  <si>
    <t>129_1</t>
  </si>
  <si>
    <t>196</t>
  </si>
  <si>
    <t>130_1</t>
  </si>
  <si>
    <t>197</t>
  </si>
  <si>
    <t>131_1</t>
  </si>
  <si>
    <t>198</t>
  </si>
  <si>
    <t>132_1</t>
  </si>
  <si>
    <t>199</t>
  </si>
  <si>
    <t>200</t>
  </si>
  <si>
    <r>
      <t xml:space="preserve">3.NP/ NP02  -  JIH LEVÁ </t>
    </r>
    <r>
      <rPr>
        <sz val="9"/>
        <rFont val="Arial"/>
        <family val="2"/>
      </rPr>
      <t>(17. listopadu)</t>
    </r>
  </si>
  <si>
    <t>226</t>
  </si>
  <si>
    <t>227_1</t>
  </si>
  <si>
    <t>203</t>
  </si>
  <si>
    <t>228_1</t>
  </si>
  <si>
    <t>229</t>
  </si>
  <si>
    <t>230_1</t>
  </si>
  <si>
    <t>206</t>
  </si>
  <si>
    <t>231_1</t>
  </si>
  <si>
    <t xml:space="preserve">  16 - 500/160 /ks 2/ (0,255m2/čl.)</t>
  </si>
  <si>
    <t>232_1</t>
  </si>
  <si>
    <t>233_1</t>
  </si>
  <si>
    <r>
      <t xml:space="preserve">4.NP/ NP03  -  JIH LEVÁ </t>
    </r>
    <r>
      <rPr>
        <sz val="8"/>
        <rFont val="Arial"/>
        <family val="2"/>
      </rPr>
      <t>(17. listopadu)</t>
    </r>
  </si>
  <si>
    <t>334</t>
  </si>
  <si>
    <t>335</t>
  </si>
  <si>
    <t xml:space="preserve">  25 - 500/160 /ks 2/ (0,255m2/čl.)</t>
  </si>
  <si>
    <t>336_1</t>
  </si>
  <si>
    <t>215</t>
  </si>
  <si>
    <t>337_1</t>
  </si>
  <si>
    <t>216</t>
  </si>
  <si>
    <t>338</t>
  </si>
  <si>
    <t>217</t>
  </si>
  <si>
    <t>339_1</t>
  </si>
  <si>
    <t xml:space="preserve">  25 - 500/160 /ks 1/ (0,255m2/čl.)</t>
  </si>
  <si>
    <t>340_4</t>
  </si>
  <si>
    <t>341_1</t>
  </si>
  <si>
    <t>221</t>
  </si>
  <si>
    <t>větev JIH PRAVÁ</t>
  </si>
  <si>
    <t>222</t>
  </si>
  <si>
    <t xml:space="preserve"> - 17. listopadu- v.č. 1.4.1.10</t>
  </si>
  <si>
    <t>223</t>
  </si>
  <si>
    <t>1.PP/ PP01  -  JIH PRAVÁ - (nepokračuje)</t>
  </si>
  <si>
    <t>224</t>
  </si>
  <si>
    <r>
      <t>1.NP/ NP00  -  JIH PRAVÁ -</t>
    </r>
    <r>
      <rPr>
        <sz val="8"/>
        <rFont val="Arial"/>
        <family val="2"/>
      </rPr>
      <t xml:space="preserve"> (17. listopadu)</t>
    </r>
  </si>
  <si>
    <t>225</t>
  </si>
  <si>
    <t>029_1</t>
  </si>
  <si>
    <t>030_1</t>
  </si>
  <si>
    <t>227</t>
  </si>
  <si>
    <t>228</t>
  </si>
  <si>
    <t>031_1</t>
  </si>
  <si>
    <t>032_1</t>
  </si>
  <si>
    <t xml:space="preserve">  19- 500/160 /ks 1/ (0,255m2/čl.)</t>
  </si>
  <si>
    <t>230</t>
  </si>
  <si>
    <t>033_1</t>
  </si>
  <si>
    <t>231</t>
  </si>
  <si>
    <t>034_1</t>
  </si>
  <si>
    <t>232</t>
  </si>
  <si>
    <t>034_3</t>
  </si>
  <si>
    <t xml:space="preserve">  23 - 500/160 /ks 1/ (0,255m2/čl.)</t>
  </si>
  <si>
    <t>233</t>
  </si>
  <si>
    <t>063</t>
  </si>
  <si>
    <t xml:space="preserve">  20 - 350/160 /ks 3/ (0,185m2/čl.)</t>
  </si>
  <si>
    <t>234</t>
  </si>
  <si>
    <t xml:space="preserve">  18 - 900/160 /ks 2/ (0,440m2/čl.)</t>
  </si>
  <si>
    <t>235</t>
  </si>
  <si>
    <t>236</t>
  </si>
  <si>
    <r>
      <t>2.NP/ NP01  -  JIH PRAVÁ -</t>
    </r>
    <r>
      <rPr>
        <sz val="9"/>
        <rFont val="Arial"/>
        <family val="2"/>
      </rPr>
      <t xml:space="preserve"> (17. listopadu)</t>
    </r>
  </si>
  <si>
    <t>237</t>
  </si>
  <si>
    <t>133_1</t>
  </si>
  <si>
    <t>238</t>
  </si>
  <si>
    <t>134_1</t>
  </si>
  <si>
    <t>239</t>
  </si>
  <si>
    <t>135_1</t>
  </si>
  <si>
    <t>240</t>
  </si>
  <si>
    <t>136_1</t>
  </si>
  <si>
    <t>241</t>
  </si>
  <si>
    <t>137_1</t>
  </si>
  <si>
    <t>242</t>
  </si>
  <si>
    <t>138_1</t>
  </si>
  <si>
    <t>243</t>
  </si>
  <si>
    <t>139_1</t>
  </si>
  <si>
    <t>244</t>
  </si>
  <si>
    <t>140_1</t>
  </si>
  <si>
    <t xml:space="preserve">  21- 500/160 /ks 1/ (0,255m2/čl.)</t>
  </si>
  <si>
    <t>245</t>
  </si>
  <si>
    <t>141_1</t>
  </si>
  <si>
    <t>246</t>
  </si>
  <si>
    <t>247</t>
  </si>
  <si>
    <t>248</t>
  </si>
  <si>
    <t>249</t>
  </si>
  <si>
    <r>
      <t>3.NP/ NP02  -  JIH PRAVÁ -</t>
    </r>
    <r>
      <rPr>
        <sz val="8"/>
        <rFont val="Arial"/>
        <family val="2"/>
      </rPr>
      <t xml:space="preserve"> (17. listopadu)</t>
    </r>
  </si>
  <si>
    <t>250</t>
  </si>
  <si>
    <t>234_1</t>
  </si>
  <si>
    <t>251</t>
  </si>
  <si>
    <t>235_1</t>
  </si>
  <si>
    <t>252</t>
  </si>
  <si>
    <t>236_1</t>
  </si>
  <si>
    <t>253</t>
  </si>
  <si>
    <t>237_1</t>
  </si>
  <si>
    <t>254</t>
  </si>
  <si>
    <t>238-1</t>
  </si>
  <si>
    <t>255</t>
  </si>
  <si>
    <t>239_1</t>
  </si>
  <si>
    <t>256</t>
  </si>
  <si>
    <t>240_1</t>
  </si>
  <si>
    <t>257</t>
  </si>
  <si>
    <t>258</t>
  </si>
  <si>
    <t>259</t>
  </si>
  <si>
    <t xml:space="preserve">  20- 500/160 /ks 2/ (0,255m2/čl.)</t>
  </si>
  <si>
    <t>260</t>
  </si>
  <si>
    <t>261</t>
  </si>
  <si>
    <r>
      <t>4.NP/ NP03  -  JIH PRAVÁ -</t>
    </r>
    <r>
      <rPr>
        <sz val="8"/>
        <rFont val="Arial"/>
        <family val="2"/>
      </rPr>
      <t xml:space="preserve"> (17. listopadu)</t>
    </r>
  </si>
  <si>
    <t>262</t>
  </si>
  <si>
    <t>342</t>
  </si>
  <si>
    <t xml:space="preserve">  25- 500/160 /ks 1/ (0,255m2/čl.)</t>
  </si>
  <si>
    <t>263</t>
  </si>
  <si>
    <t>343</t>
  </si>
  <si>
    <t>264</t>
  </si>
  <si>
    <t>344</t>
  </si>
  <si>
    <t>265</t>
  </si>
  <si>
    <t xml:space="preserve">  23- 500/160 /ks 1/ (0,255m2/čl.)</t>
  </si>
  <si>
    <t>266</t>
  </si>
  <si>
    <t>345</t>
  </si>
  <si>
    <t xml:space="preserve">  23- 500/160 /ks 2/ (0,255m2/čl.)</t>
  </si>
  <si>
    <t>267</t>
  </si>
  <si>
    <t>346</t>
  </si>
  <si>
    <t xml:space="preserve">  26- 500/160 /ks 2/ (0,255m2/čl.)</t>
  </si>
  <si>
    <t>268</t>
  </si>
  <si>
    <t>347</t>
  </si>
  <si>
    <t>269</t>
  </si>
  <si>
    <t>348</t>
  </si>
  <si>
    <t xml:space="preserve">  28- 500/160 /ks 1/ (0,255m2/čl.)</t>
  </si>
  <si>
    <t>270</t>
  </si>
  <si>
    <t xml:space="preserve">  11- 500/160 /ks 1/ (0,255m2/čl.)</t>
  </si>
  <si>
    <t>271</t>
  </si>
  <si>
    <t>272</t>
  </si>
  <si>
    <t>větev VÝCHOD 1</t>
  </si>
  <si>
    <t>273</t>
  </si>
  <si>
    <r>
      <t xml:space="preserve"> -  východ 1 v.č. 1.4.1.11 / </t>
    </r>
    <r>
      <rPr>
        <sz val="9"/>
        <rFont val="Arial"/>
        <family val="2"/>
      </rPr>
      <t>mezisoučet</t>
    </r>
  </si>
  <si>
    <t>274</t>
  </si>
  <si>
    <r>
      <t xml:space="preserve">1.PP/ PP01  -   větev VÝCHOD 1 - </t>
    </r>
    <r>
      <rPr>
        <sz val="8"/>
        <rFont val="Arial"/>
        <family val="2"/>
      </rPr>
      <t>(\východ 1)</t>
    </r>
  </si>
  <si>
    <t>275</t>
  </si>
  <si>
    <t>010</t>
  </si>
  <si>
    <t xml:space="preserve">  13- 900/70 /ks 1/ (0,205m2/čl.)</t>
  </si>
  <si>
    <t>276</t>
  </si>
  <si>
    <t xml:space="preserve">  12- 900/70 /ks 1/ (0,205m2/čl.)</t>
  </si>
  <si>
    <t>277</t>
  </si>
  <si>
    <t>011_1</t>
  </si>
  <si>
    <t xml:space="preserve">  8 - 900/70 /ks 1/ (0,205m2/čl.)</t>
  </si>
  <si>
    <t>278</t>
  </si>
  <si>
    <t xml:space="preserve">  5 - 900/70 /ks 1/ (0,205m2/čl.)</t>
  </si>
  <si>
    <t>279</t>
  </si>
  <si>
    <t>280</t>
  </si>
  <si>
    <t>007</t>
  </si>
  <si>
    <t>281</t>
  </si>
  <si>
    <t>282</t>
  </si>
  <si>
    <r>
      <t>1.NP/ NP00  - větev VÝCHOD 1 -</t>
    </r>
    <r>
      <rPr>
        <sz val="8"/>
        <rFont val="Arial"/>
        <family val="2"/>
      </rPr>
      <t xml:space="preserve"> (\východ 1)</t>
    </r>
  </si>
  <si>
    <t>283</t>
  </si>
  <si>
    <t xml:space="preserve">  18 - 900/160 /ks 1/ (0,440m2/čl.)</t>
  </si>
  <si>
    <t>284</t>
  </si>
  <si>
    <t>054_3</t>
  </si>
  <si>
    <t xml:space="preserve">  19 - 900/160 /ks 1/ (0,440m2/čl.)</t>
  </si>
  <si>
    <t>285</t>
  </si>
  <si>
    <t>037</t>
  </si>
  <si>
    <t>286</t>
  </si>
  <si>
    <t xml:space="preserve"> těleso plechové / jen nová Termo.Hlavice</t>
  </si>
  <si>
    <t>287</t>
  </si>
  <si>
    <t>288</t>
  </si>
  <si>
    <r>
      <t>2.NP/ NP01  - větev VÝCHOD 1 -</t>
    </r>
    <r>
      <rPr>
        <sz val="8"/>
        <rFont val="Arial"/>
        <family val="2"/>
      </rPr>
      <t xml:space="preserve"> (\východ 1)</t>
    </r>
  </si>
  <si>
    <t>289</t>
  </si>
  <si>
    <t>290</t>
  </si>
  <si>
    <t xml:space="preserve">  25 - 900/160 /ks 1/ (0,440m2/čl.)</t>
  </si>
  <si>
    <t>291</t>
  </si>
  <si>
    <t xml:space="preserve">  20 - 900/160 /ks 4/ (0,440m2/čl.)</t>
  </si>
  <si>
    <t>292</t>
  </si>
  <si>
    <t>293</t>
  </si>
  <si>
    <r>
      <t>3.NP/ NP02  - větev VÝCHOD 1 -</t>
    </r>
    <r>
      <rPr>
        <sz val="8"/>
        <rFont val="Arial"/>
        <family val="2"/>
      </rPr>
      <t xml:space="preserve"> (\východ 1)</t>
    </r>
  </si>
  <si>
    <t>294</t>
  </si>
  <si>
    <t>252_2</t>
  </si>
  <si>
    <t xml:space="preserve">  14- 500/160 /ks 1/ (0,255m2/čl.)</t>
  </si>
  <si>
    <t>295</t>
  </si>
  <si>
    <t>296</t>
  </si>
  <si>
    <t>297</t>
  </si>
  <si>
    <r>
      <t>4.NP/ NP03  - větev VÝCHOD 1 -</t>
    </r>
    <r>
      <rPr>
        <sz val="8"/>
        <rFont val="Arial"/>
        <family val="2"/>
      </rPr>
      <t xml:space="preserve"> (\východ 1)</t>
    </r>
  </si>
  <si>
    <t>298</t>
  </si>
  <si>
    <t>362</t>
  </si>
  <si>
    <t>299</t>
  </si>
  <si>
    <t>301</t>
  </si>
  <si>
    <t>300</t>
  </si>
  <si>
    <t>302</t>
  </si>
  <si>
    <t xml:space="preserve">  20 - 900/160 /ks 3/ (0,440m2/čl.)</t>
  </si>
  <si>
    <t xml:space="preserve">  20 - 500/160 /ks 3/ (0,255m2/čl.)</t>
  </si>
  <si>
    <t xml:space="preserve">  20- 900/160 /ks 3/ (0,440m2/čl.)</t>
  </si>
  <si>
    <t>větev VÝCHOD 2</t>
  </si>
  <si>
    <t>306</t>
  </si>
  <si>
    <r>
      <t xml:space="preserve"> -  východ 2 v.č. 1.4.1.12</t>
    </r>
    <r>
      <rPr>
        <sz val="9"/>
        <rFont val="Arial"/>
        <family val="2"/>
      </rPr>
      <t xml:space="preserve"> / mezisoučet</t>
    </r>
  </si>
  <si>
    <t>307</t>
  </si>
  <si>
    <r>
      <t>1.PP/ PP01  -   větev VÝCHOD 2 -</t>
    </r>
    <r>
      <rPr>
        <sz val="8"/>
        <rFont val="Arial"/>
        <family val="2"/>
      </rPr>
      <t xml:space="preserve"> (\východ 2)</t>
    </r>
  </si>
  <si>
    <t>308</t>
  </si>
  <si>
    <t>309</t>
  </si>
  <si>
    <t>310</t>
  </si>
  <si>
    <t>311</t>
  </si>
  <si>
    <t>312</t>
  </si>
  <si>
    <t>093</t>
  </si>
  <si>
    <t xml:space="preserve">  10 - 500/160 /ks 1/ (0,255m2/čl.)</t>
  </si>
  <si>
    <r>
      <t>1.NP/ NP00  -  větev VÝCHOD 2 -</t>
    </r>
    <r>
      <rPr>
        <sz val="8"/>
        <rFont val="Arial"/>
        <family val="2"/>
      </rPr>
      <t xml:space="preserve"> (\východ 2)</t>
    </r>
  </si>
  <si>
    <t>064</t>
  </si>
  <si>
    <t xml:space="preserve">  18 - 900/160 /ks 3/ (0,440m2/čl.)</t>
  </si>
  <si>
    <t>054_2</t>
  </si>
  <si>
    <t>320</t>
  </si>
  <si>
    <t>036</t>
  </si>
  <si>
    <t xml:space="preserve">  23 - 350/160 /ks 2/ (0,185m2/čl.)</t>
  </si>
  <si>
    <t>321</t>
  </si>
  <si>
    <t>322</t>
  </si>
  <si>
    <r>
      <t>2.NP/ NP01  -  větev VÝCHOD 2 -</t>
    </r>
    <r>
      <rPr>
        <sz val="8"/>
        <rFont val="Arial"/>
        <family val="2"/>
      </rPr>
      <t xml:space="preserve"> (\východ 2)</t>
    </r>
  </si>
  <si>
    <t>323</t>
  </si>
  <si>
    <t>324</t>
  </si>
  <si>
    <t>325</t>
  </si>
  <si>
    <t>326</t>
  </si>
  <si>
    <r>
      <t>3.NP/ NP02  -  větev VÝCHOD 2 -</t>
    </r>
    <r>
      <rPr>
        <sz val="8"/>
        <rFont val="Arial"/>
        <family val="2"/>
      </rPr>
      <t xml:space="preserve"> (\východ 2)</t>
    </r>
  </si>
  <si>
    <t>327</t>
  </si>
  <si>
    <t>251_1</t>
  </si>
  <si>
    <t xml:space="preserve">  11 - 500/160 /ks 1/ (0,255m2/čl.)</t>
  </si>
  <si>
    <t>328</t>
  </si>
  <si>
    <t>329</t>
  </si>
  <si>
    <t>330</t>
  </si>
  <si>
    <r>
      <t>4.NP/ NP03  -  větev VÝCHOD 2 -</t>
    </r>
    <r>
      <rPr>
        <sz val="8"/>
        <rFont val="Arial"/>
        <family val="2"/>
      </rPr>
      <t xml:space="preserve"> (\východ 2)</t>
    </r>
  </si>
  <si>
    <t>331</t>
  </si>
  <si>
    <t xml:space="preserve">  20 - 900/160 /ks 2/ (0,440m2/čl.)</t>
  </si>
  <si>
    <t>332</t>
  </si>
  <si>
    <t>349</t>
  </si>
  <si>
    <t>333</t>
  </si>
  <si>
    <t>větev ZÁPAD 1</t>
  </si>
  <si>
    <t>336</t>
  </si>
  <si>
    <r>
      <t xml:space="preserve"> -  západ 1 v.č. 1.4.1.13 / </t>
    </r>
    <r>
      <rPr>
        <sz val="9"/>
        <rFont val="Arial"/>
        <family val="2"/>
      </rPr>
      <t>mezisoučet</t>
    </r>
  </si>
  <si>
    <t>337</t>
  </si>
  <si>
    <r>
      <t>2.PP/ PP02  -   větev ZÁPAD 1 -</t>
    </r>
    <r>
      <rPr>
        <sz val="8"/>
        <rFont val="Arial"/>
        <family val="2"/>
      </rPr>
      <t xml:space="preserve"> (západ 1)</t>
    </r>
  </si>
  <si>
    <t>339</t>
  </si>
  <si>
    <t>026</t>
  </si>
  <si>
    <t>340</t>
  </si>
  <si>
    <t xml:space="preserve">  9 - 900/160 /ks 1/ (0,440m2/čl.)</t>
  </si>
  <si>
    <t>341</t>
  </si>
  <si>
    <r>
      <t>1.PP/ PP01  -   větev ZÁPAD 1 -</t>
    </r>
    <r>
      <rPr>
        <sz val="8"/>
        <rFont val="Arial"/>
        <family val="2"/>
      </rPr>
      <t xml:space="preserve"> (západ 1)</t>
    </r>
  </si>
  <si>
    <t>047</t>
  </si>
  <si>
    <t>048</t>
  </si>
  <si>
    <t xml:space="preserve">  19 - 500/160 /ks 2/ (0,255m2/čl.)</t>
  </si>
  <si>
    <t>044</t>
  </si>
  <si>
    <t>041</t>
  </si>
  <si>
    <t>035</t>
  </si>
  <si>
    <t>350</t>
  </si>
  <si>
    <r>
      <t>1.NP/ NP00  -   větev ZÁPAD 1 -</t>
    </r>
    <r>
      <rPr>
        <sz val="8"/>
        <rFont val="Arial"/>
        <family val="2"/>
      </rPr>
      <t xml:space="preserve"> (západ 1)</t>
    </r>
  </si>
  <si>
    <t>351</t>
  </si>
  <si>
    <t>020</t>
  </si>
  <si>
    <t>352</t>
  </si>
  <si>
    <t>019</t>
  </si>
  <si>
    <t>353</t>
  </si>
  <si>
    <t>016_1</t>
  </si>
  <si>
    <t xml:space="preserve">  25 - 500/160 /ks 5/ (0,255m2/čl.)</t>
  </si>
  <si>
    <t>354</t>
  </si>
  <si>
    <t>015</t>
  </si>
  <si>
    <t>355</t>
  </si>
  <si>
    <t>356</t>
  </si>
  <si>
    <t>357</t>
  </si>
  <si>
    <r>
      <t>2.NP/ NP01  -   větev ZÁPAD 1 -</t>
    </r>
    <r>
      <rPr>
        <sz val="8"/>
        <rFont val="Arial"/>
        <family val="2"/>
      </rPr>
      <t xml:space="preserve"> (západ 1)</t>
    </r>
  </si>
  <si>
    <t>358</t>
  </si>
  <si>
    <t>118_1</t>
  </si>
  <si>
    <t>359</t>
  </si>
  <si>
    <t>360</t>
  </si>
  <si>
    <t>361</t>
  </si>
  <si>
    <t>119_1</t>
  </si>
  <si>
    <t xml:space="preserve"> 18 - 500/160 /ks 1/ (0,255m2/čl.)</t>
  </si>
  <si>
    <t xml:space="preserve"> 16 - 500/160 /ks 1/ (0,255m2/čl.)</t>
  </si>
  <si>
    <t>363</t>
  </si>
  <si>
    <t>364</t>
  </si>
  <si>
    <r>
      <t>3.NP/ NP02  -   větev ZÁPAD 1 -</t>
    </r>
    <r>
      <rPr>
        <sz val="8"/>
        <rFont val="Arial"/>
        <family val="2"/>
      </rPr>
      <t xml:space="preserve"> (západ 1)</t>
    </r>
  </si>
  <si>
    <t>365</t>
  </si>
  <si>
    <t>366</t>
  </si>
  <si>
    <t>367</t>
  </si>
  <si>
    <t>368</t>
  </si>
  <si>
    <t xml:space="preserve"> 15 - 500/160 /ks 1/ (0,255m2/čl.)</t>
  </si>
  <si>
    <t>369</t>
  </si>
  <si>
    <r>
      <t>4.NP/ NP03  -   větev ZÁPAD 1 -</t>
    </r>
    <r>
      <rPr>
        <sz val="8"/>
        <rFont val="Arial"/>
        <family val="2"/>
      </rPr>
      <t xml:space="preserve"> (západ 1)</t>
    </r>
  </si>
  <si>
    <t>371</t>
  </si>
  <si>
    <t>332_2</t>
  </si>
  <si>
    <t>372</t>
  </si>
  <si>
    <t>373</t>
  </si>
  <si>
    <t>374</t>
  </si>
  <si>
    <t>375</t>
  </si>
  <si>
    <t>376</t>
  </si>
  <si>
    <t>377</t>
  </si>
  <si>
    <t>378</t>
  </si>
  <si>
    <t>379</t>
  </si>
  <si>
    <t>320_1</t>
  </si>
  <si>
    <t>380</t>
  </si>
  <si>
    <t>381</t>
  </si>
  <si>
    <t>větev ZÁPAD 2</t>
  </si>
  <si>
    <t>382</t>
  </si>
  <si>
    <r>
      <t xml:space="preserve"> -  západ 2 v.č. 1.4.1.14 / </t>
    </r>
    <r>
      <rPr>
        <sz val="9"/>
        <rFont val="Arial"/>
        <family val="2"/>
      </rPr>
      <t>mezisoučet</t>
    </r>
  </si>
  <si>
    <t>383</t>
  </si>
  <si>
    <r>
      <t>2.PP/ PP02  -   větev ZÁPAD 2 -</t>
    </r>
    <r>
      <rPr>
        <sz val="8"/>
        <rFont val="Arial"/>
        <family val="2"/>
      </rPr>
      <t xml:space="preserve"> (západ 2)</t>
    </r>
  </si>
  <si>
    <t>384</t>
  </si>
  <si>
    <t>385</t>
  </si>
  <si>
    <t xml:space="preserve">  10 - 900/160 /ks 1 / (0,440m2/čl.)</t>
  </si>
  <si>
    <t>386</t>
  </si>
  <si>
    <t>062</t>
  </si>
  <si>
    <t>387</t>
  </si>
  <si>
    <t>388</t>
  </si>
  <si>
    <t>389</t>
  </si>
  <si>
    <r>
      <t>1.PP/ PP01  -   větev ZÁPAD 2 -</t>
    </r>
    <r>
      <rPr>
        <sz val="8"/>
        <rFont val="Arial"/>
        <family val="2"/>
      </rPr>
      <t xml:space="preserve"> (západ 2)</t>
    </r>
  </si>
  <si>
    <t>390</t>
  </si>
  <si>
    <t>391</t>
  </si>
  <si>
    <t>392</t>
  </si>
  <si>
    <t>393</t>
  </si>
  <si>
    <t xml:space="preserve">  6 - 900/160 /ks 1 / (0,440m2/čl.)</t>
  </si>
  <si>
    <t>394</t>
  </si>
  <si>
    <t xml:space="preserve">  8 - 500/160 /ks 1/ (0,255m2/čl.)</t>
  </si>
  <si>
    <t>395</t>
  </si>
  <si>
    <t>396</t>
  </si>
  <si>
    <t>397</t>
  </si>
  <si>
    <t xml:space="preserve">  21 - 500/160 /ks 1/ (0,255m2/čl.)</t>
  </si>
  <si>
    <t>398</t>
  </si>
  <si>
    <t>399</t>
  </si>
  <si>
    <t>400</t>
  </si>
  <si>
    <t xml:space="preserve">  5 - 900/160 /ks 1 / (0,440m2/čl.)</t>
  </si>
  <si>
    <t>401</t>
  </si>
  <si>
    <t xml:space="preserve">  9 - 900/70 /ks 1/ (0,205m2/čl.)</t>
  </si>
  <si>
    <t>402</t>
  </si>
  <si>
    <t>403</t>
  </si>
  <si>
    <r>
      <t>1.NP/ NP00  -   větev ZÁPAD 2 -</t>
    </r>
    <r>
      <rPr>
        <sz val="8"/>
        <rFont val="Arial"/>
        <family val="2"/>
      </rPr>
      <t xml:space="preserve"> (západ 2)</t>
    </r>
  </si>
  <si>
    <t>404</t>
  </si>
  <si>
    <t>016_2</t>
  </si>
  <si>
    <t>405</t>
  </si>
  <si>
    <t>054_4</t>
  </si>
  <si>
    <t>406</t>
  </si>
  <si>
    <t xml:space="preserve">  10- 500/160 /ks 1/ (0,255m2/čl.)</t>
  </si>
  <si>
    <t>407</t>
  </si>
  <si>
    <t>408</t>
  </si>
  <si>
    <t>409</t>
  </si>
  <si>
    <t>061</t>
  </si>
  <si>
    <t>410</t>
  </si>
  <si>
    <t>059</t>
  </si>
  <si>
    <r>
      <t xml:space="preserve"> občerstvení - těleso plechové /</t>
    </r>
    <r>
      <rPr>
        <b/>
        <sz val="9"/>
        <rFont val="Arial"/>
        <family val="2"/>
      </rPr>
      <t xml:space="preserve"> jen nová Termo.Hlavice</t>
    </r>
  </si>
  <si>
    <t>411</t>
  </si>
  <si>
    <t>412</t>
  </si>
  <si>
    <t>058</t>
  </si>
  <si>
    <t>413</t>
  </si>
  <si>
    <t>056</t>
  </si>
  <si>
    <t xml:space="preserve"> 10- 900/70 /ks 1/ (0,205m2/čl.)</t>
  </si>
  <si>
    <t>414</t>
  </si>
  <si>
    <t>nové těleso plechové  /22 - 600/600 TH</t>
  </si>
  <si>
    <t>415</t>
  </si>
  <si>
    <t>416</t>
  </si>
  <si>
    <r>
      <t>2.NP/ NP01  -   větev ZÁPAD 2 -</t>
    </r>
    <r>
      <rPr>
        <sz val="8"/>
        <rFont val="Arial"/>
        <family val="2"/>
      </rPr>
      <t xml:space="preserve"> (západ 2)</t>
    </r>
  </si>
  <si>
    <t>417</t>
  </si>
  <si>
    <t>418</t>
  </si>
  <si>
    <t>419</t>
  </si>
  <si>
    <t>420</t>
  </si>
  <si>
    <t>421</t>
  </si>
  <si>
    <t xml:space="preserve">  15 - 900/160 /ks 1/ (0,440m2/čl.)</t>
  </si>
  <si>
    <t>422</t>
  </si>
  <si>
    <t>423</t>
  </si>
  <si>
    <t>424</t>
  </si>
  <si>
    <t>425</t>
  </si>
  <si>
    <t>426</t>
  </si>
  <si>
    <r>
      <t>3.NP/ NP02  -   větev ZÁPAD 2 -</t>
    </r>
    <r>
      <rPr>
        <sz val="8"/>
        <rFont val="Arial"/>
        <family val="2"/>
      </rPr>
      <t xml:space="preserve"> (západ 2)</t>
    </r>
  </si>
  <si>
    <t>427</t>
  </si>
  <si>
    <t>428</t>
  </si>
  <si>
    <t>252_1</t>
  </si>
  <si>
    <t xml:space="preserve">  12 - 500/160 /ks 1/ (0,255m2/čl.)</t>
  </si>
  <si>
    <t>429</t>
  </si>
  <si>
    <t>430</t>
  </si>
  <si>
    <t>431</t>
  </si>
  <si>
    <t>432</t>
  </si>
  <si>
    <t xml:space="preserve">  11 - 900/70 /ks 1/ (0,205m2/čl.)</t>
  </si>
  <si>
    <t>433</t>
  </si>
  <si>
    <t xml:space="preserve">  21 - 900/160 /ks 1/ (0,440m2/čl.)</t>
  </si>
  <si>
    <t>434</t>
  </si>
  <si>
    <t xml:space="preserve">  6 - 900/70 /ks 1/ (0,205m2/čl.)</t>
  </si>
  <si>
    <t>435</t>
  </si>
  <si>
    <t xml:space="preserve">  7 - 900/70 /ks 1/ (0,205m2/čl.)</t>
  </si>
  <si>
    <t>436</t>
  </si>
  <si>
    <t>437</t>
  </si>
  <si>
    <r>
      <t>4.NP/ NP03  -   větev ZÁPAD 2 -</t>
    </r>
    <r>
      <rPr>
        <sz val="8"/>
        <rFont val="Arial"/>
        <family val="2"/>
      </rPr>
      <t xml:space="preserve"> (západ 2)</t>
    </r>
  </si>
  <si>
    <t>438</t>
  </si>
  <si>
    <t>439</t>
  </si>
  <si>
    <t>440</t>
  </si>
  <si>
    <t>441</t>
  </si>
  <si>
    <t xml:space="preserve">  9 - 500/160 /ks 1/ (0,255m2/čl.)</t>
  </si>
  <si>
    <t>442</t>
  </si>
  <si>
    <t>443</t>
  </si>
  <si>
    <t>444</t>
  </si>
  <si>
    <t>445</t>
  </si>
  <si>
    <t>větev VÝCHOD DVŮR 1</t>
  </si>
  <si>
    <t>446</t>
  </si>
  <si>
    <r>
      <t xml:space="preserve"> -  východ dvůr 1  v.č. 1.4.1.15 </t>
    </r>
    <r>
      <rPr>
        <sz val="9"/>
        <rFont val="Arial"/>
        <family val="2"/>
      </rPr>
      <t>/ mezisoučet</t>
    </r>
  </si>
  <si>
    <t>447</t>
  </si>
  <si>
    <t>1.PP/ PP01  -   větev / východní dvůr</t>
  </si>
  <si>
    <t>448</t>
  </si>
  <si>
    <t>119_3</t>
  </si>
  <si>
    <t>449</t>
  </si>
  <si>
    <t>450</t>
  </si>
  <si>
    <t xml:space="preserve">  10 - 500/160 /ks 2/ (0,255m2/čl.)</t>
  </si>
  <si>
    <t>451</t>
  </si>
  <si>
    <t>046</t>
  </si>
  <si>
    <t xml:space="preserve">  10 - 500/160 /ks 3/ (0,255m2/čl.)</t>
  </si>
  <si>
    <t>452</t>
  </si>
  <si>
    <t>453</t>
  </si>
  <si>
    <t>454</t>
  </si>
  <si>
    <t>1.NP / NP00  -   větev / východní dvůr</t>
  </si>
  <si>
    <t>455</t>
  </si>
  <si>
    <t>065</t>
  </si>
  <si>
    <t>456</t>
  </si>
  <si>
    <t xml:space="preserve">  10 - 500/160 /ks 4/ (0,255m2/čl.)</t>
  </si>
  <si>
    <t>457</t>
  </si>
  <si>
    <t>458</t>
  </si>
  <si>
    <t>459</t>
  </si>
  <si>
    <t>2.NP / NP01  -   větev / východní dvůr</t>
  </si>
  <si>
    <t>460</t>
  </si>
  <si>
    <t>461</t>
  </si>
  <si>
    <t>462</t>
  </si>
  <si>
    <t>463</t>
  </si>
  <si>
    <t>464</t>
  </si>
  <si>
    <t>465</t>
  </si>
  <si>
    <t>3.NP / NP02  -   větev / východní dvůr</t>
  </si>
  <si>
    <t>466</t>
  </si>
  <si>
    <t xml:space="preserve">  11 - 500/160 /ks 2/ (0,255m2/čl.)</t>
  </si>
  <si>
    <t>467</t>
  </si>
  <si>
    <t>468</t>
  </si>
  <si>
    <t>469</t>
  </si>
  <si>
    <t xml:space="preserve">  20 - 350/160 /ks 1/ (0,185m2/čl.)</t>
  </si>
  <si>
    <t>470</t>
  </si>
  <si>
    <t>471</t>
  </si>
  <si>
    <t>4.NP / NP03  -   větev / východní dvůr</t>
  </si>
  <si>
    <t>472</t>
  </si>
  <si>
    <t>473</t>
  </si>
  <si>
    <t>474</t>
  </si>
  <si>
    <t>475</t>
  </si>
  <si>
    <t xml:space="preserve">  14 - 500/160 /ks 3/ (0,255m2/čl.)</t>
  </si>
  <si>
    <t>476</t>
  </si>
  <si>
    <t>477</t>
  </si>
  <si>
    <t>478</t>
  </si>
  <si>
    <t>479</t>
  </si>
  <si>
    <t>480</t>
  </si>
  <si>
    <t>481</t>
  </si>
  <si>
    <t>482</t>
  </si>
  <si>
    <t>větev BYTY</t>
  </si>
  <si>
    <t>483</t>
  </si>
  <si>
    <r>
      <t xml:space="preserve"> -  BYTY  v.č. 1.4.1.16 / </t>
    </r>
    <r>
      <rPr>
        <sz val="9"/>
        <rFont val="Arial"/>
        <family val="2"/>
      </rPr>
      <t>mezisoučet</t>
    </r>
  </si>
  <si>
    <t>484</t>
  </si>
  <si>
    <t>1.PP/ PP01  -   větev / BYTY - LEVÁ část</t>
  </si>
  <si>
    <t>485</t>
  </si>
  <si>
    <t>049</t>
  </si>
  <si>
    <t>486</t>
  </si>
  <si>
    <t>050</t>
  </si>
  <si>
    <t>487</t>
  </si>
  <si>
    <t>053</t>
  </si>
  <si>
    <t>488</t>
  </si>
  <si>
    <t>489</t>
  </si>
  <si>
    <t>490</t>
  </si>
  <si>
    <t>491</t>
  </si>
  <si>
    <t>066</t>
  </si>
  <si>
    <t xml:space="preserve">  - těleso plechové / jen nová Termo.Hlavice</t>
  </si>
  <si>
    <t>492</t>
  </si>
  <si>
    <t>493</t>
  </si>
  <si>
    <t>494</t>
  </si>
  <si>
    <r>
      <t>1.PP/ PP01 - větev/BYTY- PRAVÁ část /</t>
    </r>
    <r>
      <rPr>
        <sz val="8"/>
        <rFont val="Arial"/>
        <family val="2"/>
      </rPr>
      <t>celkem</t>
    </r>
  </si>
  <si>
    <t>495</t>
  </si>
  <si>
    <t>086</t>
  </si>
  <si>
    <t>496</t>
  </si>
  <si>
    <t>087</t>
  </si>
  <si>
    <t>497</t>
  </si>
  <si>
    <t>078</t>
  </si>
  <si>
    <t>498</t>
  </si>
  <si>
    <t xml:space="preserve">  17 - 500/160 /ks2/ (0,255m2/čl.)</t>
  </si>
  <si>
    <t>499</t>
  </si>
  <si>
    <t xml:space="preserve">  12 - 500/160 /ks1/ (0,255m2/čl.)</t>
  </si>
  <si>
    <t>500</t>
  </si>
  <si>
    <t>079</t>
  </si>
  <si>
    <t>501</t>
  </si>
  <si>
    <t>081</t>
  </si>
  <si>
    <t>502</t>
  </si>
  <si>
    <t>503</t>
  </si>
  <si>
    <t>082</t>
  </si>
  <si>
    <t xml:space="preserve">  13 - 500/160 /ks1/ (0,255m2/čl.)</t>
  </si>
  <si>
    <t>504</t>
  </si>
  <si>
    <t>505</t>
  </si>
  <si>
    <t>506</t>
  </si>
  <si>
    <t>090</t>
  </si>
  <si>
    <t>507</t>
  </si>
  <si>
    <t xml:space="preserve">  - těleso plechové 22-1400/600  /  jen nová Termo.Hlavice</t>
  </si>
  <si>
    <t>508</t>
  </si>
  <si>
    <t>509</t>
  </si>
  <si>
    <t xml:space="preserve">  - těleso plechové 22-800/900  /  jen nová Termo.Hlavice</t>
  </si>
  <si>
    <t>510</t>
  </si>
  <si>
    <t xml:space="preserve">  10 - 500/160 /ks1/ (0,255m2/čl.)</t>
  </si>
  <si>
    <t>511</t>
  </si>
  <si>
    <t>512</t>
  </si>
  <si>
    <t>735111810/P</t>
  </si>
  <si>
    <r>
      <t>Demontáž tělesa litinového  -</t>
    </r>
    <r>
      <rPr>
        <b/>
        <sz val="9"/>
        <rFont val="Arial"/>
        <family val="2"/>
      </rPr>
      <t xml:space="preserve"> větev Západ 2</t>
    </r>
    <r>
      <rPr>
        <sz val="9"/>
        <rFont val="Arial"/>
        <family val="2"/>
      </rPr>
      <t xml:space="preserve">  - </t>
    </r>
    <r>
      <rPr>
        <b/>
        <sz val="9"/>
        <rFont val="Arial"/>
        <family val="2"/>
      </rPr>
      <t xml:space="preserve">v.č.  D.1.4.1.14 </t>
    </r>
    <r>
      <rPr>
        <sz val="9"/>
        <rFont val="Arial"/>
        <family val="2"/>
      </rPr>
      <t xml:space="preserve"> /  </t>
    </r>
    <r>
      <rPr>
        <b/>
        <sz val="9"/>
        <rFont val="Arial"/>
        <family val="2"/>
      </rPr>
      <t xml:space="preserve">m.č.  067 / 2.PP  </t>
    </r>
    <r>
      <rPr>
        <sz val="9"/>
        <rFont val="Arial"/>
        <family val="2"/>
      </rPr>
      <t xml:space="preserve">-  PP02 </t>
    </r>
    <r>
      <rPr>
        <b/>
        <sz val="9"/>
        <rFont val="Arial"/>
        <family val="2"/>
      </rPr>
      <t xml:space="preserve"> /     </t>
    </r>
    <r>
      <rPr>
        <sz val="9"/>
        <rFont val="Arial"/>
        <family val="2"/>
      </rPr>
      <t>10 - 500/160/ks 1/ (0,255m2/čl.)</t>
    </r>
  </si>
  <si>
    <t>513</t>
  </si>
  <si>
    <t>733191914/P</t>
  </si>
  <si>
    <t>Zaslepení přípojek -ks2 po demontáži otopného tělesa</t>
  </si>
  <si>
    <t>514</t>
  </si>
  <si>
    <t>515</t>
  </si>
  <si>
    <t>516</t>
  </si>
  <si>
    <t>800-731</t>
  </si>
  <si>
    <t>731 -Vytápění</t>
  </si>
  <si>
    <t xml:space="preserve">Kč </t>
  </si>
  <si>
    <t>517</t>
  </si>
  <si>
    <t>800-735</t>
  </si>
  <si>
    <t>Otopná tělesa</t>
  </si>
  <si>
    <t>518</t>
  </si>
  <si>
    <t>519</t>
  </si>
  <si>
    <r>
      <t>Otopná tělesa litinová článková</t>
    </r>
    <r>
      <rPr>
        <sz val="9"/>
        <rFont val="Arial"/>
        <family val="2"/>
      </rPr>
      <t xml:space="preserve"> (natřená)</t>
    </r>
  </si>
  <si>
    <t>520</t>
  </si>
  <si>
    <t>Přetěsnění růžice radiátorové otopných těles litinových článkových : výměra 410ks*4</t>
  </si>
  <si>
    <t>521</t>
  </si>
  <si>
    <t>Rozpojení tělesa otopného teplovodního (cca 20%) při přetěsnění článku</t>
  </si>
  <si>
    <t>522</t>
  </si>
  <si>
    <t>Stažení otopného tělesa (cca 20%)</t>
  </si>
  <si>
    <t>523</t>
  </si>
  <si>
    <t>Odvzdušnění všech otopných těles litinových článkových i ocelových deskových</t>
  </si>
  <si>
    <t>524</t>
  </si>
  <si>
    <t>767991911/P</t>
  </si>
  <si>
    <t xml:space="preserve">Opravy článků otopných těles-samostatné svařování - sváry koutové, lemové do průřezu svaru 5 mm  (cca 410*0,10 *2) </t>
  </si>
  <si>
    <t>m</t>
  </si>
  <si>
    <t>525</t>
  </si>
  <si>
    <t>767000001/r</t>
  </si>
  <si>
    <t>Ocelové plechy cca tl.2mm dodávka+ osazení+ - (podklad-ochrana- při svařování článků)</t>
  </si>
  <si>
    <t>526</t>
  </si>
  <si>
    <t>Přesun hmot procentní pro otopná tělesa v objektech v přes 12 do 24 m /  2,39%</t>
  </si>
  <si>
    <t>527</t>
  </si>
  <si>
    <t>528</t>
  </si>
  <si>
    <t>7333</t>
  </si>
  <si>
    <t>Rozvod potrubí</t>
  </si>
  <si>
    <t>529</t>
  </si>
  <si>
    <t>dodávka</t>
  </si>
  <si>
    <t>Potrubí z uhlíkové oceli vně pozinkované spojované lisováním DN15, včetně tvarovek</t>
  </si>
  <si>
    <t>530</t>
  </si>
  <si>
    <t>Potrubí z  uhlíkové oceli vně pozinkované spojované lisováním DN20, včetně tvarovek</t>
  </si>
  <si>
    <t>531</t>
  </si>
  <si>
    <t xml:space="preserve"> dodávka</t>
  </si>
  <si>
    <t>Potrubí z  uhlíkové oceli vně pozinkované spojované lisováním DN25, včetně tvarovek</t>
  </si>
  <si>
    <t>532</t>
  </si>
  <si>
    <t>Potrubí z  uhlíkové oceli vně pozinkované spojované lisováním DN32, včetně tvarovek</t>
  </si>
  <si>
    <t>533</t>
  </si>
  <si>
    <t>Potrubí z  uhlíkové oceli vně pozinkované spojované lisováním DN40, včetně tvarovek</t>
  </si>
  <si>
    <t>534</t>
  </si>
  <si>
    <t>722131921 montáž</t>
  </si>
  <si>
    <t>535</t>
  </si>
  <si>
    <t>722131922 montáž</t>
  </si>
  <si>
    <t>536</t>
  </si>
  <si>
    <t>722131923 montáž</t>
  </si>
  <si>
    <t>537</t>
  </si>
  <si>
    <t>722131924 montáž</t>
  </si>
  <si>
    <t>538</t>
  </si>
  <si>
    <t>722131925 montáž</t>
  </si>
  <si>
    <t>539</t>
  </si>
  <si>
    <t>733190107</t>
  </si>
  <si>
    <t>Zkouška těsnosti potrubí ocelové závitové DN do 40</t>
  </si>
  <si>
    <t>540</t>
  </si>
  <si>
    <t>733192916/P</t>
  </si>
  <si>
    <t>Úprava přípojek k natřeným litinovým  tělesům výměra : 410ks*2</t>
  </si>
  <si>
    <t>541</t>
  </si>
  <si>
    <t>998733203</t>
  </si>
  <si>
    <t>Přesun hmot procentní pro rozvody potrubí v objektech v přes 12 do 24 m  % 3,67</t>
  </si>
  <si>
    <t>542</t>
  </si>
  <si>
    <t>543</t>
  </si>
  <si>
    <t>Armatury</t>
  </si>
  <si>
    <t>544</t>
  </si>
  <si>
    <t>Regulační vyvažovací ventily s vypouštěním 
(DN 10 až DN32) dle půdorysů a schémat</t>
  </si>
  <si>
    <r>
      <t xml:space="preserve"> ks </t>
    </r>
    <r>
      <rPr>
        <sz val="8"/>
        <rFont val="Calibri"/>
        <family val="2"/>
      </rPr>
      <t>∑</t>
    </r>
  </si>
  <si>
    <t>545</t>
  </si>
  <si>
    <t>větev - Dvořákovo náměstí- sever</t>
  </si>
  <si>
    <t>546</t>
  </si>
  <si>
    <t>DN 25</t>
  </si>
  <si>
    <t>547</t>
  </si>
  <si>
    <t>DN 32</t>
  </si>
  <si>
    <t>548</t>
  </si>
  <si>
    <t>větev - 17.listopadu - jih</t>
  </si>
  <si>
    <t>549</t>
  </si>
  <si>
    <t>550</t>
  </si>
  <si>
    <t>551</t>
  </si>
  <si>
    <t>větev - Východ 1</t>
  </si>
  <si>
    <t>552</t>
  </si>
  <si>
    <t>DN 15</t>
  </si>
  <si>
    <t>553</t>
  </si>
  <si>
    <t>DN 20</t>
  </si>
  <si>
    <t>554</t>
  </si>
  <si>
    <t>555</t>
  </si>
  <si>
    <t>větev - Východ 2</t>
  </si>
  <si>
    <t>556</t>
  </si>
  <si>
    <t>557</t>
  </si>
  <si>
    <t>558</t>
  </si>
  <si>
    <t>větev - Západ 1</t>
  </si>
  <si>
    <t>559</t>
  </si>
  <si>
    <t>560</t>
  </si>
  <si>
    <t>561</t>
  </si>
  <si>
    <t>větev - Západ 2</t>
  </si>
  <si>
    <t>562</t>
  </si>
  <si>
    <t>563</t>
  </si>
  <si>
    <t>564</t>
  </si>
  <si>
    <t>větev - Východ dvůr</t>
  </si>
  <si>
    <t>565</t>
  </si>
  <si>
    <t>566</t>
  </si>
  <si>
    <t>567</t>
  </si>
  <si>
    <t>568</t>
  </si>
  <si>
    <t>větev - Byty</t>
  </si>
  <si>
    <t>569</t>
  </si>
  <si>
    <t xml:space="preserve">  DN 15</t>
  </si>
  <si>
    <t>570</t>
  </si>
  <si>
    <t xml:space="preserve">  DN 25</t>
  </si>
  <si>
    <t>571</t>
  </si>
  <si>
    <t>572</t>
  </si>
  <si>
    <t>Kulové kohouty s vypouštěním (DN 10 až DN40) dle půdorysů a schémat</t>
  </si>
  <si>
    <t xml:space="preserve"> ks ∑</t>
  </si>
  <si>
    <t>573</t>
  </si>
  <si>
    <t>574</t>
  </si>
  <si>
    <t>DN 40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</si>
  <si>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</si>
  <si>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</si>
  <si>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</si>
  <si>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</si>
  <si>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</si>
  <si>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</si>
  <si>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</si>
  <si>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</si>
  <si>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</si>
  <si>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</si>
  <si>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</si>
  <si>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</si>
  <si>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</si>
  <si>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</si>
  <si>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</si>
  <si>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</si>
  <si>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</si>
  <si>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</si>
  <si>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</si>
  <si>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</si>
  <si>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</si>
  <si>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</si>
  <si>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</si>
  <si>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</si>
  <si>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</si>
  <si>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</si>
  <si>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</si>
  <si>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</si>
  <si>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</si>
  <si>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</si>
  <si>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 xml:space="preserve"> DN 15</t>
  </si>
  <si>
    <t>605</t>
  </si>
  <si>
    <t xml:space="preserve">  DN 20</t>
  </si>
  <si>
    <t>606</t>
  </si>
  <si>
    <t>607</t>
  </si>
  <si>
    <t>608</t>
  </si>
  <si>
    <t xml:space="preserve">dodávka </t>
  </si>
  <si>
    <t>Šroubení přímé , PN6 - pro montáž závitových armatur</t>
  </si>
  <si>
    <t>609</t>
  </si>
  <si>
    <t>610</t>
  </si>
  <si>
    <t xml:space="preserve">ks  </t>
  </si>
  <si>
    <t>611</t>
  </si>
  <si>
    <t>612</t>
  </si>
  <si>
    <t>DN32</t>
  </si>
  <si>
    <t>613</t>
  </si>
  <si>
    <t>DN40</t>
  </si>
  <si>
    <t>614</t>
  </si>
  <si>
    <t>Termostatická hlavice s pojistkou proti odcizení</t>
  </si>
  <si>
    <t>615</t>
  </si>
  <si>
    <t>616</t>
  </si>
  <si>
    <t>Radiátorový termostatický samoregulační ventil s AFC technologií přímé, nebo rohové (DN 10 až DN32) dle půdorysů a schémat (nastavení 1 až 15)</t>
  </si>
  <si>
    <t>617</t>
  </si>
  <si>
    <t>přímý - DN 10</t>
  </si>
  <si>
    <t>618</t>
  </si>
  <si>
    <t>přímý - DN 15</t>
  </si>
  <si>
    <t>619</t>
  </si>
  <si>
    <t xml:space="preserve"> přímý - DN25</t>
  </si>
  <si>
    <t>620</t>
  </si>
  <si>
    <t>Radiátorový termostatický samoregulační  ventil  s AFC technologií přímé nebo rohové DN10až DN</t>
  </si>
  <si>
    <t>621</t>
  </si>
  <si>
    <t>rohový - DN 10</t>
  </si>
  <si>
    <t>622</t>
  </si>
  <si>
    <t>rohový - DN 15</t>
  </si>
  <si>
    <t>623</t>
  </si>
  <si>
    <r>
      <rPr>
        <sz val="9"/>
        <rFont val="Arial"/>
        <family val="2"/>
      </rPr>
      <t xml:space="preserve">Poznámka :
</t>
    </r>
    <r>
      <rPr>
        <b/>
        <sz val="9"/>
        <rFont val="Arial"/>
        <family val="2"/>
      </rPr>
      <t>Šroubení uzavírací  přímé nebo rohové (DN 10 až DN20) dle půdorysů a schémat (nastavení 0 až 5)</t>
    </r>
  </si>
  <si>
    <t>624</t>
  </si>
  <si>
    <t>Šroubení uzavíratelné s vypouštěním  rohové DN 10</t>
  </si>
  <si>
    <t>625</t>
  </si>
  <si>
    <t>Šroubení uzavíratelné s vypouštěním  rohové DN 15</t>
  </si>
  <si>
    <t>626</t>
  </si>
  <si>
    <t>Šroubení  uzavíratelné s vypouštěním  rohové DN 20</t>
  </si>
  <si>
    <t>627</t>
  </si>
  <si>
    <t xml:space="preserve">Uzavíratelné a regulační šroubení s vypouštěním </t>
  </si>
  <si>
    <t>628</t>
  </si>
  <si>
    <t>Šroubení uzavíratelné s vypouštěním - přímé DN 10</t>
  </si>
  <si>
    <t>629</t>
  </si>
  <si>
    <t>Šroubení  uzavíratelné s vypouštěním - přímé DN 15</t>
  </si>
  <si>
    <t>630</t>
  </si>
  <si>
    <t>Šroubení s uzavíratelné s vypouštěním - přímé DN 20</t>
  </si>
  <si>
    <t>631</t>
  </si>
  <si>
    <t xml:space="preserve">Výměna  dodávka + montáž </t>
  </si>
  <si>
    <t>Růžice krycí 5/4" x 1/4" - +výměna za stávající s odvzdušněním (kompletní provedení)</t>
  </si>
  <si>
    <t>632</t>
  </si>
  <si>
    <t>Ventil odvzdušňovací  pro litinová tělesa 1/4"</t>
  </si>
  <si>
    <t>633</t>
  </si>
  <si>
    <t>734211112/P</t>
  </si>
  <si>
    <t xml:space="preserve">Dtto, avšak montáž </t>
  </si>
  <si>
    <t>634</t>
  </si>
  <si>
    <t>751322811/P</t>
  </si>
  <si>
    <t xml:space="preserve">Dtto, avšak demontáž </t>
  </si>
  <si>
    <t>635</t>
  </si>
  <si>
    <t>Ventil odvzdušňovací  pro 3/8"</t>
  </si>
  <si>
    <t>636</t>
  </si>
  <si>
    <t>734211113/P</t>
  </si>
  <si>
    <t>637</t>
  </si>
  <si>
    <t>638</t>
  </si>
  <si>
    <t>639</t>
  </si>
  <si>
    <t>Montáž termostatické hlavice ručního a termostatického ovládání</t>
  </si>
  <si>
    <t xml:space="preserve">ks </t>
  </si>
  <si>
    <t>640</t>
  </si>
  <si>
    <t>641</t>
  </si>
  <si>
    <t>734291922/P</t>
  </si>
  <si>
    <t>Montáž nových radiátorových ventilů DN10 až DN20, přímých a rohových / kompletní provedení</t>
  </si>
  <si>
    <t>642</t>
  </si>
  <si>
    <t>734291923/P</t>
  </si>
  <si>
    <t>Montáž nových radiátorových uzavíratelných  šroubení DN10 až DN32, přímých a rohových / kompletní provedení</t>
  </si>
  <si>
    <t>643</t>
  </si>
  <si>
    <t>734291924/P</t>
  </si>
  <si>
    <t>Úprava přípojky pro montáž nových radiátorových ventilů DN10 až DN32, přímých a rohových</t>
  </si>
  <si>
    <t>644</t>
  </si>
  <si>
    <t>734190922/P</t>
  </si>
  <si>
    <t>Úprava přípojky pro montáž nových radiátorových šroubení DN10 až DN32,, přímých a rohových/ kompletní provedení</t>
  </si>
  <si>
    <t>645</t>
  </si>
  <si>
    <t>Montáž nových regulačních vyvažovacích ventilů do DN40</t>
  </si>
  <si>
    <t>646</t>
  </si>
  <si>
    <t>734291913/P</t>
  </si>
  <si>
    <t>Montáž nových uzavíracích kohoutů do DN40,</t>
  </si>
  <si>
    <t>647</t>
  </si>
  <si>
    <t xml:space="preserve">Osazení nových připojovacích a odvzdušňovacích  růžic  u stávajících litinových článkových vytápěcích těles s přípojkami do DN20 -dodávka je stávající </t>
  </si>
  <si>
    <t>648</t>
  </si>
  <si>
    <t>998733203/P</t>
  </si>
  <si>
    <t>Přesun hmot procentní pro armatury v objektech v.do              24m - 3,67%</t>
  </si>
  <si>
    <t>649</t>
  </si>
  <si>
    <t>650</t>
  </si>
  <si>
    <t>735191910/P</t>
  </si>
  <si>
    <t>Napuštění vody do otopného systému včetně potrubí (bez kotle a ohříváků), otopných těles a s patronou na úpravu vody</t>
  </si>
  <si>
    <t>651</t>
  </si>
  <si>
    <t>dodávka +montáž</t>
  </si>
  <si>
    <t>Patrony na úpravu vody ks1 +1 náhradní 
pro otopná tělesa+vodorovné a stoupací  potrubí</t>
  </si>
  <si>
    <t>652</t>
  </si>
  <si>
    <t>653</t>
  </si>
  <si>
    <t xml:space="preserve">Demontáže, přesun hmot </t>
  </si>
  <si>
    <t>654</t>
  </si>
  <si>
    <t>734300812/P</t>
  </si>
  <si>
    <t>Demontáž stávajících radiátorových ventilů DN10 až DN20, přímých a rohových</t>
  </si>
  <si>
    <t>655</t>
  </si>
  <si>
    <t>734300822/P</t>
  </si>
  <si>
    <t>Demontáž stávajících radiátorových šroubení DN10 až DN20, přímých a rohových</t>
  </si>
  <si>
    <t>656</t>
  </si>
  <si>
    <t>734300814/P</t>
  </si>
  <si>
    <t>Demontáž stávajících regulačních vyvažovacích ventilů DN15 až DN50, přímých a šikmých</t>
  </si>
  <si>
    <t>657</t>
  </si>
  <si>
    <t>Demontáž stávajících uzavíracích kohoutů a šoupat DN15 až DN50, přímých a šikmých</t>
  </si>
  <si>
    <t>658</t>
  </si>
  <si>
    <t>Demontáž stávajících litinových článkových vytápěcích těles s přípojkami DN20</t>
  </si>
  <si>
    <t>659</t>
  </si>
  <si>
    <t>998734203</t>
  </si>
  <si>
    <t>Přesun hmot procentní pro armatury v do 24m - 0,30%</t>
  </si>
  <si>
    <t>660</t>
  </si>
  <si>
    <t>661</t>
  </si>
  <si>
    <t xml:space="preserve">Dokončovací práce </t>
  </si>
  <si>
    <t>662</t>
  </si>
  <si>
    <t>58030400</t>
  </si>
  <si>
    <t>Tlaková i topná zkouška po jednotlivých větvích a celkového topného systému :  (1930,0+1211,0+7363)m</t>
  </si>
  <si>
    <t>663</t>
  </si>
  <si>
    <t>HZS4211</t>
  </si>
  <si>
    <t>Zkušební provoz  + vyregulování systému</t>
  </si>
  <si>
    <t>664</t>
  </si>
  <si>
    <t>665</t>
  </si>
  <si>
    <t>666</t>
  </si>
  <si>
    <t>Krycí folie na minerální tepelnou izolaci s Al. polepem tl. Izolace 100mm pro potrubí 2xDN200</t>
  </si>
  <si>
    <t>667</t>
  </si>
  <si>
    <t>ISV.8592248027236 / dodávka</t>
  </si>
  <si>
    <t>.</t>
  </si>
  <si>
    <t>.. rohož na hliníkové fólii je vhodná zejména pro izolace potrubí</t>
  </si>
  <si>
    <t>668</t>
  </si>
  <si>
    <t xml:space="preserve">713471121
</t>
  </si>
  <si>
    <t>Montáž tepelné izolace potrubí pásy s Pz pletivem v plechovém pouzdře s patentními uzávěry</t>
  </si>
  <si>
    <t>669</t>
  </si>
  <si>
    <t>Přesun hmot procentní pro izolace tepelné v objektu do 24 m / 2,2%</t>
  </si>
  <si>
    <t>670</t>
  </si>
  <si>
    <t>671</t>
  </si>
  <si>
    <t>800-721</t>
  </si>
  <si>
    <t>672</t>
  </si>
  <si>
    <r>
      <rPr>
        <b/>
        <sz val="9"/>
        <rFont val="Arial"/>
        <family val="2"/>
      </rPr>
      <t xml:space="preserve">Vodovod </t>
    </r>
    <r>
      <rPr>
        <sz val="9"/>
        <rFont val="Arial"/>
        <family val="2"/>
      </rPr>
      <t>- Z trubek ocelových pozinkovaných</t>
    </r>
  </si>
  <si>
    <t>673</t>
  </si>
  <si>
    <t xml:space="preserve">Potrubí vodovodní DN 80 </t>
  </si>
  <si>
    <t>674</t>
  </si>
  <si>
    <t>Zkoušky, proplach a desinfekce vodovodního potrubí</t>
  </si>
  <si>
    <t>675</t>
  </si>
  <si>
    <t>Tlaková zkouška vodovodu do DN 80</t>
  </si>
  <si>
    <t>676</t>
  </si>
  <si>
    <t>Proplach a dezinfekce vodovodu do DN 80</t>
  </si>
  <si>
    <t>677</t>
  </si>
  <si>
    <t>713470001/P</t>
  </si>
  <si>
    <t>izolace potrubí tl. od15 mm DN do 92 mm (dodávka+montáž)</t>
  </si>
  <si>
    <t>678</t>
  </si>
  <si>
    <t>Demontáže</t>
  </si>
  <si>
    <t>679</t>
  </si>
  <si>
    <t>Demontáž ocelového pozinkovaného potrubí do DN 85</t>
  </si>
  <si>
    <t>680</t>
  </si>
  <si>
    <t>722 18-1817</t>
  </si>
  <si>
    <t>Demontáž plstěných pásů z potrubí do DN 150</t>
  </si>
  <si>
    <t>681</t>
  </si>
  <si>
    <t>722 21-1813</t>
  </si>
  <si>
    <t>Demontáž armatur přírubových DN 80</t>
  </si>
  <si>
    <t>682</t>
  </si>
  <si>
    <t>Opravy potrubí</t>
  </si>
  <si>
    <t>683</t>
  </si>
  <si>
    <t>722 13-1938</t>
  </si>
  <si>
    <t xml:space="preserve">propoj dosavadního potrubí DN 80 </t>
  </si>
  <si>
    <t>684</t>
  </si>
  <si>
    <t>Přesun hmot procentní pro vnitřní vodovod v objektech v přes 12 do 24 m . 1,12%</t>
  </si>
  <si>
    <t>685</t>
  </si>
  <si>
    <t xml:space="preserve"> :</t>
  </si>
  <si>
    <t>686</t>
  </si>
  <si>
    <t>687</t>
  </si>
  <si>
    <t>Malby stěn v okolí radiátorů.</t>
  </si>
  <si>
    <t>688</t>
  </si>
  <si>
    <t>Po proplachu a úpravě těles opravit poškozenou malbu stěn. Výmalbu sjednotit s okolní plochou stěn.</t>
  </si>
  <si>
    <t>689</t>
  </si>
  <si>
    <t>výměry : 410ks*3,0m2</t>
  </si>
  <si>
    <t>690</t>
  </si>
  <si>
    <t xml:space="preserve">784111001/P
</t>
  </si>
  <si>
    <t>Oprášení (ometení ) podkladu v místnostech v do 3,80 m</t>
  </si>
  <si>
    <t>691</t>
  </si>
  <si>
    <t>784111031/P</t>
  </si>
  <si>
    <t>Omytí podkladu v místnostech v do 3,80 m</t>
  </si>
  <si>
    <t>692</t>
  </si>
  <si>
    <t xml:space="preserve">784221101/P
</t>
  </si>
  <si>
    <t>Dvojnásobné bílé malby ze směsí za sucha dobře otěruvzdorných v místnostech do 3,80 m</t>
  </si>
  <si>
    <t>693</t>
  </si>
  <si>
    <t xml:space="preserve">784221031/P
</t>
  </si>
  <si>
    <t>Příplatek k cenám 1x maleb za sucha otěruvzdorných za provádění pl do 5 m2</t>
  </si>
  <si>
    <t>694</t>
  </si>
  <si>
    <t xml:space="preserve">
619996145/P</t>
  </si>
  <si>
    <t>Ochrana radiátorů před znečištěním malbou netkanou geotextilii  výměra : 410ks*2m</t>
  </si>
  <si>
    <t>695</t>
  </si>
  <si>
    <t>696</t>
  </si>
  <si>
    <t>697</t>
  </si>
  <si>
    <t>Nátěry litinových článkových radiátorů a potrubí</t>
  </si>
  <si>
    <t>698</t>
  </si>
  <si>
    <t>Ometení článkových otopných těles před provedením nátěru</t>
  </si>
  <si>
    <t>699</t>
  </si>
  <si>
    <t>Odmaštění litinových otopných těles odmašťovačem vodou ředitelným před provedením nátěru</t>
  </si>
  <si>
    <t>700</t>
  </si>
  <si>
    <t>Tmelení článkových otopných těles disperzním tmelem</t>
  </si>
  <si>
    <t>701</t>
  </si>
  <si>
    <t>výměra z 50% (výměra : 1930,24*50%)</t>
  </si>
  <si>
    <t>702</t>
  </si>
  <si>
    <t>Základní jednonásobný akrylátový nátěr litinových otopných těles</t>
  </si>
  <si>
    <t>703</t>
  </si>
  <si>
    <t>Krycí dvojnásobný akrylátový nátěr článkových otopných těles</t>
  </si>
  <si>
    <t>704</t>
  </si>
  <si>
    <t>Odmaštění ředidlovým odmašťovačem potrubí ;  
výměra : (1211,0+7363,0)m</t>
  </si>
  <si>
    <t>705</t>
  </si>
  <si>
    <t xml:space="preserve">Základní jednonásobný akrylátový nátěr potrubí </t>
  </si>
  <si>
    <t>706</t>
  </si>
  <si>
    <t>Krycí dvojnásobný akrylátový tepelně odolný nátěr potrubí DN do 50 mm</t>
  </si>
  <si>
    <t>707</t>
  </si>
  <si>
    <t>708</t>
  </si>
  <si>
    <t xml:space="preserve">Vedlejší rozpočtové náklady  </t>
  </si>
  <si>
    <t>709</t>
  </si>
  <si>
    <t>Provozní zařízení ve dvoře</t>
  </si>
  <si>
    <t>710</t>
  </si>
  <si>
    <t>Hygienické zázemí a sklad v budově</t>
  </si>
  <si>
    <t>711</t>
  </si>
  <si>
    <t>712</t>
  </si>
  <si>
    <t>Dopravní značení na staveništi</t>
  </si>
  <si>
    <t>713</t>
  </si>
  <si>
    <t>Opatření na ochranu sousedních pozemků  se staveništěm (oplocení+ ochranné zábrany)</t>
  </si>
  <si>
    <t>714</t>
  </si>
  <si>
    <t>Informační tabule na staveništi</t>
  </si>
  <si>
    <t>715</t>
  </si>
  <si>
    <t>Rozebrání, bourání a odvoz zařízení staveniště</t>
  </si>
  <si>
    <t>celek</t>
  </si>
  <si>
    <t>716</t>
  </si>
  <si>
    <t>Ostatní náklady</t>
  </si>
  <si>
    <t>717</t>
  </si>
  <si>
    <t>09100300</t>
  </si>
  <si>
    <t>Výrobní dokumentace</t>
  </si>
  <si>
    <t>718</t>
  </si>
  <si>
    <t>Dokumentace skutečného provedení</t>
  </si>
  <si>
    <t>719</t>
  </si>
  <si>
    <t>091003000</t>
  </si>
  <si>
    <t>Požární dohled dle vyhlášky 87/2000 Sb.</t>
  </si>
  <si>
    <t>720</t>
  </si>
  <si>
    <t>094104000</t>
  </si>
  <si>
    <t>Náklady na opatření BOZP</t>
  </si>
  <si>
    <t>721</t>
  </si>
  <si>
    <t xml:space="preserve">Náklady na veškerý úklid na staveništi uvnitř i vně během zhotovování díla bude prováděný pravidelně a konečný 
úklid před přejímkou. Odvozy prováděné pravidelně zbylých hmot a odpadků během zhotovování díla a dle potřeby. </t>
  </si>
  <si>
    <t>722</t>
  </si>
  <si>
    <t xml:space="preserve"> Náklady na zhotovení, předložení a odstranění použitých vzorků materiálů a kvality práce pro zhotovení díla, předepsané zkoušky a atesty podle příslušných předpisů, norem pro prokázání bezchybné funkce díla.</t>
  </si>
  <si>
    <t>723</t>
  </si>
  <si>
    <t>Odvoz  demontovaných hmot   do 1 km se složením do Kovošrotu (sběrné suroviny)</t>
  </si>
  <si>
    <t>724</t>
  </si>
  <si>
    <t>Příplatek k odvozu  demontovaných hmot se složením do Kovošrotu (sběrné suroviny) ZKD 1 km/12,50Kč  přes 1 km (25km)</t>
  </si>
  <si>
    <t>1025</t>
  </si>
  <si>
    <t>1026</t>
  </si>
  <si>
    <t>1027</t>
  </si>
  <si>
    <t>1028</t>
  </si>
  <si>
    <t>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</si>
</sst>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"/>
    <numFmt numFmtId="167" formatCode="#,##0.000"/>
    <numFmt numFmtId="168" formatCode="#,##0&quot; Kč&quot;;[Red]\-#,##0&quot; Kč&quot;"/>
    <numFmt numFmtId="169" formatCode="#,##0.00&quot; Kč&quot;;[Red]\-#,##0.00&quot; Kč&quot;"/>
    <numFmt numFmtId="170" formatCode="_ * #,##0_ ;_ * \-#,##0_ ;_ * \-_ ;_ @_ "/>
    <numFmt numFmtId="171" formatCode="_ * #,##0.00_ ;_ * \-#,##0.00_ ;_ * \-??_ ;_ @_ "/>
    <numFmt numFmtId="172" formatCode="_-* #,##0_-;\-* #,##0_-;_-* \-_-;_-@_-"/>
    <numFmt numFmtId="173" formatCode="_-* #,##0.00_-;\-* #,##0.00_-;_-* \-??_-;_-@_-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\Ł* #,##0_-;&quot;-Ł&quot;* #,##0_-;_-\Ł* \-_-;_-@_-"/>
    <numFmt numFmtId="177" formatCode="_-\Ł* #,##0.00_-;&quot;-Ł&quot;* #,##0.00_-;_-\Ł* \-??_-;_-@_-"/>
    <numFmt numFmtId="178" formatCode="0.0000"/>
    <numFmt numFmtId="179" formatCode="0.000"/>
    <numFmt numFmtId="180" formatCode="#,##0.00\ _K_č"/>
    <numFmt numFmtId="181" formatCode="#,##0.0\ _K_č"/>
    <numFmt numFmtId="182" formatCode="#,##0.0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Times New Roman CE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color indexed="12"/>
      <name val="Arial CE"/>
      <family val="2"/>
    </font>
    <font>
      <b/>
      <sz val="24"/>
      <name val="Tahoma"/>
      <family val="2"/>
    </font>
    <font>
      <sz val="10"/>
      <color indexed="16"/>
      <name val="Arial CE"/>
      <family val="2"/>
    </font>
    <font>
      <sz val="8"/>
      <color indexed="8"/>
      <name val=".HelveticaLightTTE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4"/>
      <name val="Tahoma"/>
      <family val="2"/>
    </font>
    <font>
      <b/>
      <sz val="14"/>
      <name val="Arial CE"/>
      <family val="2"/>
    </font>
    <font>
      <sz val="9"/>
      <name val="Calibri"/>
      <family val="2"/>
    </font>
    <font>
      <sz val="1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49" fontId="2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2" borderId="0" applyProtection="0">
      <alignment/>
    </xf>
    <xf numFmtId="0" fontId="7" fillId="3" borderId="0" applyProtection="0">
      <alignment/>
    </xf>
    <xf numFmtId="0" fontId="7" fillId="3" borderId="0" applyProtection="0">
      <alignment/>
    </xf>
    <xf numFmtId="0" fontId="7" fillId="3" borderId="0" applyProtection="0">
      <alignment/>
    </xf>
    <xf numFmtId="168" fontId="1" fillId="0" borderId="0" applyFill="0" applyBorder="0" applyAlignment="0" applyProtection="0"/>
    <xf numFmtId="6" fontId="29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168" fontId="1" fillId="0" borderId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 applyFill="0" applyBorder="0" applyAlignment="0" applyProtection="0"/>
    <xf numFmtId="8" fontId="29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69" fontId="1" fillId="0" borderId="0" applyFill="0" applyBorder="0" applyAlignment="0" applyProtection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7" fillId="3" borderId="0" applyProtection="0">
      <alignment/>
    </xf>
    <xf numFmtId="0" fontId="7" fillId="3" borderId="0" applyProtection="0">
      <alignment/>
    </xf>
    <xf numFmtId="0" fontId="7" fillId="3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49" fontId="4" fillId="0" borderId="1">
      <alignment/>
      <protection/>
    </xf>
    <xf numFmtId="168" fontId="1" fillId="0" borderId="0" applyFill="0" applyBorder="0" applyAlignment="0" applyProtection="0"/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49" fontId="4" fillId="0" borderId="2">
      <alignment/>
      <protection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1" fontId="6" fillId="0" borderId="3" applyAlignment="0">
      <protection/>
    </xf>
    <xf numFmtId="0" fontId="1" fillId="0" borderId="0" applyNumberFormat="0" applyFill="0" applyBorder="0" applyAlignment="0">
      <protection/>
    </xf>
    <xf numFmtId="0" fontId="14" fillId="0" borderId="4" applyNumberFormat="0" applyFill="0" applyAlignment="0" applyProtection="0"/>
    <xf numFmtId="38" fontId="1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30" fillId="18" borderId="5">
      <alignment horizontal="center"/>
      <protection locked="0"/>
    </xf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2" fillId="18" borderId="5">
      <alignment horizontal="center"/>
      <protection locked="0"/>
    </xf>
    <xf numFmtId="0" fontId="15" fillId="19" borderId="6" applyNumberFormat="0" applyAlignment="0" applyProtection="0"/>
    <xf numFmtId="0" fontId="33" fillId="0" borderId="7" applyNumberFormat="0" applyFont="0" applyFill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18" borderId="8">
      <alignment/>
      <protection locked="0"/>
    </xf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4" fillId="20" borderId="12">
      <alignment horizontal="centerContinuous"/>
      <protection locked="0"/>
    </xf>
    <xf numFmtId="0" fontId="34" fillId="20" borderId="12">
      <alignment horizontal="center"/>
      <protection locked="0"/>
    </xf>
    <xf numFmtId="4" fontId="35" fillId="18" borderId="13">
      <alignment/>
      <protection/>
    </xf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2" fillId="0" borderId="0" applyAlignment="0">
      <protection locked="0"/>
    </xf>
    <xf numFmtId="0" fontId="4" fillId="0" borderId="0">
      <alignment/>
      <protection/>
    </xf>
    <xf numFmtId="0" fontId="36" fillId="0" borderId="0">
      <alignment/>
      <protection/>
    </xf>
    <xf numFmtId="0" fontId="30" fillId="18" borderId="14">
      <alignment/>
      <protection locked="0"/>
    </xf>
    <xf numFmtId="0" fontId="1" fillId="22" borderId="15" applyNumberFormat="0" applyFont="0" applyAlignment="0" applyProtection="0"/>
    <xf numFmtId="0" fontId="21" fillId="0" borderId="16" applyNumberFormat="0" applyFill="0" applyAlignment="0" applyProtection="0"/>
    <xf numFmtId="1" fontId="4" fillId="0" borderId="0">
      <alignment horizontal="center" vertical="center"/>
      <protection locked="0"/>
    </xf>
    <xf numFmtId="0" fontId="22" fillId="6" borderId="0" applyNumberFormat="0" applyBorder="0" applyAlignment="0" applyProtection="0"/>
    <xf numFmtId="0" fontId="29" fillId="0" borderId="0">
      <alignment/>
      <protection/>
    </xf>
    <xf numFmtId="0" fontId="9" fillId="23" borderId="0">
      <alignment horizontal="left"/>
      <protection/>
    </xf>
    <xf numFmtId="0" fontId="37" fillId="23" borderId="0">
      <alignment/>
      <protection/>
    </xf>
    <xf numFmtId="0" fontId="8" fillId="0" borderId="0">
      <alignment/>
      <protection/>
    </xf>
    <xf numFmtId="4" fontId="34" fillId="20" borderId="17">
      <alignment horizontal="right" vertical="center"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166" fontId="7" fillId="0" borderId="1">
      <alignment horizontal="right" vertical="center"/>
      <protection/>
    </xf>
    <xf numFmtId="0" fontId="24" fillId="9" borderId="18" applyNumberFormat="0" applyAlignment="0" applyProtection="0"/>
    <xf numFmtId="0" fontId="25" fillId="24" borderId="18" applyNumberFormat="0" applyAlignment="0" applyProtection="0"/>
    <xf numFmtId="0" fontId="26" fillId="24" borderId="19" applyNumberFormat="0" applyAlignment="0" applyProtection="0"/>
    <xf numFmtId="0" fontId="27" fillId="0" borderId="0" applyNumberFormat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4" fillId="0" borderId="0">
      <alignment/>
      <protection/>
    </xf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9" fillId="2" borderId="0" applyProtection="0">
      <alignment/>
    </xf>
    <xf numFmtId="44" fontId="0" fillId="0" borderId="0" applyFont="0" applyFill="0" applyBorder="0" applyAlignment="0" applyProtection="0"/>
  </cellStyleXfs>
  <cellXfs count="244">
    <xf numFmtId="0" fontId="0" fillId="0" borderId="0" xfId="0"/>
    <xf numFmtId="0" fontId="39" fillId="0" borderId="0" xfId="0" applyFont="1" applyAlignment="1">
      <alignment wrapText="1"/>
    </xf>
    <xf numFmtId="17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80" fontId="1" fillId="0" borderId="0" xfId="200" applyNumberFormat="1" applyFont="1" applyAlignment="1">
      <alignment wrapText="1"/>
      <protection/>
    </xf>
    <xf numFmtId="179" fontId="7" fillId="0" borderId="0" xfId="0" applyNumberFormat="1" applyFont="1" applyAlignment="1">
      <alignment wrapText="1"/>
    </xf>
    <xf numFmtId="179" fontId="7" fillId="0" borderId="0" xfId="0" applyNumberFormat="1" applyFont="1" applyAlignment="1">
      <alignment horizontal="center" wrapText="1"/>
    </xf>
    <xf numFmtId="179" fontId="1" fillId="0" borderId="0" xfId="0" applyNumberFormat="1" applyFont="1" applyAlignment="1">
      <alignment horizontal="right" wrapText="1"/>
    </xf>
    <xf numFmtId="179" fontId="7" fillId="0" borderId="0" xfId="0" applyNumberFormat="1" applyFont="1" applyAlignment="1">
      <alignment horizontal="center" vertical="center" wrapText="1"/>
    </xf>
    <xf numFmtId="179" fontId="1" fillId="0" borderId="0" xfId="200" applyNumberFormat="1" applyFont="1" applyAlignment="1">
      <alignment wrapText="1"/>
      <protection/>
    </xf>
    <xf numFmtId="178" fontId="1" fillId="0" borderId="0" xfId="200" applyNumberFormat="1" applyFont="1" applyAlignment="1">
      <alignment horizontal="right" wrapText="1"/>
      <protection/>
    </xf>
    <xf numFmtId="178" fontId="7" fillId="0" borderId="0" xfId="200" applyNumberFormat="1" applyFont="1" applyAlignment="1">
      <alignment horizontal="center" vertical="center" wrapText="1"/>
      <protection/>
    </xf>
    <xf numFmtId="178" fontId="1" fillId="0" borderId="0" xfId="200" applyNumberFormat="1" applyFont="1" applyAlignment="1">
      <alignment horizontal="center" wrapText="1"/>
      <protection/>
    </xf>
    <xf numFmtId="179" fontId="1" fillId="0" borderId="0" xfId="200" applyNumberFormat="1" applyFont="1" applyAlignment="1">
      <alignment horizontal="left" vertical="top" wrapText="1"/>
      <protection/>
    </xf>
    <xf numFmtId="179" fontId="1" fillId="0" borderId="0" xfId="0" applyNumberFormat="1" applyFont="1"/>
    <xf numFmtId="167" fontId="1" fillId="0" borderId="0" xfId="0" applyNumberFormat="1" applyFont="1" applyAlignment="1">
      <alignment wrapText="1"/>
    </xf>
    <xf numFmtId="178" fontId="1" fillId="0" borderId="0" xfId="0" applyNumberFormat="1" applyFont="1" applyAlignment="1">
      <alignment horizontal="right" wrapText="1"/>
    </xf>
    <xf numFmtId="179" fontId="1" fillId="0" borderId="0" xfId="238" applyNumberFormat="1" applyFont="1" applyAlignment="1" applyProtection="1">
      <alignment horizontal="left" vertical="top" wrapText="1"/>
      <protection locked="0"/>
    </xf>
    <xf numFmtId="179" fontId="41" fillId="0" borderId="0" xfId="238" applyNumberFormat="1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>
      <alignment wrapText="1"/>
    </xf>
    <xf numFmtId="179" fontId="40" fillId="0" borderId="0" xfId="0" applyNumberFormat="1" applyFont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7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79" fontId="1" fillId="0" borderId="0" xfId="0" applyNumberFormat="1" applyFont="1" applyAlignment="1">
      <alignment horizontal="left" vertical="top"/>
    </xf>
    <xf numFmtId="179" fontId="40" fillId="0" borderId="0" xfId="0" applyNumberFormat="1" applyFont="1" applyAlignment="1">
      <alignment wrapText="1"/>
    </xf>
    <xf numFmtId="165" fontId="40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0" borderId="0" xfId="200" applyFont="1" applyAlignment="1">
      <alignment horizontal="left" vertical="top" wrapText="1"/>
      <protection/>
    </xf>
    <xf numFmtId="49" fontId="1" fillId="0" borderId="0" xfId="200" applyNumberFormat="1" applyFont="1" applyAlignment="1">
      <alignment horizontal="left" vertical="top" wrapText="1"/>
      <protection/>
    </xf>
    <xf numFmtId="0" fontId="5" fillId="0" borderId="0" xfId="200" applyFont="1" applyAlignment="1">
      <alignment horizontal="center" wrapText="1"/>
      <protection/>
    </xf>
    <xf numFmtId="0" fontId="6" fillId="0" borderId="0" xfId="200" applyFont="1" applyAlignment="1">
      <alignment horizontal="center" vertical="center" wrapText="1"/>
      <protection/>
    </xf>
    <xf numFmtId="4" fontId="40" fillId="0" borderId="0" xfId="200" applyNumberFormat="1" applyFont="1" applyAlignment="1">
      <alignment horizontal="right" wrapText="1"/>
      <protection/>
    </xf>
    <xf numFmtId="0" fontId="5" fillId="0" borderId="0" xfId="200" applyFont="1" applyAlignment="1">
      <alignment horizontal="left" wrapText="1"/>
      <protection/>
    </xf>
    <xf numFmtId="0" fontId="40" fillId="0" borderId="0" xfId="200" applyFont="1" applyAlignment="1">
      <alignment wrapText="1"/>
      <protection/>
    </xf>
    <xf numFmtId="0" fontId="40" fillId="0" borderId="0" xfId="200" applyFont="1" applyAlignment="1">
      <alignment horizontal="left" vertical="top" wrapText="1"/>
      <protection/>
    </xf>
    <xf numFmtId="0" fontId="40" fillId="0" borderId="0" xfId="200" applyFont="1" applyAlignment="1">
      <alignment horizontal="left" wrapText="1"/>
      <protection/>
    </xf>
    <xf numFmtId="0" fontId="40" fillId="0" borderId="0" xfId="0" applyFont="1" applyAlignment="1">
      <alignment horizontal="left" wrapText="1"/>
    </xf>
    <xf numFmtId="0" fontId="40" fillId="0" borderId="0" xfId="200" applyFont="1" applyAlignment="1">
      <alignment horizontal="left" vertical="center" wrapText="1"/>
      <protection/>
    </xf>
    <xf numFmtId="0" fontId="40" fillId="0" borderId="0" xfId="0" applyFont="1"/>
    <xf numFmtId="4" fontId="40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wrapText="1"/>
    </xf>
    <xf numFmtId="4" fontId="40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40" fillId="0" borderId="0" xfId="236" applyFont="1" applyAlignment="1">
      <alignment horizontal="left" wrapText="1"/>
      <protection/>
    </xf>
    <xf numFmtId="0" fontId="40" fillId="0" borderId="0" xfId="0" applyFont="1" applyAlignment="1">
      <alignment vertical="top" wrapText="1"/>
    </xf>
    <xf numFmtId="49" fontId="40" fillId="0" borderId="0" xfId="200" applyNumberFormat="1" applyFont="1" applyAlignment="1">
      <alignment horizontal="left" vertical="top" wrapText="1"/>
      <protection/>
    </xf>
    <xf numFmtId="0" fontId="5" fillId="0" borderId="0" xfId="200" applyFont="1" applyAlignment="1">
      <alignment horizontal="center" vertical="center" wrapText="1"/>
      <protection/>
    </xf>
    <xf numFmtId="0" fontId="40" fillId="0" borderId="0" xfId="200" applyFont="1" applyAlignment="1">
      <alignment vertical="center" wrapText="1"/>
      <protection/>
    </xf>
    <xf numFmtId="4" fontId="5" fillId="0" borderId="0" xfId="200" applyNumberFormat="1" applyFont="1" applyAlignment="1">
      <alignment vertical="center" wrapText="1"/>
      <protection/>
    </xf>
    <xf numFmtId="4" fontId="5" fillId="0" borderId="0" xfId="200" applyNumberFormat="1" applyFont="1" applyAlignment="1">
      <alignment horizontal="right" wrapText="1"/>
      <protection/>
    </xf>
    <xf numFmtId="0" fontId="6" fillId="0" borderId="0" xfId="200" applyFont="1" applyAlignment="1">
      <alignment horizontal="left" vertical="center" wrapText="1"/>
      <protection/>
    </xf>
    <xf numFmtId="4" fontId="40" fillId="0" borderId="0" xfId="200" applyNumberFormat="1" applyFont="1" applyAlignment="1">
      <alignment wrapText="1"/>
      <protection/>
    </xf>
    <xf numFmtId="49" fontId="1" fillId="0" borderId="0" xfId="200" applyNumberFormat="1" applyFont="1" applyAlignment="1">
      <alignment horizontal="center" vertical="top" wrapText="1"/>
      <protection/>
    </xf>
    <xf numFmtId="0" fontId="6" fillId="0" borderId="0" xfId="200" applyFont="1" applyAlignment="1">
      <alignment horizontal="left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40" fillId="0" borderId="0" xfId="200" applyNumberFormat="1" applyFont="1" applyAlignment="1">
      <alignment horizontal="center" vertical="center" wrapText="1"/>
      <protection/>
    </xf>
    <xf numFmtId="0" fontId="40" fillId="0" borderId="0" xfId="200" applyFont="1" applyAlignment="1">
      <alignment horizontal="right" wrapText="1"/>
      <protection/>
    </xf>
    <xf numFmtId="0" fontId="6" fillId="0" borderId="0" xfId="200" applyFont="1" applyAlignment="1">
      <alignment vertical="center" wrapText="1"/>
      <protection/>
    </xf>
    <xf numFmtId="0" fontId="6" fillId="0" borderId="0" xfId="200" applyFont="1" applyAlignment="1">
      <alignment horizontal="right" vertical="top" wrapText="1"/>
      <protection/>
    </xf>
    <xf numFmtId="0" fontId="1" fillId="0" borderId="0" xfId="200" applyFont="1" applyAlignment="1">
      <alignment horizontal="left" vertical="top" wrapText="1"/>
      <protection/>
    </xf>
    <xf numFmtId="0" fontId="39" fillId="0" borderId="0" xfId="200" applyFont="1" applyAlignment="1">
      <alignment horizontal="left" vertical="top" wrapText="1"/>
      <protection/>
    </xf>
    <xf numFmtId="0" fontId="5" fillId="0" borderId="0" xfId="200" applyFont="1" applyAlignment="1">
      <alignment horizontal="center" vertical="top" wrapText="1"/>
      <protection/>
    </xf>
    <xf numFmtId="0" fontId="45" fillId="0" borderId="0" xfId="200" applyFont="1" applyAlignment="1">
      <alignment horizontal="center" vertical="center" wrapText="1"/>
      <protection/>
    </xf>
    <xf numFmtId="4" fontId="5" fillId="0" borderId="0" xfId="200" applyNumberFormat="1" applyFont="1" applyAlignment="1">
      <alignment horizontal="center" vertical="top" wrapText="1"/>
      <protection/>
    </xf>
    <xf numFmtId="4" fontId="40" fillId="0" borderId="0" xfId="200" applyNumberFormat="1" applyFont="1" applyAlignment="1">
      <alignment horizontal="center" vertical="top" wrapText="1"/>
      <protection/>
    </xf>
    <xf numFmtId="4" fontId="40" fillId="0" borderId="0" xfId="200" applyNumberFormat="1" applyFont="1" applyAlignment="1">
      <alignment horizontal="center" wrapText="1"/>
      <protection/>
    </xf>
    <xf numFmtId="4" fontId="40" fillId="0" borderId="0" xfId="200" applyNumberFormat="1" applyFont="1" applyAlignment="1">
      <alignment horizontal="right" vertical="top" wrapText="1"/>
      <protection/>
    </xf>
    <xf numFmtId="0" fontId="40" fillId="0" borderId="0" xfId="0" applyFont="1" applyAlignment="1">
      <alignment vertical="center" wrapText="1"/>
    </xf>
    <xf numFmtId="0" fontId="5" fillId="0" borderId="0" xfId="200" applyFont="1" applyAlignment="1">
      <alignment horizontal="left" vertical="top" wrapText="1"/>
      <protection/>
    </xf>
    <xf numFmtId="49" fontId="6" fillId="0" borderId="0" xfId="200" applyNumberFormat="1" applyFont="1" applyAlignment="1">
      <alignment horizontal="center" vertical="center" wrapText="1"/>
      <protection/>
    </xf>
    <xf numFmtId="2" fontId="5" fillId="0" borderId="0" xfId="200" applyNumberFormat="1" applyFont="1" applyAlignment="1">
      <alignment horizontal="right" wrapText="1"/>
      <protection/>
    </xf>
    <xf numFmtId="4" fontId="5" fillId="0" borderId="0" xfId="200" applyNumberFormat="1" applyFont="1" applyAlignment="1">
      <alignment horizontal="left" wrapText="1"/>
      <protection/>
    </xf>
    <xf numFmtId="2" fontId="5" fillId="0" borderId="0" xfId="200" applyNumberFormat="1" applyFont="1" applyAlignment="1">
      <alignment horizontal="left" vertical="top" wrapText="1"/>
      <protection/>
    </xf>
    <xf numFmtId="4" fontId="5" fillId="0" borderId="0" xfId="200" applyNumberFormat="1" applyFont="1" applyAlignment="1">
      <alignment horizontal="center" vertical="center" wrapText="1"/>
      <protection/>
    </xf>
    <xf numFmtId="2" fontId="5" fillId="0" borderId="0" xfId="200" applyNumberFormat="1" applyFont="1" applyAlignment="1">
      <alignment horizontal="center" vertical="top" wrapText="1"/>
      <protection/>
    </xf>
    <xf numFmtId="4" fontId="5" fillId="0" borderId="0" xfId="200" applyNumberFormat="1" applyFont="1" applyAlignment="1">
      <alignment horizontal="center" wrapText="1"/>
      <protection/>
    </xf>
    <xf numFmtId="49" fontId="5" fillId="0" borderId="0" xfId="200" applyNumberFormat="1" applyFont="1" applyAlignment="1">
      <alignment horizontal="center" vertical="top" wrapText="1"/>
      <protection/>
    </xf>
    <xf numFmtId="2" fontId="5" fillId="0" borderId="0" xfId="200" applyNumberFormat="1" applyFont="1" applyAlignment="1">
      <alignment horizontal="center" vertical="center" wrapText="1"/>
      <protection/>
    </xf>
    <xf numFmtId="2" fontId="45" fillId="0" borderId="0" xfId="200" applyNumberFormat="1" applyFont="1" applyAlignment="1">
      <alignment horizontal="left" vertical="top" wrapText="1"/>
      <protection/>
    </xf>
    <xf numFmtId="2" fontId="6" fillId="0" borderId="0" xfId="200" applyNumberFormat="1" applyFont="1" applyAlignment="1">
      <alignment horizontal="left" vertical="top" wrapText="1"/>
      <protection/>
    </xf>
    <xf numFmtId="49" fontId="7" fillId="0" borderId="0" xfId="200" applyNumberFormat="1" applyFont="1" applyAlignment="1">
      <alignment horizontal="center" vertical="top" wrapText="1"/>
      <protection/>
    </xf>
    <xf numFmtId="4" fontId="40" fillId="0" borderId="0" xfId="200" applyNumberFormat="1" applyFont="1" applyAlignment="1">
      <alignment horizontal="left" wrapText="1"/>
      <protection/>
    </xf>
    <xf numFmtId="44" fontId="40" fillId="0" borderId="0" xfId="270" applyFont="1" applyFill="1" applyAlignment="1" applyProtection="1">
      <alignment horizontal="left" vertical="top" wrapText="1"/>
      <protection/>
    </xf>
    <xf numFmtId="2" fontId="45" fillId="0" borderId="0" xfId="200" applyNumberFormat="1" applyFont="1" applyAlignment="1">
      <alignment horizontal="left" wrapText="1"/>
      <protection/>
    </xf>
    <xf numFmtId="2" fontId="45" fillId="0" borderId="0" xfId="200" applyNumberFormat="1" applyFont="1" applyAlignment="1">
      <alignment wrapText="1"/>
      <protection/>
    </xf>
    <xf numFmtId="49" fontId="40" fillId="0" borderId="0" xfId="200" applyNumberFormat="1" applyFont="1" applyAlignment="1">
      <alignment horizontal="center" vertical="top" wrapText="1"/>
      <protection/>
    </xf>
    <xf numFmtId="2" fontId="40" fillId="0" borderId="0" xfId="200" applyNumberFormat="1" applyFont="1" applyAlignment="1">
      <alignment horizontal="left" vertical="top" wrapText="1"/>
      <protection/>
    </xf>
    <xf numFmtId="2" fontId="45" fillId="0" borderId="0" xfId="200" applyNumberFormat="1" applyFont="1" applyAlignment="1">
      <alignment horizontal="center" vertical="center" wrapText="1"/>
      <protection/>
    </xf>
    <xf numFmtId="4" fontId="5" fillId="0" borderId="0" xfId="200" applyNumberFormat="1" applyFont="1" applyAlignment="1">
      <alignment wrapText="1"/>
      <protection/>
    </xf>
    <xf numFmtId="3" fontId="6" fillId="0" borderId="0" xfId="0" applyNumberFormat="1" applyFont="1" applyAlignment="1">
      <alignment horizontal="center" vertical="center" wrapText="1"/>
    </xf>
    <xf numFmtId="4" fontId="40" fillId="0" borderId="0" xfId="237" applyNumberFormat="1" applyFont="1" applyAlignment="1">
      <alignment wrapText="1"/>
      <protection/>
    </xf>
    <xf numFmtId="0" fontId="6" fillId="0" borderId="0" xfId="237" applyFont="1" applyAlignment="1">
      <alignment horizontal="center" vertical="center" wrapText="1"/>
      <protection/>
    </xf>
    <xf numFmtId="4" fontId="40" fillId="0" borderId="0" xfId="237" applyNumberFormat="1" applyFont="1" applyAlignment="1">
      <alignment horizontal="right" wrapText="1"/>
      <protection/>
    </xf>
    <xf numFmtId="0" fontId="5" fillId="0" borderId="0" xfId="0" applyFont="1" applyAlignment="1">
      <alignment horizontal="center" vertical="center" wrapText="1"/>
    </xf>
    <xf numFmtId="4" fontId="40" fillId="0" borderId="0" xfId="237" applyNumberFormat="1" applyFont="1" applyAlignment="1">
      <alignment vertical="center" wrapText="1"/>
      <protection/>
    </xf>
    <xf numFmtId="182" fontId="40" fillId="0" borderId="0" xfId="237" applyNumberFormat="1" applyFont="1" applyAlignment="1">
      <alignment horizontal="center" wrapText="1"/>
      <protection/>
    </xf>
    <xf numFmtId="49" fontId="6" fillId="0" borderId="0" xfId="0" applyNumberFormat="1" applyFont="1" applyAlignment="1">
      <alignment horizontal="left" vertical="top" wrapText="1"/>
    </xf>
    <xf numFmtId="0" fontId="5" fillId="0" borderId="0" xfId="237" applyFont="1" applyAlignment="1">
      <alignment horizontal="left" wrapText="1"/>
      <protection/>
    </xf>
    <xf numFmtId="0" fontId="5" fillId="0" borderId="0" xfId="237" applyFont="1" applyAlignment="1">
      <alignment horizontal="center" wrapText="1"/>
      <protection/>
    </xf>
    <xf numFmtId="0" fontId="40" fillId="0" borderId="0" xfId="0" applyFont="1" applyAlignment="1">
      <alignment horizontal="justify" wrapText="1"/>
    </xf>
    <xf numFmtId="49" fontId="40" fillId="0" borderId="0" xfId="0" applyNumberFormat="1" applyFont="1" applyAlignment="1">
      <alignment horizontal="left" vertical="top" wrapText="1"/>
    </xf>
    <xf numFmtId="182" fontId="40" fillId="0" borderId="0" xfId="237" applyNumberFormat="1" applyFont="1" applyAlignment="1">
      <alignment wrapText="1"/>
      <protection/>
    </xf>
    <xf numFmtId="4" fontId="40" fillId="0" borderId="0" xfId="0" applyNumberFormat="1" applyFont="1" applyAlignment="1">
      <alignment wrapText="1"/>
    </xf>
    <xf numFmtId="0" fontId="40" fillId="0" borderId="0" xfId="237" applyFont="1" applyAlignment="1">
      <alignment horizontal="left" vertical="top" wrapText="1"/>
      <protection/>
    </xf>
    <xf numFmtId="3" fontId="6" fillId="0" borderId="0" xfId="0" applyNumberFormat="1" applyFont="1" applyAlignment="1">
      <alignment horizontal="left" vertical="top" wrapText="1"/>
    </xf>
    <xf numFmtId="4" fontId="40" fillId="0" borderId="0" xfId="237" applyNumberFormat="1" applyFont="1" applyAlignment="1">
      <alignment horizontal="left" vertical="top" wrapText="1"/>
      <protection/>
    </xf>
    <xf numFmtId="0" fontId="5" fillId="0" borderId="0" xfId="237" applyFont="1" applyAlignment="1">
      <alignment horizontal="center" vertical="center" wrapText="1"/>
      <protection/>
    </xf>
    <xf numFmtId="4" fontId="40" fillId="0" borderId="0" xfId="237" applyNumberFormat="1" applyFont="1" applyAlignment="1">
      <alignment horizontal="center" vertical="center" wrapText="1"/>
      <protection/>
    </xf>
    <xf numFmtId="4" fontId="40" fillId="0" borderId="0" xfId="237" applyNumberFormat="1" applyFont="1" applyAlignment="1">
      <alignment horizontal="center" wrapText="1"/>
      <protection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4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justify" wrapText="1"/>
    </xf>
    <xf numFmtId="0" fontId="40" fillId="0" borderId="0" xfId="0" applyFont="1" applyAlignment="1">
      <alignment horizontal="left" vertical="center" wrapText="1"/>
    </xf>
    <xf numFmtId="4" fontId="5" fillId="0" borderId="0" xfId="237" applyNumberFormat="1" applyFont="1" applyAlignment="1">
      <alignment wrapText="1"/>
      <protection/>
    </xf>
    <xf numFmtId="0" fontId="40" fillId="0" borderId="0" xfId="237" applyFont="1" applyAlignment="1">
      <alignment horizontal="left" wrapText="1"/>
      <protection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7" fontId="40" fillId="0" borderId="0" xfId="200" applyNumberFormat="1" applyFont="1" applyAlignment="1">
      <alignment horizontal="center" wrapText="1"/>
      <protection/>
    </xf>
    <xf numFmtId="0" fontId="6" fillId="0" borderId="0" xfId="238" applyFont="1" applyAlignment="1" applyProtection="1">
      <alignment horizontal="left" vertical="top" wrapText="1"/>
      <protection/>
    </xf>
    <xf numFmtId="49" fontId="1" fillId="0" borderId="0" xfId="238" applyNumberFormat="1" applyFont="1" applyAlignment="1" applyProtection="1">
      <alignment horizontal="left" vertical="top" wrapText="1"/>
      <protection/>
    </xf>
    <xf numFmtId="0" fontId="40" fillId="0" borderId="0" xfId="234" applyFont="1" applyAlignment="1">
      <alignment horizontal="left" wrapText="1"/>
      <protection/>
    </xf>
    <xf numFmtId="0" fontId="6" fillId="0" borderId="0" xfId="238" applyFont="1" applyAlignment="1" applyProtection="1">
      <alignment horizontal="center" vertical="center" wrapText="1"/>
      <protection/>
    </xf>
    <xf numFmtId="4" fontId="5" fillId="0" borderId="0" xfId="238" applyNumberFormat="1" applyFont="1" applyAlignment="1" applyProtection="1">
      <alignment horizontal="left" vertical="top"/>
      <protection/>
    </xf>
    <xf numFmtId="3" fontId="6" fillId="0" borderId="0" xfId="238" applyNumberFormat="1" applyFont="1" applyAlignment="1" applyProtection="1">
      <alignment horizontal="left" vertical="top" wrapText="1"/>
      <protection/>
    </xf>
    <xf numFmtId="0" fontId="40" fillId="0" borderId="0" xfId="238" applyFont="1" applyAlignment="1" applyProtection="1">
      <alignment horizontal="left" vertical="top" wrapText="1"/>
      <protection/>
    </xf>
    <xf numFmtId="4" fontId="40" fillId="0" borderId="0" xfId="238" applyNumberFormat="1" applyFont="1" applyAlignment="1" applyProtection="1">
      <alignment horizontal="right" vertical="top"/>
      <protection/>
    </xf>
    <xf numFmtId="0" fontId="5" fillId="0" borderId="0" xfId="234" applyFont="1" applyAlignment="1">
      <alignment horizontal="left" wrapText="1"/>
      <protection/>
    </xf>
    <xf numFmtId="0" fontId="42" fillId="0" borderId="0" xfId="238" applyFont="1" applyAlignment="1" applyProtection="1">
      <alignment horizontal="left" vertical="top" wrapText="1"/>
      <protection/>
    </xf>
    <xf numFmtId="0" fontId="44" fillId="0" borderId="0" xfId="238" applyFont="1" applyAlignment="1" applyProtection="1">
      <alignment horizontal="center" vertical="center" wrapText="1"/>
      <protection/>
    </xf>
    <xf numFmtId="4" fontId="42" fillId="0" borderId="0" xfId="238" applyNumberFormat="1" applyFont="1" applyAlignment="1" applyProtection="1">
      <alignment horizontal="right" vertical="top"/>
      <protection/>
    </xf>
    <xf numFmtId="182" fontId="40" fillId="0" borderId="0" xfId="238" applyNumberFormat="1" applyFont="1" applyAlignment="1" applyProtection="1">
      <alignment horizontal="right"/>
      <protection/>
    </xf>
    <xf numFmtId="0" fontId="5" fillId="0" borderId="0" xfId="200" applyFont="1" applyAlignment="1">
      <alignment horizontal="left" vertical="center" wrapText="1"/>
      <protection/>
    </xf>
    <xf numFmtId="0" fontId="40" fillId="0" borderId="0" xfId="236" applyFont="1" applyAlignment="1">
      <alignment horizontal="left" vertical="top" wrapText="1"/>
      <protection/>
    </xf>
    <xf numFmtId="0" fontId="6" fillId="0" borderId="0" xfId="200" applyFont="1" applyAlignment="1">
      <alignment horizontal="center" vertical="top" wrapText="1"/>
      <protection/>
    </xf>
    <xf numFmtId="4" fontId="40" fillId="0" borderId="0" xfId="200" applyNumberFormat="1" applyFont="1" applyAlignment="1">
      <alignment vertical="top" wrapText="1"/>
      <protection/>
    </xf>
    <xf numFmtId="0" fontId="5" fillId="0" borderId="0" xfId="0" applyFont="1" applyAlignment="1">
      <alignment horizontal="center" vertical="top" wrapText="1"/>
    </xf>
    <xf numFmtId="49" fontId="1" fillId="0" borderId="0" xfId="200" applyNumberFormat="1" applyFont="1" applyAlignment="1">
      <alignment horizontal="left" wrapText="1"/>
      <protection/>
    </xf>
    <xf numFmtId="0" fontId="40" fillId="0" borderId="0" xfId="200" applyFont="1" applyAlignment="1">
      <alignment vertical="top" wrapText="1"/>
      <protection/>
    </xf>
    <xf numFmtId="49" fontId="6" fillId="0" borderId="0" xfId="0" applyNumberFormat="1" applyFont="1" applyAlignment="1">
      <alignment horizontal="left" wrapText="1"/>
    </xf>
    <xf numFmtId="3" fontId="4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center" wrapText="1"/>
    </xf>
    <xf numFmtId="3" fontId="6" fillId="0" borderId="0" xfId="237" applyNumberFormat="1" applyFont="1" applyAlignment="1">
      <alignment horizontal="center" vertical="center" wrapText="1"/>
      <protection/>
    </xf>
    <xf numFmtId="4" fontId="40" fillId="0" borderId="0" xfId="173" applyNumberFormat="1" applyFont="1" applyFill="1" applyAlignment="1" applyProtection="1">
      <alignment horizontal="center" wrapText="1"/>
      <protection/>
    </xf>
    <xf numFmtId="0" fontId="40" fillId="0" borderId="0" xfId="237" applyFont="1" applyAlignment="1">
      <alignment wrapText="1"/>
      <protection/>
    </xf>
    <xf numFmtId="4" fontId="40" fillId="0" borderId="0" xfId="235" applyNumberFormat="1" applyFont="1" applyAlignment="1">
      <alignment vertical="center" wrapText="1"/>
      <protection/>
    </xf>
    <xf numFmtId="0" fontId="7" fillId="0" borderId="0" xfId="237" applyFont="1" applyAlignment="1">
      <alignment horizontal="center" vertical="top" wrapText="1"/>
      <protection/>
    </xf>
    <xf numFmtId="1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4" fontId="43" fillId="0" borderId="0" xfId="0" applyNumberFormat="1" applyFont="1"/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  <xf numFmtId="167" fontId="43" fillId="0" borderId="0" xfId="0" applyNumberFormat="1" applyFont="1" applyAlignment="1">
      <alignment wrapText="1"/>
    </xf>
    <xf numFmtId="180" fontId="43" fillId="0" borderId="0" xfId="200" applyNumberFormat="1" applyFont="1" applyAlignment="1">
      <alignment wrapText="1"/>
      <protection/>
    </xf>
    <xf numFmtId="179" fontId="43" fillId="0" borderId="0" xfId="173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 horizontal="left" vertical="center"/>
    </xf>
    <xf numFmtId="180" fontId="40" fillId="0" borderId="0" xfId="0" applyNumberFormat="1" applyFont="1" applyAlignment="1">
      <alignment wrapText="1"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Alignment="1">
      <alignment vertical="center" wrapText="1"/>
    </xf>
    <xf numFmtId="180" fontId="40" fillId="0" borderId="0" xfId="200" applyNumberFormat="1" applyFont="1" applyAlignment="1">
      <alignment wrapText="1"/>
      <protection/>
    </xf>
    <xf numFmtId="3" fontId="5" fillId="0" borderId="0" xfId="0" applyNumberFormat="1" applyFont="1" applyAlignment="1">
      <alignment wrapText="1"/>
    </xf>
    <xf numFmtId="3" fontId="5" fillId="0" borderId="0" xfId="0" applyNumberFormat="1" applyFont="1"/>
    <xf numFmtId="180" fontId="40" fillId="0" borderId="0" xfId="0" applyNumberFormat="1" applyFont="1"/>
    <xf numFmtId="180" fontId="40" fillId="0" borderId="2" xfId="0" applyNumberFormat="1" applyFont="1" applyBorder="1" applyAlignment="1">
      <alignment horizontal="center" vertical="center" wrapText="1"/>
    </xf>
    <xf numFmtId="3" fontId="5" fillId="0" borderId="0" xfId="200" applyNumberFormat="1" applyFont="1" applyAlignment="1">
      <alignment vertical="center" wrapText="1"/>
      <protection/>
    </xf>
    <xf numFmtId="180" fontId="5" fillId="0" borderId="0" xfId="200" applyNumberFormat="1" applyFont="1" applyAlignment="1">
      <alignment wrapText="1"/>
      <protection/>
    </xf>
    <xf numFmtId="180" fontId="5" fillId="0" borderId="0" xfId="200" applyNumberFormat="1" applyFont="1" applyAlignment="1">
      <alignment vertical="top" wrapText="1"/>
      <protection/>
    </xf>
    <xf numFmtId="180" fontId="40" fillId="0" borderId="0" xfId="200" applyNumberFormat="1" applyFont="1" applyAlignment="1">
      <alignment horizontal="center" vertical="center" wrapText="1"/>
      <protection/>
    </xf>
    <xf numFmtId="180" fontId="40" fillId="0" borderId="0" xfId="200" applyNumberFormat="1" applyFont="1" applyAlignment="1">
      <alignment vertical="top" wrapText="1"/>
      <protection/>
    </xf>
    <xf numFmtId="3" fontId="5" fillId="0" borderId="0" xfId="173" applyNumberFormat="1" applyFont="1" applyFill="1" applyBorder="1" applyAlignment="1" applyProtection="1">
      <alignment horizontal="center" wrapText="1"/>
      <protection/>
    </xf>
    <xf numFmtId="180" fontId="5" fillId="0" borderId="0" xfId="173" applyNumberFormat="1" applyFont="1" applyFill="1" applyBorder="1" applyAlignment="1" applyProtection="1">
      <alignment horizontal="center" wrapText="1"/>
      <protection/>
    </xf>
    <xf numFmtId="180" fontId="40" fillId="0" borderId="0" xfId="0" applyNumberFormat="1" applyFont="1" applyAlignment="1">
      <alignment horizontal="right" wrapText="1"/>
    </xf>
    <xf numFmtId="180" fontId="5" fillId="0" borderId="0" xfId="237" applyNumberFormat="1" applyFont="1" applyAlignment="1">
      <alignment wrapText="1"/>
      <protection/>
    </xf>
    <xf numFmtId="180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left" vertical="top" wrapText="1"/>
    </xf>
    <xf numFmtId="180" fontId="40" fillId="0" borderId="0" xfId="0" applyNumberFormat="1" applyFont="1" applyAlignment="1">
      <alignment horizontal="left" vertical="top" wrapText="1"/>
    </xf>
    <xf numFmtId="3" fontId="40" fillId="0" borderId="0" xfId="200" applyNumberFormat="1" applyFont="1" applyAlignment="1">
      <alignment wrapText="1"/>
      <protection/>
    </xf>
    <xf numFmtId="180" fontId="5" fillId="0" borderId="0" xfId="238" applyNumberFormat="1" applyFont="1" applyAlignment="1" applyProtection="1">
      <alignment horizontal="right"/>
      <protection/>
    </xf>
    <xf numFmtId="180" fontId="40" fillId="0" borderId="0" xfId="238" applyNumberFormat="1" applyFont="1" applyAlignment="1" applyProtection="1">
      <alignment horizontal="right" vertical="top"/>
      <protection/>
    </xf>
    <xf numFmtId="180" fontId="40" fillId="0" borderId="0" xfId="200" applyNumberFormat="1" applyFont="1" applyAlignment="1">
      <alignment horizontal="right" wrapText="1"/>
      <protection/>
    </xf>
    <xf numFmtId="181" fontId="5" fillId="0" borderId="0" xfId="200" applyNumberFormat="1" applyFont="1" applyAlignment="1">
      <alignment horizontal="center" wrapText="1"/>
      <protection/>
    </xf>
    <xf numFmtId="4" fontId="40" fillId="0" borderId="0" xfId="0" applyNumberFormat="1" applyFont="1" applyAlignment="1" applyProtection="1">
      <alignment horizontal="center" wrapText="1"/>
      <protection locked="0"/>
    </xf>
    <xf numFmtId="4" fontId="5" fillId="0" borderId="0" xfId="0" applyNumberFormat="1" applyFont="1" applyAlignment="1" applyProtection="1">
      <alignment wrapText="1"/>
      <protection locked="0"/>
    </xf>
    <xf numFmtId="4" fontId="40" fillId="0" borderId="0" xfId="200" applyNumberFormat="1" applyFont="1" applyAlignment="1" applyProtection="1">
      <alignment horizontal="center" wrapText="1"/>
      <protection locked="0"/>
    </xf>
    <xf numFmtId="4" fontId="40" fillId="0" borderId="0" xfId="0" applyNumberFormat="1" applyFont="1" applyAlignment="1" applyProtection="1">
      <alignment horizontal="center" vertical="center" wrapText="1"/>
      <protection locked="0"/>
    </xf>
    <xf numFmtId="4" fontId="40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40" fillId="0" borderId="0" xfId="200" applyNumberFormat="1" applyFont="1" applyAlignment="1" applyProtection="1">
      <alignment vertical="center" wrapText="1"/>
      <protection locked="0"/>
    </xf>
    <xf numFmtId="4" fontId="40" fillId="0" borderId="0" xfId="200" applyNumberFormat="1" applyFont="1" applyAlignment="1" applyProtection="1">
      <alignment horizontal="center" vertical="center" wrapText="1"/>
      <protection locked="0"/>
    </xf>
    <xf numFmtId="4" fontId="40" fillId="0" borderId="0" xfId="200" applyNumberFormat="1" applyFont="1" applyAlignment="1" applyProtection="1">
      <alignment horizontal="center" vertical="top" wrapText="1"/>
      <protection locked="0"/>
    </xf>
    <xf numFmtId="4" fontId="5" fillId="0" borderId="0" xfId="200" applyNumberFormat="1" applyFont="1" applyAlignment="1" applyProtection="1">
      <alignment horizontal="center" vertical="top" wrapText="1"/>
      <protection locked="0"/>
    </xf>
    <xf numFmtId="4" fontId="5" fillId="0" borderId="0" xfId="200" applyNumberFormat="1" applyFont="1" applyAlignment="1" applyProtection="1">
      <alignment horizontal="center" wrapText="1"/>
      <protection locked="0"/>
    </xf>
    <xf numFmtId="4" fontId="40" fillId="0" borderId="0" xfId="173" applyNumberFormat="1" applyFont="1" applyFill="1" applyBorder="1" applyAlignment="1" applyProtection="1">
      <alignment horizontal="center" wrapText="1"/>
      <protection locked="0"/>
    </xf>
    <xf numFmtId="4" fontId="40" fillId="0" borderId="0" xfId="235" applyNumberFormat="1" applyFont="1" applyAlignment="1" applyProtection="1">
      <alignment horizontal="center" wrapText="1"/>
      <protection locked="0"/>
    </xf>
    <xf numFmtId="4" fontId="40" fillId="0" borderId="0" xfId="235" applyNumberFormat="1" applyFont="1" applyAlignment="1" applyProtection="1">
      <alignment horizontal="center" vertical="center" wrapText="1"/>
      <protection locked="0"/>
    </xf>
    <xf numFmtId="2" fontId="38" fillId="0" borderId="0" xfId="235" applyNumberFormat="1" applyFont="1" applyAlignment="1" applyProtection="1">
      <alignment horizontal="center" vertical="center" wrapText="1"/>
      <protection locked="0"/>
    </xf>
    <xf numFmtId="4" fontId="40" fillId="0" borderId="0" xfId="0" applyNumberFormat="1" applyFont="1" applyAlignment="1" applyProtection="1">
      <alignment horizontal="left" vertical="top" wrapText="1"/>
      <protection locked="0"/>
    </xf>
    <xf numFmtId="4" fontId="5" fillId="0" borderId="0" xfId="238" applyNumberFormat="1" applyFont="1" applyAlignment="1" applyProtection="1">
      <alignment horizontal="center" vertical="top"/>
      <protection locked="0"/>
    </xf>
    <xf numFmtId="4" fontId="40" fillId="0" borderId="0" xfId="238" applyNumberFormat="1" applyFont="1" applyAlignment="1" applyProtection="1">
      <alignment horizontal="center" vertical="top"/>
      <protection locked="0"/>
    </xf>
    <xf numFmtId="4" fontId="42" fillId="0" borderId="0" xfId="238" applyNumberFormat="1" applyFont="1" applyAlignment="1" applyProtection="1">
      <alignment horizontal="center" vertical="top"/>
      <protection locked="0"/>
    </xf>
    <xf numFmtId="4" fontId="40" fillId="0" borderId="0" xfId="238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2" fontId="38" fillId="0" borderId="0" xfId="0" applyNumberFormat="1" applyFont="1" applyAlignment="1" applyProtection="1">
      <alignment horizontal="center" wrapText="1"/>
      <protection locked="0"/>
    </xf>
    <xf numFmtId="4" fontId="38" fillId="0" borderId="0" xfId="0" applyNumberFormat="1" applyFont="1" applyAlignment="1" applyProtection="1">
      <alignment horizontal="center" wrapText="1"/>
      <protection locked="0"/>
    </xf>
    <xf numFmtId="2" fontId="38" fillId="0" borderId="0" xfId="200" applyNumberFormat="1" applyFont="1" applyAlignment="1" applyProtection="1">
      <alignment horizontal="right" wrapText="1"/>
      <protection locked="0"/>
    </xf>
    <xf numFmtId="2" fontId="38" fillId="0" borderId="0" xfId="200" applyNumberFormat="1" applyFont="1" applyAlignment="1" applyProtection="1">
      <alignment horizontal="center" wrapText="1"/>
      <protection locked="0"/>
    </xf>
    <xf numFmtId="4" fontId="5" fillId="0" borderId="0" xfId="173" applyNumberFormat="1" applyFont="1" applyFill="1" applyAlignment="1" applyProtection="1">
      <alignment horizontal="center" wrapText="1"/>
      <protection locked="0"/>
    </xf>
  </cellXfs>
  <cellStyles count="2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9_bur_kanali" xfId="23"/>
    <cellStyle name="_5230_RD Kunratice - sklípek_rozpočet_09_bur_podlažní_vestavby" xfId="24"/>
    <cellStyle name="_5230_RD Kunratice - sklípek_rozpočet_09_buri_malby" xfId="25"/>
    <cellStyle name="_5230_RD Kunratice - sklípek_rozpočet_09_buri_regaly" xfId="26"/>
    <cellStyle name="_5230_RD Kunratice - sklípek_rozpočet_09-13-zbytek" xfId="27"/>
    <cellStyle name="_5230_RD Kunratice - sklípek_rozpočet_09-17" xfId="28"/>
    <cellStyle name="_5230_RD Kunratice - sklípek_rozpočet_09-20" xfId="29"/>
    <cellStyle name="_Dostavba školy Nymburk_Celková rekapitulace" xfId="30"/>
    <cellStyle name="_Dostavba školy Nymburk_Celková rekapitulace_002_08_4914_002_01_09_17_002Technicka_specifikace_2etapa" xfId="31"/>
    <cellStyle name="_Dostavba školy Nymburk_Celková rekapitulace_09_bur_kanali" xfId="32"/>
    <cellStyle name="_Dostavba školy Nymburk_Celková rekapitulace_09_bur_podlažní_vestavby" xfId="33"/>
    <cellStyle name="_Dostavba školy Nymburk_Celková rekapitulace_09_buri_malby" xfId="34"/>
    <cellStyle name="_Dostavba školy Nymburk_Celková rekapitulace_09_buri_regaly" xfId="35"/>
    <cellStyle name="_Dostavba školy Nymburk_Celková rekapitulace_09-13-zbytek" xfId="36"/>
    <cellStyle name="_Dostavba školy Nymburk_Celková rekapitulace_09-17" xfId="37"/>
    <cellStyle name="_Dostavba školy Nymburk_Celková rekapitulace_09-20" xfId="38"/>
    <cellStyle name="_Dostavba školy Nymburk_Celková rekapitulace_SO 05 interiér propočet" xfId="39"/>
    <cellStyle name="_Dostavba školy Nymburk_Celková rekapitulace_SO 05 střecha propočet" xfId="40"/>
    <cellStyle name="_Dostavba školy Nymburk_Celková rekapitulace_SO 05 vzduchové sanační úpravy propočet" xfId="41"/>
    <cellStyle name="_Ladronka_2_VV-DVD_kontrola_FINAL" xfId="42"/>
    <cellStyle name="_Ladronka_2_VV-DVD_kontrola_FINAL_002_08_4914_002_01_09_17_002Technicka_specifikace_2etapa" xfId="43"/>
    <cellStyle name="_Ladronka_2_VV-DVD_kontrola_FINAL_09-13-zbytek" xfId="44"/>
    <cellStyle name="_Ladronka_2_VV-DVD_kontrola_FINAL_09-17" xfId="45"/>
    <cellStyle name="_Ladronka_2_VV-DVD_kontrola_FINAL_SO 05 interiér propočet" xfId="46"/>
    <cellStyle name="_Ladronka_2_VV-DVD_kontrola_FINAL_SO 05 střecha propočet" xfId="47"/>
    <cellStyle name="_Ladronka_2_VV-DVD_kontrola_FINAL_SO 05 vzduchové sanační úpravy propočet" xfId="48"/>
    <cellStyle name="_PERSONAL" xfId="49"/>
    <cellStyle name="_PERSONAL_002_08_4914_002_01_09_17_002Technicka_specifikace_2etapa" xfId="50"/>
    <cellStyle name="_PERSONAL_09_bur_kanali" xfId="51"/>
    <cellStyle name="_PERSONAL_09_bur_podlažní_vestavby" xfId="52"/>
    <cellStyle name="_PERSONAL_09_buri_malby" xfId="53"/>
    <cellStyle name="_PERSONAL_09_buri_regaly" xfId="54"/>
    <cellStyle name="_PERSONAL_09-13-zbytek" xfId="55"/>
    <cellStyle name="_PERSONAL_09-17" xfId="56"/>
    <cellStyle name="_PERSONAL_09-20" xfId="57"/>
    <cellStyle name="_PERSONAL_1" xfId="58"/>
    <cellStyle name="_PERSONAL_1_002_08_4914_002_01_09_17_002Technicka_specifikace_2etapa" xfId="59"/>
    <cellStyle name="_PERSONAL_1_09_bur_kanali" xfId="60"/>
    <cellStyle name="_PERSONAL_1_09_bur_podlažní_vestavby" xfId="61"/>
    <cellStyle name="_PERSONAL_1_09_buri_malby" xfId="62"/>
    <cellStyle name="_PERSONAL_1_09_buri_regaly" xfId="63"/>
    <cellStyle name="_PERSONAL_1_09-13-zbytek" xfId="64"/>
    <cellStyle name="_PERSONAL_1_09-17" xfId="65"/>
    <cellStyle name="_PERSONAL_1_09-20" xfId="66"/>
    <cellStyle name="_PERSONAL_1_SO 05 interiér propočet" xfId="67"/>
    <cellStyle name="_PERSONAL_1_SO 05 střecha propočet" xfId="68"/>
    <cellStyle name="_PERSONAL_1_SO 05 vzduchové sanační úpravy propočet" xfId="69"/>
    <cellStyle name="_PERSONAL_SO 05 interiér propočet" xfId="70"/>
    <cellStyle name="_PERSONAL_SO 05 střecha propočet" xfId="71"/>
    <cellStyle name="_PERSONAL_SO 05 vzduchové sanační úpravy propočet" xfId="72"/>
    <cellStyle name="_Q-Sadovky-výkaz-2003-07-01" xfId="73"/>
    <cellStyle name="_Q-Sadovky-výkaz-2003-07-01_002_08_4914_002_01_09_17_002Technicka_specifikace_2etapa" xfId="74"/>
    <cellStyle name="_Q-Sadovky-výkaz-2003-07-01_09-13-zbytek" xfId="75"/>
    <cellStyle name="_Q-Sadovky-výkaz-2003-07-01_09-17" xfId="76"/>
    <cellStyle name="_Q-Sadovky-výkaz-2003-07-01_1" xfId="77"/>
    <cellStyle name="_Q-Sadovky-výkaz-2003-07-01_1_002_08_4914_002_01_09_17_002Technicka_specifikace_2etapa" xfId="78"/>
    <cellStyle name="_Q-Sadovky-výkaz-2003-07-01_1_09_bur_kanali" xfId="79"/>
    <cellStyle name="_Q-Sadovky-výkaz-2003-07-01_1_09_bur_podlažní_vestavby" xfId="80"/>
    <cellStyle name="_Q-Sadovky-výkaz-2003-07-01_1_09_buri_malby" xfId="81"/>
    <cellStyle name="_Q-Sadovky-výkaz-2003-07-01_1_09_buri_regaly" xfId="82"/>
    <cellStyle name="_Q-Sadovky-výkaz-2003-07-01_1_09-13-zbytek" xfId="83"/>
    <cellStyle name="_Q-Sadovky-výkaz-2003-07-01_1_09-17" xfId="84"/>
    <cellStyle name="_Q-Sadovky-výkaz-2003-07-01_1_09-20" xfId="85"/>
    <cellStyle name="_Q-Sadovky-výkaz-2003-07-01_1_SO 05 interiér propočet" xfId="86"/>
    <cellStyle name="_Q-Sadovky-výkaz-2003-07-01_1_SO 05 střecha propočet" xfId="87"/>
    <cellStyle name="_Q-Sadovky-výkaz-2003-07-01_1_SO 05 vzduchové sanační úpravy propočet" xfId="88"/>
    <cellStyle name="_Q-Sadovky-výkaz-2003-07-01_2" xfId="89"/>
    <cellStyle name="_Q-Sadovky-výkaz-2003-07-01_2_002_08_4914_002_01_09_17_002Technicka_specifikace_2etapa" xfId="90"/>
    <cellStyle name="_Q-Sadovky-výkaz-2003-07-01_2_002_08_4914_002_01_09_17_002Technicka_specifikace_2etapa 2" xfId="91"/>
    <cellStyle name="_Q-Sadovky-výkaz-2003-07-01_2_09_bur_kanali" xfId="92"/>
    <cellStyle name="_Q-Sadovky-výkaz-2003-07-01_2_09_bur_podlažní_vestavby" xfId="93"/>
    <cellStyle name="_Q-Sadovky-výkaz-2003-07-01_2_09_buri_malby" xfId="94"/>
    <cellStyle name="_Q-Sadovky-výkaz-2003-07-01_2_09_buri_regaly" xfId="95"/>
    <cellStyle name="_Q-Sadovky-výkaz-2003-07-01_2_09-13-zbytek" xfId="96"/>
    <cellStyle name="_Q-Sadovky-výkaz-2003-07-01_2_09-13-zbytek 2" xfId="97"/>
    <cellStyle name="_Q-Sadovky-výkaz-2003-07-01_2_09-17" xfId="98"/>
    <cellStyle name="_Q-Sadovky-výkaz-2003-07-01_2_09-17 2" xfId="99"/>
    <cellStyle name="_Q-Sadovky-výkaz-2003-07-01_2_09-20" xfId="100"/>
    <cellStyle name="_Q-Sadovky-výkaz-2003-07-01_2_SO 05 interiér propočet" xfId="101"/>
    <cellStyle name="_Q-Sadovky-výkaz-2003-07-01_2_SO 05 interiér propočet 2" xfId="102"/>
    <cellStyle name="_Q-Sadovky-výkaz-2003-07-01_2_SO 05 střecha propočet" xfId="103"/>
    <cellStyle name="_Q-Sadovky-výkaz-2003-07-01_2_SO 05 střecha propočet 2" xfId="104"/>
    <cellStyle name="_Q-Sadovky-výkaz-2003-07-01_2_SO 05 vzduchové sanační úpravy propočet" xfId="105"/>
    <cellStyle name="_Q-Sadovky-výkaz-2003-07-01_2_SO 05 vzduchové sanační úpravy propočet 2" xfId="106"/>
    <cellStyle name="_Q-Sadovky-výkaz-2003-07-01_3" xfId="107"/>
    <cellStyle name="_Q-Sadovky-výkaz-2003-07-01_3_002_08_4914_002_01_09_17_002Technicka_specifikace_2etapa" xfId="108"/>
    <cellStyle name="_Q-Sadovky-výkaz-2003-07-01_3_09_bur_kanali" xfId="109"/>
    <cellStyle name="_Q-Sadovky-výkaz-2003-07-01_3_09_bur_podlažní_vestavby" xfId="110"/>
    <cellStyle name="_Q-Sadovky-výkaz-2003-07-01_3_09_buri_malby" xfId="111"/>
    <cellStyle name="_Q-Sadovky-výkaz-2003-07-01_3_09_buri_regaly" xfId="112"/>
    <cellStyle name="_Q-Sadovky-výkaz-2003-07-01_3_09-13-zbytek" xfId="113"/>
    <cellStyle name="_Q-Sadovky-výkaz-2003-07-01_3_09-17" xfId="114"/>
    <cellStyle name="_Q-Sadovky-výkaz-2003-07-01_3_09-20" xfId="115"/>
    <cellStyle name="_Q-Sadovky-výkaz-2003-07-01_3_SO 05 interiér propočet" xfId="116"/>
    <cellStyle name="_Q-Sadovky-výkaz-2003-07-01_3_SO 05 střecha propočet" xfId="117"/>
    <cellStyle name="_Q-Sadovky-výkaz-2003-07-01_3_SO 05 vzduchové sanační úpravy propočet" xfId="118"/>
    <cellStyle name="_Q-Sadovky-výkaz-2003-07-01_SO 05 interiér propočet" xfId="119"/>
    <cellStyle name="_Q-Sadovky-výkaz-2003-07-01_SO 05 střecha propočet" xfId="120"/>
    <cellStyle name="_Q-Sadovky-výkaz-2003-07-01_SO 05 vzduchové sanační úpravy propočet" xfId="121"/>
    <cellStyle name="_Rekonstrukce rozvaděčů I P Pavlova_RO" xfId="122"/>
    <cellStyle name="_SROV Nám Míru - HOFA" xfId="123"/>
    <cellStyle name="_Titulní list" xfId="124"/>
    <cellStyle name="_Titulní list_002_08_4914_002_01_09_17_002Technicka_specifikace_2etapa" xfId="125"/>
    <cellStyle name="_Titulní list_09_bur_kanali" xfId="126"/>
    <cellStyle name="_Titulní list_09_bur_podlažní_vestavby" xfId="127"/>
    <cellStyle name="_Titulní list_09_buri_malby" xfId="128"/>
    <cellStyle name="_Titulní list_09_buri_regaly" xfId="129"/>
    <cellStyle name="_Titulní list_09-13-zbytek" xfId="130"/>
    <cellStyle name="_Titulní list_09-17" xfId="131"/>
    <cellStyle name="_Titulní list_09-20" xfId="132"/>
    <cellStyle name="_Titulní list_SO 05 interiér propočet" xfId="133"/>
    <cellStyle name="_Titulní list_SO 05 střecha propočet" xfId="134"/>
    <cellStyle name="_Titulní list_SO 05 vzduchové sanační úpravy propočet" xfId="135"/>
    <cellStyle name="_ZTI_rozpočet" xfId="136"/>
    <cellStyle name="_ZTI_rozpočet_002_08_4914_002_01_09_17_002Technicka_specifikace_2etapa" xfId="137"/>
    <cellStyle name="_ZTI_rozpočet_09-13-zbytek" xfId="138"/>
    <cellStyle name="_ZTI_rozpočet_09-17" xfId="139"/>
    <cellStyle name="_ZTI_rozpočet_SO 05 interiér propočet" xfId="140"/>
    <cellStyle name="_ZTI_rozpočet_SO 05 střecha propočet" xfId="141"/>
    <cellStyle name="_ZTI_rozpočet_SO 05 vzduchové sanační úpravy propočet" xfId="142"/>
    <cellStyle name="1" xfId="143"/>
    <cellStyle name="1 000 Kč_ELEKTRO doplněné K PŘEDÁNÍ-  MŠ Přímětická" xfId="144"/>
    <cellStyle name="1_002_08_4914_002_01_09_17_002Technicka_specifikace_2etapa" xfId="145"/>
    <cellStyle name="1_09-13-zbytek" xfId="146"/>
    <cellStyle name="1_09-17" xfId="147"/>
    <cellStyle name="1_SO 05 interiér propočet" xfId="148"/>
    <cellStyle name="1_SO 05 střecha propočet" xfId="149"/>
    <cellStyle name="1_SO 05 vzduchové sanační úpravy propočet" xfId="150"/>
    <cellStyle name="20 % – Zvýraznění1 2" xfId="151"/>
    <cellStyle name="20 % – Zvýraznění2 2" xfId="152"/>
    <cellStyle name="20 % – Zvýraznění3 2" xfId="153"/>
    <cellStyle name="20 % – Zvýraznění4 2" xfId="154"/>
    <cellStyle name="20 % – Zvýraznění5 2" xfId="155"/>
    <cellStyle name="20 % – Zvýraznění6 2" xfId="156"/>
    <cellStyle name="40 % – Zvýraznění1 2" xfId="157"/>
    <cellStyle name="40 % – Zvýraznění2 2" xfId="158"/>
    <cellStyle name="40 % – Zvýraznění3 2" xfId="159"/>
    <cellStyle name="40 % – Zvýraznění4 2" xfId="160"/>
    <cellStyle name="40 % – Zvýraznění5 2" xfId="161"/>
    <cellStyle name="40 % – Zvýraznění6 2" xfId="162"/>
    <cellStyle name="60 % – Zvýraznění1 2" xfId="163"/>
    <cellStyle name="60 % – Zvýraznění2 2" xfId="164"/>
    <cellStyle name="60 % – Zvýraznění3 2" xfId="165"/>
    <cellStyle name="60 % – Zvýraznění4 2" xfId="166"/>
    <cellStyle name="60 % – Zvýraznění5 2" xfId="167"/>
    <cellStyle name="60 % – Zvýraznění6 2" xfId="168"/>
    <cellStyle name="cárkyd" xfId="169"/>
    <cellStyle name="cary" xfId="170"/>
    <cellStyle name="Celkem 2" xfId="171"/>
    <cellStyle name="čárky [0]_ELEKTRO doplněné K PŘEDÁNÍ-  MŠ Přímětická" xfId="172"/>
    <cellStyle name="čárky 2" xfId="173"/>
    <cellStyle name="čárky 3" xfId="174"/>
    <cellStyle name="číslo" xfId="175"/>
    <cellStyle name="Dezimal [0]_Tabelle1" xfId="176"/>
    <cellStyle name="Dezimal_Tabelle1" xfId="177"/>
    <cellStyle name="Dziesiętny [0]_laroux" xfId="178"/>
    <cellStyle name="Dziesiętny_laroux" xfId="179"/>
    <cellStyle name="Excel Built-in Normal" xfId="180"/>
    <cellStyle name="Firma" xfId="181"/>
    <cellStyle name="Hlavní nadpis" xfId="182"/>
    <cellStyle name="Jednotka" xfId="183"/>
    <cellStyle name="Kontrolní buňka 2" xfId="184"/>
    <cellStyle name="lehký dolní okraj" xfId="185"/>
    <cellStyle name="Měna 2" xfId="186"/>
    <cellStyle name="Měna 2 2" xfId="187"/>
    <cellStyle name="měny 2" xfId="188"/>
    <cellStyle name="množství" xfId="189"/>
    <cellStyle name="Nadpis 1 2" xfId="190"/>
    <cellStyle name="Nadpis 2 2" xfId="191"/>
    <cellStyle name="Nadpis 3 2" xfId="192"/>
    <cellStyle name="Nadpis 4 2" xfId="193"/>
    <cellStyle name="Nadpis1" xfId="194"/>
    <cellStyle name="Nadpis1 1" xfId="195"/>
    <cellStyle name="Naklady" xfId="196"/>
    <cellStyle name="Název 2" xfId="197"/>
    <cellStyle name="Neutrální 2" xfId="198"/>
    <cellStyle name="Normální 10" xfId="199"/>
    <cellStyle name="normální 11" xfId="200"/>
    <cellStyle name="normální 11 2" xfId="201"/>
    <cellStyle name="normální 12" xfId="202"/>
    <cellStyle name="normální 12 2" xfId="203"/>
    <cellStyle name="Normální 13" xfId="204"/>
    <cellStyle name="normální 13 2" xfId="205"/>
    <cellStyle name="Normální 14" xfId="206"/>
    <cellStyle name="normální 14 2" xfId="207"/>
    <cellStyle name="Normální 15" xfId="208"/>
    <cellStyle name="normální 15 2" xfId="209"/>
    <cellStyle name="normální 16" xfId="210"/>
    <cellStyle name="normální 17" xfId="211"/>
    <cellStyle name="normální 18" xfId="212"/>
    <cellStyle name="normální 19" xfId="213"/>
    <cellStyle name="normální 2" xfId="214"/>
    <cellStyle name="normální 2 2" xfId="215"/>
    <cellStyle name="normální 20" xfId="216"/>
    <cellStyle name="normální 21" xfId="217"/>
    <cellStyle name="normální 22" xfId="218"/>
    <cellStyle name="normální 23" xfId="219"/>
    <cellStyle name="normální 24" xfId="220"/>
    <cellStyle name="normální 25" xfId="221"/>
    <cellStyle name="normální 26" xfId="222"/>
    <cellStyle name="normální 27" xfId="223"/>
    <cellStyle name="normální 28" xfId="224"/>
    <cellStyle name="normální 29" xfId="225"/>
    <cellStyle name="Normální 3" xfId="226"/>
    <cellStyle name="normální 30" xfId="227"/>
    <cellStyle name="Normální 4" xfId="228"/>
    <cellStyle name="Normální 5" xfId="229"/>
    <cellStyle name="Normální 6" xfId="230"/>
    <cellStyle name="Normální 7" xfId="231"/>
    <cellStyle name="Normální 8" xfId="232"/>
    <cellStyle name="Normální 9" xfId="233"/>
    <cellStyle name="normální_002_ROZP_OCENENY_VV_upr08-2010" xfId="234"/>
    <cellStyle name="normální_C.1.3 Rozpočet ZTI" xfId="235"/>
    <cellStyle name="normální_POL.XLS" xfId="236"/>
    <cellStyle name="normální_SAR A" xfId="237"/>
    <cellStyle name="normální_Troja" xfId="238"/>
    <cellStyle name="Normalny_laroux" xfId="239"/>
    <cellStyle name="Podnadpis" xfId="240"/>
    <cellStyle name="Položka" xfId="241"/>
    <cellStyle name="Poznámka 2" xfId="242"/>
    <cellStyle name="Propojená buňka 2" xfId="243"/>
    <cellStyle name="Specifikace" xfId="244"/>
    <cellStyle name="Správně 2" xfId="245"/>
    <cellStyle name="Standard_aktuell" xfId="246"/>
    <cellStyle name="Stín+tučně" xfId="247"/>
    <cellStyle name="Stín+tučně+velké písmo" xfId="248"/>
    <cellStyle name="Styl 1" xfId="249"/>
    <cellStyle name="Suma" xfId="250"/>
    <cellStyle name="Text upozornění 2" xfId="251"/>
    <cellStyle name="Tučně" xfId="252"/>
    <cellStyle name="TYP ŘÁDKU_4(sloupceJ-L)" xfId="253"/>
    <cellStyle name="Vstup 2" xfId="254"/>
    <cellStyle name="Výpočet 2" xfId="255"/>
    <cellStyle name="Výstup 2" xfId="256"/>
    <cellStyle name="Vysvětlující text 2" xfId="257"/>
    <cellStyle name="Währung [0]_Tabelle1" xfId="258"/>
    <cellStyle name="Währung_Tabelle1" xfId="259"/>
    <cellStyle name="Walutowy [0]_laroux" xfId="260"/>
    <cellStyle name="Walutowy_laroux" xfId="261"/>
    <cellStyle name="základní" xfId="262"/>
    <cellStyle name="Zvýraznění 1 2" xfId="263"/>
    <cellStyle name="Zvýraznění 2 2" xfId="264"/>
    <cellStyle name="Zvýraznění 3 2" xfId="265"/>
    <cellStyle name="Zvýraznění 4 2" xfId="266"/>
    <cellStyle name="Zvýraznění 5 2" xfId="267"/>
    <cellStyle name="Zvýraznění 6 2" xfId="268"/>
    <cellStyle name="Zvýrazni" xfId="269"/>
    <cellStyle name="Měna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147"/>
  <sheetViews>
    <sheetView tabSelected="1" workbookViewId="0" topLeftCell="A69">
      <selection activeCell="AI95" sqref="AI95"/>
    </sheetView>
  </sheetViews>
  <sheetFormatPr defaultColWidth="8.8515625" defaultRowHeight="15"/>
  <cols>
    <col min="1" max="1" width="3.421875" style="34" customWidth="1"/>
    <col min="2" max="2" width="12.140625" style="35" customWidth="1"/>
    <col min="3" max="3" width="6.140625" style="36" customWidth="1"/>
    <col min="4" max="4" width="49.421875" style="26" customWidth="1"/>
    <col min="5" max="5" width="4.57421875" style="38" customWidth="1"/>
    <col min="6" max="6" width="9.28125" style="39" customWidth="1"/>
    <col min="7" max="7" width="14.140625" style="218" customWidth="1"/>
    <col min="8" max="8" width="12.140625" style="193" customWidth="1"/>
    <col min="9" max="9" width="13.7109375" style="181" customWidth="1"/>
    <col min="10" max="10" width="11.00390625" style="2" customWidth="1"/>
    <col min="11" max="11" width="21.28125" style="3" customWidth="1"/>
    <col min="12" max="34" width="3.7109375" style="3" customWidth="1"/>
    <col min="35" max="35" width="10.28125" style="3" customWidth="1"/>
    <col min="36" max="36" width="3.7109375" style="3" customWidth="1"/>
    <col min="37" max="37" width="12.7109375" style="3" customWidth="1"/>
    <col min="38" max="38" width="3.7109375" style="3" customWidth="1"/>
    <col min="39" max="39" width="5.28125" style="3" customWidth="1"/>
    <col min="40" max="40" width="2.00390625" style="3" customWidth="1"/>
    <col min="41" max="41" width="1.7109375" style="3" customWidth="1"/>
    <col min="42" max="42" width="15.28125" style="3" customWidth="1"/>
    <col min="43" max="43" width="13.7109375" style="3" customWidth="1"/>
    <col min="44" max="47" width="8.7109375" style="3" customWidth="1"/>
    <col min="48" max="16384" width="8.8515625" style="3" customWidth="1"/>
  </cols>
  <sheetData>
    <row r="1" spans="4:43" ht="15">
      <c r="D1" s="37" t="s">
        <v>0</v>
      </c>
      <c r="AQ1" s="4"/>
    </row>
    <row r="2" spans="4:43" ht="15">
      <c r="D2" s="37"/>
      <c r="AQ2" s="4"/>
    </row>
    <row r="3" spans="4:43" ht="15">
      <c r="D3" s="37" t="s">
        <v>1</v>
      </c>
      <c r="AQ3" s="4"/>
    </row>
    <row r="4" spans="4:43" ht="15">
      <c r="D4" s="37"/>
      <c r="F4" s="40"/>
      <c r="G4" s="219"/>
      <c r="H4" s="194"/>
      <c r="AQ4" s="4"/>
    </row>
    <row r="5" spans="4:43" ht="15">
      <c r="D5" s="41" t="s">
        <v>2</v>
      </c>
      <c r="H5" s="194"/>
      <c r="AQ5" s="4"/>
    </row>
    <row r="6" spans="6:43" ht="15">
      <c r="F6" s="42"/>
      <c r="G6" s="219"/>
      <c r="H6" s="194"/>
      <c r="AQ6" s="4"/>
    </row>
    <row r="7" spans="4:43" ht="24">
      <c r="D7" s="37" t="s">
        <v>3</v>
      </c>
      <c r="H7" s="195"/>
      <c r="I7" s="182"/>
      <c r="AQ7" s="4"/>
    </row>
    <row r="8" spans="4:43" ht="15">
      <c r="D8" s="37"/>
      <c r="H8" s="194"/>
      <c r="AQ8" s="4"/>
    </row>
    <row r="9" spans="4:43" ht="15" customHeight="1">
      <c r="D9" s="25" t="s">
        <v>4</v>
      </c>
      <c r="H9" s="194"/>
      <c r="AQ9" s="4"/>
    </row>
    <row r="10" spans="4:43" ht="15">
      <c r="D10" s="25" t="s">
        <v>5</v>
      </c>
      <c r="H10" s="183"/>
      <c r="I10" s="183"/>
      <c r="AQ10" s="4"/>
    </row>
    <row r="11" spans="4:43" ht="18" customHeight="1">
      <c r="D11" s="25"/>
      <c r="AQ11" s="4"/>
    </row>
    <row r="12" spans="4:43" ht="15">
      <c r="D12" s="25"/>
      <c r="AQ12" s="4"/>
    </row>
    <row r="13" spans="2:43" ht="15">
      <c r="B13" s="43"/>
      <c r="C13" s="44"/>
      <c r="D13" s="45" t="s">
        <v>6</v>
      </c>
      <c r="E13" s="46"/>
      <c r="F13" s="47"/>
      <c r="G13" s="220"/>
      <c r="H13" s="196"/>
      <c r="K13" s="1"/>
      <c r="AQ13" s="4"/>
    </row>
    <row r="14" spans="2:43" ht="16.9" customHeight="1">
      <c r="B14" s="43"/>
      <c r="C14" s="44"/>
      <c r="D14" s="48" t="s">
        <v>7</v>
      </c>
      <c r="E14" s="46"/>
      <c r="F14" s="47"/>
      <c r="G14" s="220"/>
      <c r="H14" s="196"/>
      <c r="J14" s="6"/>
      <c r="AQ14" s="4"/>
    </row>
    <row r="15" spans="2:43" ht="15">
      <c r="B15" s="43"/>
      <c r="C15" s="44"/>
      <c r="D15" s="49" t="s">
        <v>8</v>
      </c>
      <c r="E15" s="46" t="s">
        <v>9</v>
      </c>
      <c r="F15" s="47"/>
      <c r="G15" s="220"/>
      <c r="H15" s="197">
        <f>H46</f>
        <v>0</v>
      </c>
      <c r="AQ15" s="4"/>
    </row>
    <row r="16" spans="2:43" ht="15">
      <c r="B16" s="43"/>
      <c r="C16" s="44"/>
      <c r="D16" s="49" t="s">
        <v>10</v>
      </c>
      <c r="E16" s="46" t="s">
        <v>9</v>
      </c>
      <c r="F16" s="47"/>
      <c r="G16" s="220"/>
      <c r="H16" s="197">
        <f>H77</f>
        <v>0</v>
      </c>
      <c r="AQ16" s="4"/>
    </row>
    <row r="17" spans="2:43" ht="15">
      <c r="B17" s="43"/>
      <c r="C17" s="44"/>
      <c r="D17" s="50" t="s">
        <v>11</v>
      </c>
      <c r="E17" s="46" t="s">
        <v>9</v>
      </c>
      <c r="F17" s="47"/>
      <c r="G17" s="220"/>
      <c r="H17" s="197">
        <f>H82</f>
        <v>0</v>
      </c>
      <c r="AQ17" s="4"/>
    </row>
    <row r="18" spans="2:43" ht="15">
      <c r="B18" s="43"/>
      <c r="C18" s="44"/>
      <c r="D18" s="51" t="s">
        <v>12</v>
      </c>
      <c r="E18" s="46" t="s">
        <v>9</v>
      </c>
      <c r="F18" s="47"/>
      <c r="G18" s="220"/>
      <c r="H18" s="197">
        <f>H552</f>
        <v>0</v>
      </c>
      <c r="AQ18" s="4"/>
    </row>
    <row r="19" spans="2:43" ht="15">
      <c r="B19" s="43"/>
      <c r="C19" s="44"/>
      <c r="D19" s="52" t="s">
        <v>13</v>
      </c>
      <c r="E19" s="46" t="s">
        <v>9</v>
      </c>
      <c r="F19" s="47"/>
      <c r="G19" s="220"/>
      <c r="H19" s="197">
        <f>H701</f>
        <v>0</v>
      </c>
      <c r="AQ19" s="4"/>
    </row>
    <row r="20" spans="2:43" ht="15">
      <c r="B20" s="43"/>
      <c r="C20" s="44"/>
      <c r="D20" s="52" t="s">
        <v>14</v>
      </c>
      <c r="E20" s="46" t="s">
        <v>9</v>
      </c>
      <c r="F20" s="47"/>
      <c r="G20" s="220"/>
      <c r="H20" s="197">
        <f>H707</f>
        <v>0</v>
      </c>
      <c r="AQ20" s="4"/>
    </row>
    <row r="21" spans="2:43" ht="15">
      <c r="B21" s="43"/>
      <c r="C21" s="44"/>
      <c r="D21" s="53" t="s">
        <v>15</v>
      </c>
      <c r="E21" s="46" t="s">
        <v>9</v>
      </c>
      <c r="F21" s="47"/>
      <c r="G21" s="220"/>
      <c r="H21" s="197">
        <f>H723</f>
        <v>0</v>
      </c>
      <c r="AQ21" s="4"/>
    </row>
    <row r="22" spans="2:43" ht="15.6" customHeight="1">
      <c r="B22" s="43"/>
      <c r="C22" s="44"/>
      <c r="D22" s="51" t="s">
        <v>16</v>
      </c>
      <c r="E22" s="46" t="s">
        <v>9</v>
      </c>
      <c r="F22" s="47"/>
      <c r="G22" s="220"/>
      <c r="H22" s="197">
        <f>H732</f>
        <v>0</v>
      </c>
      <c r="AQ22" s="4"/>
    </row>
    <row r="23" spans="4:43" ht="15">
      <c r="D23" s="54"/>
      <c r="E23" s="46"/>
      <c r="F23" s="55"/>
      <c r="G23" s="221"/>
      <c r="H23" s="197"/>
      <c r="AQ23" s="4"/>
    </row>
    <row r="24" spans="1:43" ht="15">
      <c r="A24" s="56"/>
      <c r="B24" s="57"/>
      <c r="C24" s="58"/>
      <c r="D24" s="59" t="s">
        <v>17</v>
      </c>
      <c r="E24" s="46" t="s">
        <v>9</v>
      </c>
      <c r="F24" s="60"/>
      <c r="G24" s="222"/>
      <c r="H24" s="197">
        <f>SUM(H15:H23)</f>
        <v>0</v>
      </c>
      <c r="AQ24" s="4"/>
    </row>
    <row r="25" spans="1:43" ht="15">
      <c r="A25" s="56"/>
      <c r="B25" s="57"/>
      <c r="C25" s="58"/>
      <c r="D25" s="59"/>
      <c r="E25" s="61"/>
      <c r="F25" s="60"/>
      <c r="G25" s="222"/>
      <c r="H25" s="198"/>
      <c r="AQ25" s="4"/>
    </row>
    <row r="26" spans="1:43" ht="15">
      <c r="A26" s="56"/>
      <c r="B26" s="57"/>
      <c r="C26" s="58"/>
      <c r="D26" s="62" t="s">
        <v>18</v>
      </c>
      <c r="E26" s="46" t="s">
        <v>9</v>
      </c>
      <c r="F26" s="60"/>
      <c r="G26" s="222"/>
      <c r="H26" s="197">
        <f>H744</f>
        <v>0</v>
      </c>
      <c r="AQ26" s="4"/>
    </row>
    <row r="27" spans="1:43" ht="15">
      <c r="A27" s="56"/>
      <c r="B27" s="57"/>
      <c r="C27" s="58"/>
      <c r="D27" s="62"/>
      <c r="E27" s="46"/>
      <c r="F27" s="60"/>
      <c r="G27" s="222"/>
      <c r="H27" s="197"/>
      <c r="AQ27" s="4"/>
    </row>
    <row r="28" spans="1:43" ht="15">
      <c r="A28" s="56"/>
      <c r="B28" s="57"/>
      <c r="C28" s="58"/>
      <c r="D28" s="63"/>
      <c r="E28" s="61"/>
      <c r="F28" s="60"/>
      <c r="G28" s="222"/>
      <c r="H28" s="198"/>
      <c r="AQ28" s="4"/>
    </row>
    <row r="29" spans="1:43" ht="15">
      <c r="A29" s="56"/>
      <c r="B29" s="57"/>
      <c r="C29" s="58"/>
      <c r="D29" s="59" t="s">
        <v>19</v>
      </c>
      <c r="E29" s="46" t="s">
        <v>9</v>
      </c>
      <c r="F29" s="64"/>
      <c r="G29" s="223"/>
      <c r="H29" s="197">
        <f>SUM(H24:H26)</f>
        <v>0</v>
      </c>
      <c r="AQ29" s="4"/>
    </row>
    <row r="30" spans="1:43" ht="15">
      <c r="A30" s="56"/>
      <c r="B30" s="57"/>
      <c r="C30" s="58"/>
      <c r="D30" s="63"/>
      <c r="E30" s="61"/>
      <c r="F30" s="60"/>
      <c r="G30" s="222"/>
      <c r="H30" s="198"/>
      <c r="AQ30" s="4"/>
    </row>
    <row r="31" spans="1:43" ht="15">
      <c r="A31" s="56"/>
      <c r="B31" s="57"/>
      <c r="C31" s="58"/>
      <c r="D31" s="65" t="s">
        <v>20</v>
      </c>
      <c r="E31" s="46" t="s">
        <v>9</v>
      </c>
      <c r="F31" s="60"/>
      <c r="G31" s="222"/>
      <c r="H31" s="198">
        <f>SUM(H29)*0.21</f>
        <v>0</v>
      </c>
      <c r="AQ31" s="4"/>
    </row>
    <row r="32" spans="1:43" ht="15">
      <c r="A32" s="56"/>
      <c r="B32" s="57"/>
      <c r="C32" s="58"/>
      <c r="D32" s="54"/>
      <c r="E32" s="61"/>
      <c r="F32" s="60"/>
      <c r="G32" s="222"/>
      <c r="H32" s="198"/>
      <c r="AQ32" s="4"/>
    </row>
    <row r="33" spans="4:43" ht="15">
      <c r="D33" s="59" t="s">
        <v>21</v>
      </c>
      <c r="E33" s="46" t="s">
        <v>9</v>
      </c>
      <c r="H33" s="197">
        <f>ROUND((SUM(H29:H32)),2)</f>
        <v>0</v>
      </c>
      <c r="AQ33" s="4"/>
    </row>
    <row r="34" spans="4:43" ht="15">
      <c r="D34" s="59"/>
      <c r="H34" s="194"/>
      <c r="AQ34" s="4"/>
    </row>
    <row r="35" spans="1:43" ht="15">
      <c r="A35" s="56"/>
      <c r="B35" s="57"/>
      <c r="C35" s="58"/>
      <c r="D35" s="54"/>
      <c r="E35" s="61"/>
      <c r="F35" s="60"/>
      <c r="G35" s="222"/>
      <c r="H35" s="199"/>
      <c r="AQ35" s="4"/>
    </row>
    <row r="36" spans="1:250" s="26" customFormat="1" ht="22.5">
      <c r="A36" s="66" t="s">
        <v>22</v>
      </c>
      <c r="B36" s="67" t="s">
        <v>23</v>
      </c>
      <c r="C36" s="68"/>
      <c r="D36" s="69" t="s">
        <v>24</v>
      </c>
      <c r="E36" s="70" t="s">
        <v>25</v>
      </c>
      <c r="F36" s="71" t="s">
        <v>26</v>
      </c>
      <c r="G36" s="71" t="s">
        <v>27</v>
      </c>
      <c r="H36" s="200" t="s">
        <v>28</v>
      </c>
      <c r="I36" s="181"/>
      <c r="J36" s="21"/>
      <c r="K36" s="22"/>
      <c r="L36" s="23"/>
      <c r="M36" s="24"/>
      <c r="N36" s="25"/>
      <c r="O36" s="25"/>
      <c r="P36" s="25"/>
      <c r="Q36" s="23"/>
      <c r="R36" s="23"/>
      <c r="S36" s="22"/>
      <c r="T36" s="23"/>
      <c r="U36" s="24"/>
      <c r="V36" s="25"/>
      <c r="W36" s="25"/>
      <c r="X36" s="25"/>
      <c r="Y36" s="23"/>
      <c r="Z36" s="23"/>
      <c r="AA36" s="22"/>
      <c r="AB36" s="23"/>
      <c r="AC36" s="24"/>
      <c r="AD36" s="25"/>
      <c r="AE36" s="25"/>
      <c r="AF36" s="25"/>
      <c r="AG36" s="23"/>
      <c r="AH36" s="23"/>
      <c r="AI36" s="22"/>
      <c r="AJ36" s="23"/>
      <c r="AK36" s="24"/>
      <c r="AL36" s="25"/>
      <c r="AM36" s="25"/>
      <c r="AN36" s="25"/>
      <c r="AO36" s="23"/>
      <c r="AP36" s="23"/>
      <c r="AQ36" s="22"/>
      <c r="AR36" s="23"/>
      <c r="AS36" s="24"/>
      <c r="AT36" s="25"/>
      <c r="AU36" s="25"/>
      <c r="AV36" s="25"/>
      <c r="AW36" s="23"/>
      <c r="AX36" s="23"/>
      <c r="AY36" s="22"/>
      <c r="AZ36" s="23"/>
      <c r="BA36" s="24"/>
      <c r="BB36" s="25"/>
      <c r="BC36" s="25"/>
      <c r="BD36" s="25"/>
      <c r="BE36" s="23"/>
      <c r="BF36" s="23"/>
      <c r="BG36" s="22"/>
      <c r="BH36" s="23"/>
      <c r="BI36" s="24"/>
      <c r="BJ36" s="25"/>
      <c r="BK36" s="25"/>
      <c r="BL36" s="25"/>
      <c r="BM36" s="23"/>
      <c r="BN36" s="23"/>
      <c r="BO36" s="22"/>
      <c r="BP36" s="23"/>
      <c r="BQ36" s="24"/>
      <c r="BR36" s="25"/>
      <c r="BS36" s="25"/>
      <c r="BT36" s="25"/>
      <c r="BU36" s="23"/>
      <c r="BV36" s="23"/>
      <c r="BW36" s="22"/>
      <c r="BX36" s="23"/>
      <c r="BY36" s="24"/>
      <c r="BZ36" s="25"/>
      <c r="CA36" s="25"/>
      <c r="CB36" s="25"/>
      <c r="CC36" s="23"/>
      <c r="CD36" s="23"/>
      <c r="CE36" s="22"/>
      <c r="CF36" s="23"/>
      <c r="CG36" s="24"/>
      <c r="CH36" s="25"/>
      <c r="CI36" s="25"/>
      <c r="CJ36" s="25"/>
      <c r="CK36" s="23"/>
      <c r="CL36" s="23"/>
      <c r="CM36" s="22"/>
      <c r="CN36" s="23"/>
      <c r="CO36" s="24"/>
      <c r="CP36" s="25"/>
      <c r="CQ36" s="25"/>
      <c r="CR36" s="25"/>
      <c r="CS36" s="23"/>
      <c r="CT36" s="23"/>
      <c r="CU36" s="22"/>
      <c r="CV36" s="23"/>
      <c r="CW36" s="24"/>
      <c r="CX36" s="25"/>
      <c r="CY36" s="25"/>
      <c r="CZ36" s="25"/>
      <c r="DA36" s="23"/>
      <c r="DB36" s="23"/>
      <c r="DC36" s="22"/>
      <c r="DD36" s="23"/>
      <c r="DE36" s="24"/>
      <c r="DF36" s="25"/>
      <c r="DG36" s="25"/>
      <c r="DH36" s="25"/>
      <c r="DI36" s="23"/>
      <c r="DJ36" s="23"/>
      <c r="DK36" s="22"/>
      <c r="DL36" s="23"/>
      <c r="DM36" s="24"/>
      <c r="DN36" s="25"/>
      <c r="DO36" s="25"/>
      <c r="DP36" s="25"/>
      <c r="DQ36" s="23"/>
      <c r="DR36" s="23"/>
      <c r="DS36" s="22"/>
      <c r="DT36" s="23"/>
      <c r="DU36" s="24"/>
      <c r="DV36" s="25"/>
      <c r="DW36" s="25"/>
      <c r="DX36" s="25"/>
      <c r="DY36" s="23"/>
      <c r="DZ36" s="23"/>
      <c r="EA36" s="22"/>
      <c r="EB36" s="23"/>
      <c r="EC36" s="24"/>
      <c r="ED36" s="25"/>
      <c r="EE36" s="25"/>
      <c r="EF36" s="25"/>
      <c r="EG36" s="23"/>
      <c r="EH36" s="23"/>
      <c r="EI36" s="22"/>
      <c r="EJ36" s="23"/>
      <c r="EK36" s="24"/>
      <c r="EL36" s="25"/>
      <c r="EM36" s="25"/>
      <c r="EN36" s="25"/>
      <c r="EO36" s="23"/>
      <c r="EP36" s="23"/>
      <c r="EQ36" s="22"/>
      <c r="ER36" s="23"/>
      <c r="ES36" s="24"/>
      <c r="ET36" s="25"/>
      <c r="EU36" s="25"/>
      <c r="EV36" s="25"/>
      <c r="EW36" s="23"/>
      <c r="EX36" s="23"/>
      <c r="EY36" s="22"/>
      <c r="EZ36" s="23"/>
      <c r="FA36" s="24"/>
      <c r="FB36" s="25"/>
      <c r="FC36" s="25"/>
      <c r="FD36" s="25"/>
      <c r="FE36" s="23"/>
      <c r="FF36" s="23"/>
      <c r="FG36" s="22"/>
      <c r="FH36" s="23"/>
      <c r="FI36" s="24"/>
      <c r="FJ36" s="25"/>
      <c r="FK36" s="25"/>
      <c r="FL36" s="25"/>
      <c r="FM36" s="23"/>
      <c r="FN36" s="23"/>
      <c r="FO36" s="22"/>
      <c r="FP36" s="23"/>
      <c r="FQ36" s="24"/>
      <c r="FR36" s="25"/>
      <c r="FS36" s="25"/>
      <c r="FT36" s="25"/>
      <c r="FU36" s="23"/>
      <c r="FV36" s="23"/>
      <c r="FW36" s="22"/>
      <c r="FX36" s="23"/>
      <c r="FY36" s="24"/>
      <c r="FZ36" s="25"/>
      <c r="GA36" s="25"/>
      <c r="GB36" s="25"/>
      <c r="GC36" s="23"/>
      <c r="GD36" s="23"/>
      <c r="GE36" s="22"/>
      <c r="GF36" s="23"/>
      <c r="GG36" s="24"/>
      <c r="GH36" s="25"/>
      <c r="GI36" s="25"/>
      <c r="GJ36" s="25"/>
      <c r="GK36" s="23"/>
      <c r="GL36" s="23"/>
      <c r="GM36" s="22"/>
      <c r="GN36" s="23"/>
      <c r="GO36" s="24"/>
      <c r="GP36" s="25"/>
      <c r="GQ36" s="25"/>
      <c r="GR36" s="25"/>
      <c r="GS36" s="23"/>
      <c r="GT36" s="23"/>
      <c r="GU36" s="22"/>
      <c r="GV36" s="23"/>
      <c r="GW36" s="24"/>
      <c r="GX36" s="25"/>
      <c r="GY36" s="25"/>
      <c r="GZ36" s="25"/>
      <c r="HA36" s="23"/>
      <c r="HB36" s="23"/>
      <c r="HC36" s="22"/>
      <c r="HD36" s="23"/>
      <c r="HE36" s="24"/>
      <c r="HF36" s="25"/>
      <c r="HG36" s="25"/>
      <c r="HH36" s="25"/>
      <c r="HI36" s="23"/>
      <c r="HJ36" s="23"/>
      <c r="HK36" s="22"/>
      <c r="HL36" s="23"/>
      <c r="HM36" s="24"/>
      <c r="HN36" s="25"/>
      <c r="HO36" s="25"/>
      <c r="HP36" s="25"/>
      <c r="HQ36" s="23"/>
      <c r="HR36" s="23"/>
      <c r="HS36" s="22"/>
      <c r="HT36" s="23"/>
      <c r="HU36" s="24"/>
      <c r="HV36" s="25"/>
      <c r="HW36" s="25"/>
      <c r="HX36" s="25"/>
      <c r="HY36" s="23"/>
      <c r="HZ36" s="23"/>
      <c r="IA36" s="22"/>
      <c r="IB36" s="23"/>
      <c r="IC36" s="24"/>
      <c r="ID36" s="25"/>
      <c r="IE36" s="25"/>
      <c r="IF36" s="25"/>
      <c r="IG36" s="23"/>
      <c r="IH36" s="23"/>
      <c r="II36" s="22"/>
      <c r="IJ36" s="23"/>
      <c r="IK36" s="24"/>
      <c r="IL36" s="25"/>
      <c r="IM36" s="25"/>
      <c r="IN36" s="25"/>
      <c r="IO36" s="23"/>
      <c r="IP36" s="23"/>
    </row>
    <row r="37" spans="1:43" ht="15">
      <c r="A37" s="56" t="s">
        <v>29</v>
      </c>
      <c r="B37" s="57"/>
      <c r="C37" s="58"/>
      <c r="D37" s="54" t="s">
        <v>30</v>
      </c>
      <c r="E37" s="61"/>
      <c r="F37" s="60"/>
      <c r="G37" s="222"/>
      <c r="H37" s="199"/>
      <c r="AQ37" s="4"/>
    </row>
    <row r="38" spans="1:43" ht="36">
      <c r="A38" s="56" t="s">
        <v>31</v>
      </c>
      <c r="B38" s="57"/>
      <c r="C38" s="58"/>
      <c r="D38" s="72" t="s">
        <v>32</v>
      </c>
      <c r="E38" s="61"/>
      <c r="F38" s="60"/>
      <c r="G38" s="222"/>
      <c r="H38" s="199"/>
      <c r="AQ38" s="4"/>
    </row>
    <row r="39" spans="1:43" ht="48">
      <c r="A39" s="56" t="s">
        <v>33</v>
      </c>
      <c r="B39" s="57"/>
      <c r="C39" s="58"/>
      <c r="D39" s="73" t="s">
        <v>34</v>
      </c>
      <c r="E39" s="61"/>
      <c r="F39" s="60"/>
      <c r="G39" s="222"/>
      <c r="H39" s="199"/>
      <c r="AQ39" s="4"/>
    </row>
    <row r="40" spans="1:43" ht="24">
      <c r="A40" s="56" t="s">
        <v>35</v>
      </c>
      <c r="B40" s="57"/>
      <c r="C40" s="58"/>
      <c r="D40" s="26" t="s">
        <v>36</v>
      </c>
      <c r="E40" s="61"/>
      <c r="F40" s="60"/>
      <c r="G40" s="222"/>
      <c r="H40" s="199"/>
      <c r="AQ40" s="4"/>
    </row>
    <row r="41" spans="1:43" ht="60">
      <c r="A41" s="56" t="s">
        <v>37</v>
      </c>
      <c r="B41" s="57"/>
      <c r="C41" s="58"/>
      <c r="D41" s="26" t="s">
        <v>38</v>
      </c>
      <c r="E41" s="61"/>
      <c r="F41" s="60"/>
      <c r="G41" s="222"/>
      <c r="H41" s="199"/>
      <c r="AQ41" s="4"/>
    </row>
    <row r="42" spans="1:43" ht="48">
      <c r="A42" s="56" t="s">
        <v>39</v>
      </c>
      <c r="B42" s="57"/>
      <c r="C42" s="58"/>
      <c r="D42" s="72" t="s">
        <v>40</v>
      </c>
      <c r="E42" s="61"/>
      <c r="F42" s="60"/>
      <c r="G42" s="222"/>
      <c r="H42" s="199"/>
      <c r="AQ42" s="4"/>
    </row>
    <row r="43" spans="1:43" ht="24">
      <c r="A43" s="56" t="s">
        <v>41</v>
      </c>
      <c r="B43" s="43"/>
      <c r="C43" s="44"/>
      <c r="D43" s="26" t="s">
        <v>42</v>
      </c>
      <c r="E43" s="46"/>
      <c r="F43" s="47"/>
      <c r="G43" s="220"/>
      <c r="H43" s="196"/>
      <c r="AQ43" s="4"/>
    </row>
    <row r="44" spans="1:43" ht="15">
      <c r="A44" s="56" t="s">
        <v>43</v>
      </c>
      <c r="B44" s="43"/>
      <c r="C44" s="44"/>
      <c r="E44" s="46"/>
      <c r="F44" s="47"/>
      <c r="G44" s="220"/>
      <c r="H44" s="196"/>
      <c r="AQ44" s="4"/>
    </row>
    <row r="45" spans="1:43" ht="15">
      <c r="A45" s="56" t="s">
        <v>44</v>
      </c>
      <c r="B45" s="43"/>
      <c r="C45" s="44"/>
      <c r="E45" s="46"/>
      <c r="F45" s="47"/>
      <c r="G45" s="220"/>
      <c r="H45" s="196"/>
      <c r="AQ45" s="4"/>
    </row>
    <row r="46" spans="1:43" s="26" customFormat="1" ht="12">
      <c r="A46" s="56" t="s">
        <v>45</v>
      </c>
      <c r="B46" s="50"/>
      <c r="C46" s="74"/>
      <c r="D46" s="75" t="s">
        <v>46</v>
      </c>
      <c r="E46" s="76" t="s">
        <v>47</v>
      </c>
      <c r="F46" s="77" t="s">
        <v>48</v>
      </c>
      <c r="G46" s="224"/>
      <c r="H46" s="201">
        <f>SUM(H48:H75)</f>
        <v>0</v>
      </c>
      <c r="I46" s="54"/>
      <c r="J46" s="32"/>
      <c r="AQ46" s="33"/>
    </row>
    <row r="47" spans="1:43" ht="15">
      <c r="A47" s="56" t="s">
        <v>49</v>
      </c>
      <c r="B47" s="43"/>
      <c r="C47" s="44"/>
      <c r="D47" s="50"/>
      <c r="E47" s="46"/>
      <c r="F47" s="78"/>
      <c r="G47" s="220"/>
      <c r="H47" s="202"/>
      <c r="AQ47" s="4"/>
    </row>
    <row r="48" spans="1:43" ht="48">
      <c r="A48" s="56" t="s">
        <v>50</v>
      </c>
      <c r="B48" s="43"/>
      <c r="C48" s="44"/>
      <c r="D48" s="51" t="s">
        <v>51</v>
      </c>
      <c r="E48" s="46"/>
      <c r="F48" s="78"/>
      <c r="G48" s="220"/>
      <c r="H48" s="202"/>
      <c r="AQ48" s="4"/>
    </row>
    <row r="49" spans="1:43" ht="24">
      <c r="A49" s="56" t="s">
        <v>52</v>
      </c>
      <c r="B49" s="43" t="s">
        <v>53</v>
      </c>
      <c r="C49" s="44"/>
      <c r="D49" s="51" t="s">
        <v>54</v>
      </c>
      <c r="E49" s="79" t="s">
        <v>55</v>
      </c>
      <c r="F49" s="80">
        <f>410*0.8*35</f>
        <v>11480</v>
      </c>
      <c r="G49" s="220"/>
      <c r="H49" s="80">
        <f>G49*F49</f>
        <v>0</v>
      </c>
      <c r="I49" s="181">
        <f>0.00022*F49</f>
        <v>2.5256000000000003</v>
      </c>
      <c r="AQ49" s="4"/>
    </row>
    <row r="50" spans="1:43" ht="15">
      <c r="A50" s="56" t="s">
        <v>56</v>
      </c>
      <c r="B50" s="43"/>
      <c r="C50" s="81"/>
      <c r="D50" s="51" t="s">
        <v>57</v>
      </c>
      <c r="E50" s="79"/>
      <c r="F50" s="80"/>
      <c r="G50" s="220"/>
      <c r="H50" s="196"/>
      <c r="AQ50" s="4"/>
    </row>
    <row r="51" spans="1:43" ht="15">
      <c r="A51" s="56" t="s">
        <v>58</v>
      </c>
      <c r="B51" s="43"/>
      <c r="C51" s="81"/>
      <c r="D51" s="51"/>
      <c r="E51" s="79"/>
      <c r="F51" s="80"/>
      <c r="G51" s="220"/>
      <c r="H51" s="196"/>
      <c r="AQ51" s="4"/>
    </row>
    <row r="52" spans="1:43" ht="15">
      <c r="A52" s="56" t="s">
        <v>59</v>
      </c>
      <c r="B52" s="43" t="s">
        <v>60</v>
      </c>
      <c r="C52" s="81"/>
      <c r="D52" s="82" t="s">
        <v>61</v>
      </c>
      <c r="E52" s="79" t="s">
        <v>55</v>
      </c>
      <c r="F52" s="47">
        <f>2*2+(2*3*1.5)</f>
        <v>13</v>
      </c>
      <c r="G52" s="220"/>
      <c r="H52" s="80">
        <f>G52*F52</f>
        <v>0</v>
      </c>
      <c r="I52" s="181">
        <f>0.01925*F52</f>
        <v>0.25025</v>
      </c>
      <c r="AQ52" s="4"/>
    </row>
    <row r="53" spans="1:43" ht="24">
      <c r="A53" s="56" t="s">
        <v>62</v>
      </c>
      <c r="B53" s="83"/>
      <c r="C53" s="44"/>
      <c r="D53" s="51" t="s">
        <v>63</v>
      </c>
      <c r="E53" s="79"/>
      <c r="F53" s="47"/>
      <c r="G53" s="220"/>
      <c r="H53" s="196"/>
      <c r="AQ53" s="4"/>
    </row>
    <row r="54" spans="1:43" ht="15">
      <c r="A54" s="56" t="s">
        <v>64</v>
      </c>
      <c r="B54" s="83"/>
      <c r="C54" s="44"/>
      <c r="D54" s="51"/>
      <c r="E54" s="79"/>
      <c r="F54" s="47"/>
      <c r="G54" s="220"/>
      <c r="H54" s="196"/>
      <c r="AQ54" s="4"/>
    </row>
    <row r="55" spans="1:43" ht="36">
      <c r="A55" s="56" t="s">
        <v>65</v>
      </c>
      <c r="B55" s="35" t="s">
        <v>66</v>
      </c>
      <c r="C55" s="44"/>
      <c r="D55" s="51" t="s">
        <v>67</v>
      </c>
      <c r="E55" s="79" t="s">
        <v>55</v>
      </c>
      <c r="F55" s="47">
        <f>(1+2.1)*2*0.3*135</f>
        <v>251.1</v>
      </c>
      <c r="G55" s="220"/>
      <c r="H55" s="80">
        <f>G55*F55</f>
        <v>0</v>
      </c>
      <c r="I55" s="181">
        <f>0.00022*F55</f>
        <v>0.055242</v>
      </c>
      <c r="AQ55" s="4"/>
    </row>
    <row r="56" spans="1:43" ht="15">
      <c r="A56" s="56" t="s">
        <v>68</v>
      </c>
      <c r="B56" s="84"/>
      <c r="C56" s="44"/>
      <c r="D56" s="51"/>
      <c r="E56" s="79"/>
      <c r="F56" s="47"/>
      <c r="G56" s="220"/>
      <c r="H56" s="196"/>
      <c r="AQ56" s="4"/>
    </row>
    <row r="57" spans="1:43" ht="36">
      <c r="A57" s="56" t="s">
        <v>69</v>
      </c>
      <c r="B57" s="43" t="s">
        <v>70</v>
      </c>
      <c r="C57" s="44"/>
      <c r="D57" s="50" t="s">
        <v>71</v>
      </c>
      <c r="E57" s="46" t="s">
        <v>55</v>
      </c>
      <c r="F57" s="85">
        <f>2*2*410</f>
        <v>1640</v>
      </c>
      <c r="G57" s="225"/>
      <c r="H57" s="80">
        <f>G57*F57</f>
        <v>0</v>
      </c>
      <c r="I57" s="181">
        <f>0.00022*F57</f>
        <v>0.3608</v>
      </c>
      <c r="AQ57" s="4"/>
    </row>
    <row r="58" spans="1:43" ht="15">
      <c r="A58" s="56" t="s">
        <v>72</v>
      </c>
      <c r="B58" s="84"/>
      <c r="C58" s="44"/>
      <c r="D58" s="51" t="s">
        <v>73</v>
      </c>
      <c r="E58" s="79"/>
      <c r="F58" s="47"/>
      <c r="G58" s="220"/>
      <c r="H58" s="196"/>
      <c r="AQ58" s="4"/>
    </row>
    <row r="59" spans="1:43" ht="15">
      <c r="A59" s="56" t="s">
        <v>74</v>
      </c>
      <c r="B59" s="84"/>
      <c r="C59" s="44"/>
      <c r="D59" s="51"/>
      <c r="E59" s="79"/>
      <c r="F59" s="47"/>
      <c r="G59" s="220"/>
      <c r="H59" s="196"/>
      <c r="AQ59" s="4"/>
    </row>
    <row r="60" spans="1:43" ht="15">
      <c r="A60" s="56" t="s">
        <v>75</v>
      </c>
      <c r="B60" s="43" t="s">
        <v>76</v>
      </c>
      <c r="C60" s="44"/>
      <c r="D60" s="51" t="s">
        <v>77</v>
      </c>
      <c r="E60" s="46"/>
      <c r="F60" s="47"/>
      <c r="G60" s="220"/>
      <c r="H60" s="196"/>
      <c r="AQ60" s="4"/>
    </row>
    <row r="61" spans="1:43" ht="15">
      <c r="A61" s="56" t="s">
        <v>78</v>
      </c>
      <c r="B61" s="43"/>
      <c r="C61" s="44"/>
      <c r="D61" s="51" t="s">
        <v>79</v>
      </c>
      <c r="E61" s="46" t="s">
        <v>80</v>
      </c>
      <c r="F61" s="47">
        <v>820</v>
      </c>
      <c r="G61" s="220"/>
      <c r="H61" s="80">
        <f>G61*F61</f>
        <v>0</v>
      </c>
      <c r="I61" s="181">
        <f>0.0003*F61</f>
        <v>0.24599999999999997</v>
      </c>
      <c r="AQ61" s="4"/>
    </row>
    <row r="62" spans="1:43" ht="24">
      <c r="A62" s="56" t="s">
        <v>81</v>
      </c>
      <c r="B62" s="43" t="s">
        <v>82</v>
      </c>
      <c r="C62" s="44"/>
      <c r="D62" s="51" t="s">
        <v>83</v>
      </c>
      <c r="E62" s="46" t="s">
        <v>80</v>
      </c>
      <c r="F62" s="47">
        <f>410*4</f>
        <v>1640</v>
      </c>
      <c r="G62" s="220"/>
      <c r="H62" s="80">
        <f>G62*F62</f>
        <v>0</v>
      </c>
      <c r="I62" s="181">
        <f>0.00049*F62</f>
        <v>0.8036</v>
      </c>
      <c r="AQ62" s="4"/>
    </row>
    <row r="63" spans="1:43" ht="15">
      <c r="A63" s="56" t="s">
        <v>84</v>
      </c>
      <c r="B63" s="43"/>
      <c r="C63" s="44"/>
      <c r="D63" s="51"/>
      <c r="E63" s="46"/>
      <c r="F63" s="47"/>
      <c r="G63" s="220"/>
      <c r="H63" s="196"/>
      <c r="AQ63" s="4"/>
    </row>
    <row r="64" spans="1:43" ht="36">
      <c r="A64" s="56" t="s">
        <v>85</v>
      </c>
      <c r="B64" s="43" t="s">
        <v>70</v>
      </c>
      <c r="C64" s="44"/>
      <c r="D64" s="50" t="s">
        <v>86</v>
      </c>
      <c r="E64" s="46" t="s">
        <v>55</v>
      </c>
      <c r="F64" s="47">
        <f>1.5*1.5*410</f>
        <v>922.5</v>
      </c>
      <c r="G64" s="220"/>
      <c r="H64" s="80">
        <f>G64*F64</f>
        <v>0</v>
      </c>
      <c r="I64" s="181">
        <f>0.00022*F64</f>
        <v>0.20295000000000002</v>
      </c>
      <c r="AQ64" s="4"/>
    </row>
    <row r="65" spans="1:43" ht="15">
      <c r="A65" s="56" t="s">
        <v>87</v>
      </c>
      <c r="B65" s="43"/>
      <c r="C65" s="44"/>
      <c r="D65" s="51" t="s">
        <v>88</v>
      </c>
      <c r="E65" s="46"/>
      <c r="F65" s="47"/>
      <c r="G65" s="220"/>
      <c r="H65" s="196"/>
      <c r="AQ65" s="4"/>
    </row>
    <row r="66" spans="1:43" ht="15">
      <c r="A66" s="56" t="s">
        <v>89</v>
      </c>
      <c r="B66" s="43"/>
      <c r="C66" s="44"/>
      <c r="D66" s="86" t="s">
        <v>90</v>
      </c>
      <c r="E66" s="46" t="s">
        <v>91</v>
      </c>
      <c r="F66" s="47"/>
      <c r="G66" s="220"/>
      <c r="H66" s="196"/>
      <c r="I66" s="184">
        <f>SUM(I49:I64)</f>
        <v>4.4444420000000004</v>
      </c>
      <c r="AQ66" s="4"/>
    </row>
    <row r="67" spans="1:43" ht="24">
      <c r="A67" s="56" t="s">
        <v>92</v>
      </c>
      <c r="B67" s="84" t="s">
        <v>93</v>
      </c>
      <c r="C67" s="44"/>
      <c r="D67" s="51" t="s">
        <v>94</v>
      </c>
      <c r="E67" s="46" t="s">
        <v>91</v>
      </c>
      <c r="F67" s="47">
        <f>410*4*0.002</f>
        <v>3.2800000000000002</v>
      </c>
      <c r="G67" s="220"/>
      <c r="H67" s="80">
        <f>G67*F67</f>
        <v>0</v>
      </c>
      <c r="I67" s="47">
        <v>3.28</v>
      </c>
      <c r="AQ67" s="4"/>
    </row>
    <row r="68" spans="1:43" ht="15">
      <c r="A68" s="56" t="s">
        <v>95</v>
      </c>
      <c r="B68" s="43"/>
      <c r="C68" s="44"/>
      <c r="D68" s="51" t="s">
        <v>96</v>
      </c>
      <c r="E68" s="46"/>
      <c r="F68" s="47"/>
      <c r="G68" s="220"/>
      <c r="H68" s="196"/>
      <c r="AQ68" s="4"/>
    </row>
    <row r="69" spans="1:43" ht="15">
      <c r="A69" s="56" t="s">
        <v>97</v>
      </c>
      <c r="B69" s="43"/>
      <c r="C69" s="44"/>
      <c r="D69" s="86" t="s">
        <v>98</v>
      </c>
      <c r="E69" s="46" t="s">
        <v>91</v>
      </c>
      <c r="F69" s="47"/>
      <c r="G69" s="220"/>
      <c r="H69" s="196"/>
      <c r="I69" s="185">
        <f>SUM(I66:I67)-I61</f>
        <v>7.478442</v>
      </c>
      <c r="AQ69" s="4"/>
    </row>
    <row r="70" spans="1:43" ht="24">
      <c r="A70" s="56" t="s">
        <v>99</v>
      </c>
      <c r="B70" s="43" t="s">
        <v>100</v>
      </c>
      <c r="C70" s="44"/>
      <c r="D70" s="51" t="s">
        <v>101</v>
      </c>
      <c r="E70" s="46" t="s">
        <v>91</v>
      </c>
      <c r="F70" s="47">
        <f>SUM(I49:I64)</f>
        <v>4.4444420000000004</v>
      </c>
      <c r="G70" s="220"/>
      <c r="H70" s="80">
        <f aca="true" t="shared" si="0" ref="H70:H75">G70*F70</f>
        <v>0</v>
      </c>
      <c r="AQ70" s="4"/>
    </row>
    <row r="71" spans="1:43" ht="24">
      <c r="A71" s="56" t="s">
        <v>102</v>
      </c>
      <c r="B71" s="43" t="s">
        <v>100</v>
      </c>
      <c r="C71" s="44"/>
      <c r="D71" s="51" t="s">
        <v>103</v>
      </c>
      <c r="E71" s="46" t="s">
        <v>91</v>
      </c>
      <c r="F71" s="47">
        <f>I69</f>
        <v>7.478442</v>
      </c>
      <c r="G71" s="220"/>
      <c r="H71" s="80">
        <f t="shared" si="0"/>
        <v>0</v>
      </c>
      <c r="AQ71" s="4"/>
    </row>
    <row r="72" spans="1:43" ht="24">
      <c r="A72" s="56" t="s">
        <v>104</v>
      </c>
      <c r="B72" s="43" t="s">
        <v>105</v>
      </c>
      <c r="C72" s="44"/>
      <c r="D72" s="51" t="s">
        <v>106</v>
      </c>
      <c r="E72" s="46" t="s">
        <v>91</v>
      </c>
      <c r="F72" s="47">
        <f>F71</f>
        <v>7.478442</v>
      </c>
      <c r="G72" s="220"/>
      <c r="H72" s="80">
        <f t="shared" si="0"/>
        <v>0</v>
      </c>
      <c r="AQ72" s="4"/>
    </row>
    <row r="73" spans="1:43" ht="24">
      <c r="A73" s="56" t="s">
        <v>107</v>
      </c>
      <c r="B73" s="43" t="s">
        <v>108</v>
      </c>
      <c r="C73" s="44"/>
      <c r="D73" s="51" t="s">
        <v>109</v>
      </c>
      <c r="E73" s="46" t="s">
        <v>91</v>
      </c>
      <c r="F73" s="47">
        <f>F72</f>
        <v>7.478442</v>
      </c>
      <c r="G73" s="220"/>
      <c r="H73" s="80">
        <f t="shared" si="0"/>
        <v>0</v>
      </c>
      <c r="AQ73" s="4"/>
    </row>
    <row r="74" spans="1:43" ht="15">
      <c r="A74" s="56" t="s">
        <v>110</v>
      </c>
      <c r="B74" s="43" t="s">
        <v>111</v>
      </c>
      <c r="C74" s="44"/>
      <c r="D74" s="51" t="s">
        <v>112</v>
      </c>
      <c r="E74" s="46" t="s">
        <v>91</v>
      </c>
      <c r="F74" s="47">
        <f>F73</f>
        <v>7.478442</v>
      </c>
      <c r="G74" s="220"/>
      <c r="H74" s="80">
        <f t="shared" si="0"/>
        <v>0</v>
      </c>
      <c r="I74" s="186"/>
      <c r="AQ74" s="4"/>
    </row>
    <row r="75" spans="1:43" ht="15">
      <c r="A75" s="56" t="s">
        <v>113</v>
      </c>
      <c r="B75" s="43" t="s">
        <v>114</v>
      </c>
      <c r="C75" s="44"/>
      <c r="D75" s="51" t="s">
        <v>115</v>
      </c>
      <c r="E75" s="46" t="s">
        <v>91</v>
      </c>
      <c r="F75" s="47">
        <f>F74</f>
        <v>7.478442</v>
      </c>
      <c r="G75" s="220"/>
      <c r="H75" s="80">
        <f t="shared" si="0"/>
        <v>0</v>
      </c>
      <c r="I75" s="186"/>
      <c r="AQ75" s="4"/>
    </row>
    <row r="76" spans="1:43" ht="15">
      <c r="A76" s="56" t="s">
        <v>116</v>
      </c>
      <c r="B76" s="43"/>
      <c r="C76" s="44"/>
      <c r="D76" s="51"/>
      <c r="E76" s="46"/>
      <c r="F76" s="47"/>
      <c r="G76" s="220"/>
      <c r="H76" s="196"/>
      <c r="I76" s="186"/>
      <c r="AQ76" s="4"/>
    </row>
    <row r="77" spans="1:43" ht="15">
      <c r="A77" s="56" t="s">
        <v>117</v>
      </c>
      <c r="B77" s="43"/>
      <c r="C77" s="44"/>
      <c r="D77" s="75" t="s">
        <v>10</v>
      </c>
      <c r="E77" s="87" t="s">
        <v>47</v>
      </c>
      <c r="F77" s="77" t="s">
        <v>48</v>
      </c>
      <c r="G77" s="224"/>
      <c r="H77" s="201">
        <f>SUM(H78:H80)</f>
        <v>0</v>
      </c>
      <c r="I77" s="186"/>
      <c r="AQ77" s="4"/>
    </row>
    <row r="78" spans="1:43" ht="15">
      <c r="A78" s="56" t="s">
        <v>118</v>
      </c>
      <c r="B78" s="43"/>
      <c r="C78" s="44"/>
      <c r="D78" s="45"/>
      <c r="E78" s="46"/>
      <c r="F78" s="47"/>
      <c r="G78" s="220"/>
      <c r="H78" s="196"/>
      <c r="AQ78" s="4"/>
    </row>
    <row r="79" spans="1:43" ht="15">
      <c r="A79" s="56" t="s">
        <v>119</v>
      </c>
      <c r="B79" s="43" t="s">
        <v>120</v>
      </c>
      <c r="C79" s="44"/>
      <c r="D79" s="72" t="s">
        <v>121</v>
      </c>
      <c r="E79" s="46" t="s">
        <v>55</v>
      </c>
      <c r="F79" s="78">
        <f>1930.24+181.65+924.81</f>
        <v>3036.7</v>
      </c>
      <c r="G79" s="225"/>
      <c r="H79" s="196">
        <f>G79*F79</f>
        <v>0</v>
      </c>
      <c r="J79" s="7"/>
      <c r="AQ79" s="4"/>
    </row>
    <row r="80" spans="1:43" ht="25.5">
      <c r="A80" s="56" t="s">
        <v>122</v>
      </c>
      <c r="B80" s="88"/>
      <c r="C80" s="44"/>
      <c r="D80" s="89" t="s">
        <v>123</v>
      </c>
      <c r="E80" s="46" t="s">
        <v>124</v>
      </c>
      <c r="F80" s="85">
        <v>1</v>
      </c>
      <c r="G80" s="220"/>
      <c r="H80" s="196">
        <f>G80*F80</f>
        <v>0</v>
      </c>
      <c r="AQ80" s="4"/>
    </row>
    <row r="81" spans="1:43" ht="15">
      <c r="A81" s="56" t="s">
        <v>125</v>
      </c>
      <c r="B81" s="88"/>
      <c r="C81" s="44"/>
      <c r="D81" s="90"/>
      <c r="E81" s="46"/>
      <c r="F81" s="85"/>
      <c r="G81" s="220"/>
      <c r="H81" s="196"/>
      <c r="AQ81" s="4"/>
    </row>
    <row r="82" spans="1:43" ht="15">
      <c r="A82" s="56" t="s">
        <v>126</v>
      </c>
      <c r="B82" s="43"/>
      <c r="C82" s="44"/>
      <c r="D82" s="91" t="s">
        <v>11</v>
      </c>
      <c r="E82" s="92" t="s">
        <v>9</v>
      </c>
      <c r="F82" s="93" t="s">
        <v>48</v>
      </c>
      <c r="G82" s="220"/>
      <c r="H82" s="202">
        <f>SUM(H84:H549)</f>
        <v>0</v>
      </c>
      <c r="AQ82" s="4"/>
    </row>
    <row r="83" spans="1:43" ht="15">
      <c r="A83" s="56" t="s">
        <v>127</v>
      </c>
      <c r="B83" s="43"/>
      <c r="C83" s="44"/>
      <c r="D83" s="91"/>
      <c r="E83" s="46"/>
      <c r="F83" s="94"/>
      <c r="G83" s="220"/>
      <c r="H83" s="196"/>
      <c r="AQ83" s="4"/>
    </row>
    <row r="84" spans="1:43" ht="36">
      <c r="A84" s="56" t="s">
        <v>128</v>
      </c>
      <c r="B84" s="43" t="s">
        <v>129</v>
      </c>
      <c r="C84" s="44"/>
      <c r="D84" s="50" t="s">
        <v>130</v>
      </c>
      <c r="E84" s="46" t="s">
        <v>131</v>
      </c>
      <c r="F84" s="95">
        <v>5</v>
      </c>
      <c r="G84" s="220"/>
      <c r="H84" s="196">
        <f>ROUND((F84*G84),2)</f>
        <v>0</v>
      </c>
      <c r="J84" s="7"/>
      <c r="AQ84" s="4"/>
    </row>
    <row r="85" spans="1:43" ht="15">
      <c r="A85" s="56" t="s">
        <v>132</v>
      </c>
      <c r="B85" s="43"/>
      <c r="C85" s="44"/>
      <c r="D85" s="50"/>
      <c r="E85" s="46"/>
      <c r="F85" s="96"/>
      <c r="G85" s="226"/>
      <c r="H85" s="203"/>
      <c r="J85" s="9"/>
      <c r="AQ85" s="4"/>
    </row>
    <row r="86" spans="1:43" ht="24">
      <c r="A86" s="56" t="s">
        <v>133</v>
      </c>
      <c r="B86" s="43" t="s">
        <v>134</v>
      </c>
      <c r="C86" s="44"/>
      <c r="D86" s="97" t="s">
        <v>135</v>
      </c>
      <c r="E86" s="46" t="s">
        <v>55</v>
      </c>
      <c r="F86" s="95">
        <v>3860.47</v>
      </c>
      <c r="G86" s="220"/>
      <c r="H86" s="196">
        <f>ROUND((F86*G86),2)</f>
        <v>0</v>
      </c>
      <c r="J86" s="8"/>
      <c r="AQ86" s="4"/>
    </row>
    <row r="87" spans="1:43" ht="48">
      <c r="A87" s="56" t="s">
        <v>136</v>
      </c>
      <c r="B87" s="43"/>
      <c r="C87" s="44"/>
      <c r="D87" s="50" t="s">
        <v>137</v>
      </c>
      <c r="E87" s="46"/>
      <c r="F87" s="93"/>
      <c r="G87" s="227"/>
      <c r="H87" s="202"/>
      <c r="AQ87" s="4"/>
    </row>
    <row r="88" spans="1:43" ht="15">
      <c r="A88" s="56" t="s">
        <v>138</v>
      </c>
      <c r="B88" s="43"/>
      <c r="C88" s="44"/>
      <c r="D88" s="50" t="s">
        <v>139</v>
      </c>
      <c r="E88" s="46"/>
      <c r="F88" s="94"/>
      <c r="G88" s="226"/>
      <c r="H88" s="196"/>
      <c r="AQ88" s="4"/>
    </row>
    <row r="89" spans="1:43" ht="24">
      <c r="A89" s="56" t="s">
        <v>140</v>
      </c>
      <c r="B89" s="43" t="s">
        <v>105</v>
      </c>
      <c r="C89" s="44"/>
      <c r="D89" s="51" t="s">
        <v>141</v>
      </c>
      <c r="E89" s="46" t="s">
        <v>91</v>
      </c>
      <c r="F89" s="85">
        <f>1930.24*0.0238</f>
        <v>45.939712</v>
      </c>
      <c r="G89" s="225"/>
      <c r="H89" s="204">
        <f aca="true" t="shared" si="1" ref="H89:H94">ROUND((F89*G89),2)</f>
        <v>0</v>
      </c>
      <c r="AQ89" s="4"/>
    </row>
    <row r="90" spans="1:43" ht="24">
      <c r="A90" s="56" t="s">
        <v>142</v>
      </c>
      <c r="B90" s="43" t="s">
        <v>143</v>
      </c>
      <c r="C90" s="44"/>
      <c r="D90" s="51" t="s">
        <v>144</v>
      </c>
      <c r="E90" s="46" t="s">
        <v>91</v>
      </c>
      <c r="F90" s="85">
        <f>1930.24*0.0238</f>
        <v>45.939712</v>
      </c>
      <c r="G90" s="225"/>
      <c r="H90" s="204">
        <f t="shared" si="1"/>
        <v>0</v>
      </c>
      <c r="AQ90" s="4"/>
    </row>
    <row r="91" spans="1:43" ht="15">
      <c r="A91" s="56" t="s">
        <v>145</v>
      </c>
      <c r="B91" s="43" t="s">
        <v>111</v>
      </c>
      <c r="C91" s="44"/>
      <c r="D91" s="51" t="s">
        <v>146</v>
      </c>
      <c r="E91" s="46" t="s">
        <v>91</v>
      </c>
      <c r="F91" s="85">
        <f>1930.24*0.0238</f>
        <v>45.939712</v>
      </c>
      <c r="G91" s="225"/>
      <c r="H91" s="204">
        <f t="shared" si="1"/>
        <v>0</v>
      </c>
      <c r="AQ91" s="4"/>
    </row>
    <row r="92" spans="1:43" ht="24">
      <c r="A92" s="56" t="s">
        <v>147</v>
      </c>
      <c r="B92" s="43" t="s">
        <v>148</v>
      </c>
      <c r="C92" s="44"/>
      <c r="D92" s="98" t="s">
        <v>149</v>
      </c>
      <c r="E92" s="46" t="s">
        <v>55</v>
      </c>
      <c r="F92" s="94">
        <v>1930.24</v>
      </c>
      <c r="G92" s="226"/>
      <c r="H92" s="205">
        <f t="shared" si="1"/>
        <v>0</v>
      </c>
      <c r="AQ92" s="4"/>
    </row>
    <row r="93" spans="1:43" ht="24">
      <c r="A93" s="56" t="s">
        <v>150</v>
      </c>
      <c r="B93" s="43" t="s">
        <v>151</v>
      </c>
      <c r="C93" s="44"/>
      <c r="D93" s="74" t="s">
        <v>152</v>
      </c>
      <c r="E93" s="99" t="s">
        <v>80</v>
      </c>
      <c r="F93" s="94">
        <f>410*2</f>
        <v>820</v>
      </c>
      <c r="G93" s="226"/>
      <c r="H93" s="205">
        <f t="shared" si="1"/>
        <v>0</v>
      </c>
      <c r="AQ93" s="4"/>
    </row>
    <row r="94" spans="1:43" ht="24">
      <c r="A94" s="56" t="s">
        <v>153</v>
      </c>
      <c r="B94" s="43" t="s">
        <v>154</v>
      </c>
      <c r="C94" s="44"/>
      <c r="D94" s="50" t="s">
        <v>155</v>
      </c>
      <c r="E94" s="46" t="s">
        <v>80</v>
      </c>
      <c r="F94" s="94">
        <v>410</v>
      </c>
      <c r="G94" s="226"/>
      <c r="H94" s="205">
        <f t="shared" si="1"/>
        <v>0</v>
      </c>
      <c r="AQ94" s="4"/>
    </row>
    <row r="95" spans="1:43" ht="15">
      <c r="A95" s="56" t="s">
        <v>156</v>
      </c>
      <c r="B95" s="43"/>
      <c r="C95" s="44"/>
      <c r="D95" s="100"/>
      <c r="E95" s="46"/>
      <c r="F95" s="101"/>
      <c r="G95" s="95" t="s">
        <v>157</v>
      </c>
      <c r="H95" s="196"/>
      <c r="I95" s="187"/>
      <c r="AQ95" s="4"/>
    </row>
    <row r="96" spans="1:43" ht="15">
      <c r="A96" s="56" t="s">
        <v>158</v>
      </c>
      <c r="B96" s="43"/>
      <c r="C96" s="44"/>
      <c r="D96" s="102" t="s">
        <v>159</v>
      </c>
      <c r="E96" s="46" t="s">
        <v>55</v>
      </c>
      <c r="F96" s="103">
        <f>F98+F210+F309+F342+F372+F418+F482+F519</f>
        <v>1930.235</v>
      </c>
      <c r="G96" s="103">
        <f>SUM(G98:G547)</f>
        <v>410</v>
      </c>
      <c r="I96" s="187"/>
      <c r="J96" s="12"/>
      <c r="AQ96" s="4"/>
    </row>
    <row r="97" spans="1:43" ht="15">
      <c r="A97" s="56" t="s">
        <v>160</v>
      </c>
      <c r="B97" s="43"/>
      <c r="C97" s="44"/>
      <c r="D97" s="104" t="s">
        <v>161</v>
      </c>
      <c r="E97" s="46"/>
      <c r="F97" s="105"/>
      <c r="G97" s="105"/>
      <c r="H97" s="196"/>
      <c r="I97" s="187"/>
      <c r="AQ97" s="4"/>
    </row>
    <row r="98" spans="1:43" ht="15">
      <c r="A98" s="56" t="s">
        <v>162</v>
      </c>
      <c r="B98" s="43"/>
      <c r="C98" s="106" t="s">
        <v>163</v>
      </c>
      <c r="D98" s="107" t="s">
        <v>164</v>
      </c>
      <c r="E98" s="46" t="s">
        <v>55</v>
      </c>
      <c r="F98" s="95">
        <f>SUM(F99:F207)</f>
        <v>596.6149999999998</v>
      </c>
      <c r="G98" s="105"/>
      <c r="H98" s="196"/>
      <c r="I98" s="187"/>
      <c r="J98" s="13"/>
      <c r="AQ98" s="4"/>
    </row>
    <row r="99" spans="1:43" ht="15">
      <c r="A99" s="56" t="s">
        <v>165</v>
      </c>
      <c r="B99" s="43"/>
      <c r="C99" s="106" t="s">
        <v>163</v>
      </c>
      <c r="D99" s="108" t="s">
        <v>166</v>
      </c>
      <c r="E99" s="46"/>
      <c r="F99" s="101"/>
      <c r="G99" s="105"/>
      <c r="H99" s="202"/>
      <c r="I99" s="187"/>
      <c r="AQ99" s="4"/>
    </row>
    <row r="100" spans="1:43" ht="15">
      <c r="A100" s="56" t="s">
        <v>167</v>
      </c>
      <c r="B100" s="43"/>
      <c r="C100" s="81" t="s">
        <v>168</v>
      </c>
      <c r="D100" s="53" t="s">
        <v>169</v>
      </c>
      <c r="E100" s="46"/>
      <c r="F100" s="47">
        <f>0.255*22*2</f>
        <v>11.22</v>
      </c>
      <c r="G100" s="95">
        <v>2</v>
      </c>
      <c r="H100" s="202"/>
      <c r="I100" s="187"/>
      <c r="AQ100" s="4"/>
    </row>
    <row r="101" spans="1:43" ht="15">
      <c r="A101" s="56" t="s">
        <v>170</v>
      </c>
      <c r="B101" s="43"/>
      <c r="C101" s="81" t="s">
        <v>171</v>
      </c>
      <c r="D101" s="53" t="s">
        <v>172</v>
      </c>
      <c r="E101" s="46"/>
      <c r="F101" s="47">
        <f>0.255*22*1</f>
        <v>5.61</v>
      </c>
      <c r="G101" s="95">
        <v>1</v>
      </c>
      <c r="H101" s="202"/>
      <c r="I101" s="187"/>
      <c r="AQ101" s="4"/>
    </row>
    <row r="102" spans="1:43" ht="15">
      <c r="A102" s="56" t="s">
        <v>173</v>
      </c>
      <c r="B102" s="43"/>
      <c r="C102" s="81" t="s">
        <v>174</v>
      </c>
      <c r="D102" s="53" t="s">
        <v>175</v>
      </c>
      <c r="E102" s="46"/>
      <c r="F102" s="47">
        <f>0.255*20*2</f>
        <v>10.2</v>
      </c>
      <c r="G102" s="95">
        <v>2</v>
      </c>
      <c r="H102" s="202"/>
      <c r="I102" s="187"/>
      <c r="AQ102" s="4"/>
    </row>
    <row r="103" spans="1:43" ht="15">
      <c r="A103" s="56" t="s">
        <v>176</v>
      </c>
      <c r="B103" s="43"/>
      <c r="C103" s="81" t="s">
        <v>174</v>
      </c>
      <c r="D103" s="53" t="s">
        <v>177</v>
      </c>
      <c r="E103" s="46"/>
      <c r="F103" s="47">
        <f>0.255*15*1</f>
        <v>3.825</v>
      </c>
      <c r="G103" s="95">
        <v>1</v>
      </c>
      <c r="H103" s="202"/>
      <c r="I103" s="187"/>
      <c r="AQ103" s="4"/>
    </row>
    <row r="104" spans="1:43" ht="15">
      <c r="A104" s="56" t="s">
        <v>178</v>
      </c>
      <c r="B104" s="43"/>
      <c r="C104" s="81" t="s">
        <v>179</v>
      </c>
      <c r="D104" s="53" t="s">
        <v>180</v>
      </c>
      <c r="E104" s="46"/>
      <c r="F104" s="47">
        <f>0.255*16*1</f>
        <v>4.08</v>
      </c>
      <c r="G104" s="95">
        <v>1</v>
      </c>
      <c r="H104" s="202"/>
      <c r="I104" s="187"/>
      <c r="AQ104" s="4"/>
    </row>
    <row r="105" spans="1:43" ht="15">
      <c r="A105" s="56" t="s">
        <v>181</v>
      </c>
      <c r="B105" s="43"/>
      <c r="C105" s="81" t="s">
        <v>182</v>
      </c>
      <c r="D105" s="53" t="s">
        <v>177</v>
      </c>
      <c r="E105" s="46"/>
      <c r="F105" s="47">
        <f>0.255*15*1</f>
        <v>3.825</v>
      </c>
      <c r="G105" s="95">
        <v>1</v>
      </c>
      <c r="H105" s="202"/>
      <c r="I105" s="187"/>
      <c r="AQ105" s="4"/>
    </row>
    <row r="106" spans="1:43" ht="15">
      <c r="A106" s="56" t="s">
        <v>183</v>
      </c>
      <c r="B106" s="43"/>
      <c r="C106" s="81" t="s">
        <v>184</v>
      </c>
      <c r="D106" s="53" t="s">
        <v>172</v>
      </c>
      <c r="E106" s="46"/>
      <c r="F106" s="47">
        <f>0.255*22*1</f>
        <v>5.61</v>
      </c>
      <c r="G106" s="95">
        <v>1</v>
      </c>
      <c r="H106" s="202"/>
      <c r="I106" s="187"/>
      <c r="AQ106" s="4"/>
    </row>
    <row r="107" spans="1:43" ht="15">
      <c r="A107" s="56" t="s">
        <v>185</v>
      </c>
      <c r="B107" s="43"/>
      <c r="C107" s="81" t="s">
        <v>186</v>
      </c>
      <c r="D107" s="53" t="s">
        <v>187</v>
      </c>
      <c r="E107" s="46"/>
      <c r="F107" s="47">
        <f>0.255*24*2</f>
        <v>12.24</v>
      </c>
      <c r="G107" s="95">
        <v>2</v>
      </c>
      <c r="H107" s="202"/>
      <c r="I107" s="187"/>
      <c r="AQ107" s="4"/>
    </row>
    <row r="108" spans="1:43" ht="15">
      <c r="A108" s="56" t="s">
        <v>188</v>
      </c>
      <c r="B108" s="43"/>
      <c r="C108" s="81"/>
      <c r="D108" s="53"/>
      <c r="E108" s="46"/>
      <c r="F108" s="47"/>
      <c r="G108" s="132"/>
      <c r="H108" s="202"/>
      <c r="I108" s="187"/>
      <c r="AQ108" s="4"/>
    </row>
    <row r="109" spans="1:43" ht="15">
      <c r="A109" s="56" t="s">
        <v>189</v>
      </c>
      <c r="B109" s="43"/>
      <c r="C109" s="106" t="s">
        <v>163</v>
      </c>
      <c r="D109" s="102" t="s">
        <v>190</v>
      </c>
      <c r="E109" s="46"/>
      <c r="F109" s="47"/>
      <c r="G109" s="95"/>
      <c r="H109" s="202"/>
      <c r="I109" s="187"/>
      <c r="AQ109" s="4"/>
    </row>
    <row r="110" spans="1:43" ht="15">
      <c r="A110" s="56" t="s">
        <v>191</v>
      </c>
      <c r="B110" s="43"/>
      <c r="C110" s="81" t="s">
        <v>192</v>
      </c>
      <c r="D110" s="53" t="s">
        <v>187</v>
      </c>
      <c r="E110" s="46"/>
      <c r="F110" s="47">
        <f aca="true" t="shared" si="2" ref="F110">0.255*24*2</f>
        <v>12.24</v>
      </c>
      <c r="G110" s="95">
        <v>2</v>
      </c>
      <c r="H110" s="202"/>
      <c r="I110" s="187"/>
      <c r="AQ110" s="4"/>
    </row>
    <row r="111" spans="1:43" ht="15">
      <c r="A111" s="56" t="s">
        <v>193</v>
      </c>
      <c r="B111" s="43"/>
      <c r="C111" s="81" t="s">
        <v>194</v>
      </c>
      <c r="D111" s="53" t="s">
        <v>195</v>
      </c>
      <c r="E111" s="46"/>
      <c r="F111" s="47">
        <f>0.255*18*1</f>
        <v>4.59</v>
      </c>
      <c r="G111" s="95">
        <v>1</v>
      </c>
      <c r="H111" s="202"/>
      <c r="I111" s="187"/>
      <c r="AQ111" s="4"/>
    </row>
    <row r="112" spans="1:43" ht="15">
      <c r="A112" s="56" t="s">
        <v>196</v>
      </c>
      <c r="B112" s="43"/>
      <c r="C112" s="81" t="s">
        <v>197</v>
      </c>
      <c r="D112" s="53" t="s">
        <v>198</v>
      </c>
      <c r="E112" s="46"/>
      <c r="F112" s="47">
        <f>0.255*14*6</f>
        <v>21.42</v>
      </c>
      <c r="G112" s="95">
        <v>6</v>
      </c>
      <c r="H112" s="202"/>
      <c r="I112" s="187"/>
      <c r="AQ112" s="4"/>
    </row>
    <row r="113" spans="1:43" ht="15">
      <c r="A113" s="56" t="s">
        <v>199</v>
      </c>
      <c r="B113" s="43"/>
      <c r="C113" s="81" t="s">
        <v>200</v>
      </c>
      <c r="D113" s="53" t="s">
        <v>201</v>
      </c>
      <c r="E113" s="46"/>
      <c r="F113" s="47">
        <f>0.255*17*1</f>
        <v>4.335</v>
      </c>
      <c r="G113" s="95">
        <v>1</v>
      </c>
      <c r="H113" s="202"/>
      <c r="I113" s="187"/>
      <c r="AQ113" s="4"/>
    </row>
    <row r="114" spans="1:43" ht="15">
      <c r="A114" s="56" t="s">
        <v>202</v>
      </c>
      <c r="B114" s="43"/>
      <c r="C114" s="81" t="s">
        <v>203</v>
      </c>
      <c r="D114" s="53" t="s">
        <v>201</v>
      </c>
      <c r="E114" s="46"/>
      <c r="F114" s="47">
        <f>0.255*17*1</f>
        <v>4.335</v>
      </c>
      <c r="G114" s="95">
        <v>1</v>
      </c>
      <c r="H114" s="202"/>
      <c r="I114" s="187"/>
      <c r="AQ114" s="4"/>
    </row>
    <row r="115" spans="1:43" ht="15">
      <c r="A115" s="56" t="s">
        <v>204</v>
      </c>
      <c r="B115" s="43"/>
      <c r="C115" s="81" t="s">
        <v>205</v>
      </c>
      <c r="D115" s="53" t="s">
        <v>195</v>
      </c>
      <c r="E115" s="46"/>
      <c r="F115" s="47">
        <f>0.255*18*1</f>
        <v>4.59</v>
      </c>
      <c r="G115" s="95">
        <v>1</v>
      </c>
      <c r="H115" s="202"/>
      <c r="I115" s="187"/>
      <c r="AQ115" s="4"/>
    </row>
    <row r="116" spans="1:43" ht="15">
      <c r="A116" s="56" t="s">
        <v>206</v>
      </c>
      <c r="B116" s="43"/>
      <c r="C116" s="81"/>
      <c r="D116" s="53"/>
      <c r="E116" s="46"/>
      <c r="F116" s="47"/>
      <c r="G116" s="95"/>
      <c r="H116" s="202"/>
      <c r="I116" s="187"/>
      <c r="AQ116" s="4"/>
    </row>
    <row r="117" spans="1:43" ht="15">
      <c r="A117" s="56" t="s">
        <v>207</v>
      </c>
      <c r="B117" s="43"/>
      <c r="C117" s="106" t="s">
        <v>163</v>
      </c>
      <c r="D117" s="102" t="s">
        <v>208</v>
      </c>
      <c r="E117" s="46"/>
      <c r="F117" s="47"/>
      <c r="G117" s="95"/>
      <c r="H117" s="202"/>
      <c r="I117" s="187"/>
      <c r="AQ117" s="4"/>
    </row>
    <row r="118" spans="1:43" ht="15">
      <c r="A118" s="56" t="s">
        <v>209</v>
      </c>
      <c r="B118" s="43"/>
      <c r="C118" s="81" t="s">
        <v>210</v>
      </c>
      <c r="D118" s="53" t="s">
        <v>211</v>
      </c>
      <c r="E118" s="46"/>
      <c r="F118" s="47">
        <f>0.255*24*3</f>
        <v>18.36</v>
      </c>
      <c r="G118" s="95">
        <v>3</v>
      </c>
      <c r="H118" s="202"/>
      <c r="I118" s="187"/>
      <c r="AQ118" s="4"/>
    </row>
    <row r="119" spans="1:43" ht="15">
      <c r="A119" s="56" t="s">
        <v>212</v>
      </c>
      <c r="B119" s="43"/>
      <c r="C119" s="81" t="s">
        <v>213</v>
      </c>
      <c r="D119" s="53" t="s">
        <v>214</v>
      </c>
      <c r="E119" s="46"/>
      <c r="F119" s="47">
        <f>0.255*18*2</f>
        <v>9.18</v>
      </c>
      <c r="G119" s="95">
        <v>2</v>
      </c>
      <c r="H119" s="202"/>
      <c r="I119" s="187"/>
      <c r="AQ119" s="4"/>
    </row>
    <row r="120" spans="1:43" ht="15">
      <c r="A120" s="56" t="s">
        <v>215</v>
      </c>
      <c r="B120" s="43"/>
      <c r="C120" s="81" t="s">
        <v>216</v>
      </c>
      <c r="D120" s="53" t="s">
        <v>217</v>
      </c>
      <c r="E120" s="46"/>
      <c r="F120" s="47">
        <f>0.255*14*1</f>
        <v>3.5700000000000003</v>
      </c>
      <c r="G120" s="95">
        <v>1</v>
      </c>
      <c r="H120" s="202"/>
      <c r="I120" s="187"/>
      <c r="AQ120" s="4"/>
    </row>
    <row r="121" spans="1:43" ht="15">
      <c r="A121" s="56" t="s">
        <v>218</v>
      </c>
      <c r="B121" s="43"/>
      <c r="C121" s="81" t="s">
        <v>219</v>
      </c>
      <c r="D121" s="53" t="s">
        <v>220</v>
      </c>
      <c r="E121" s="46"/>
      <c r="F121" s="47">
        <f>0.255*20*1</f>
        <v>5.1</v>
      </c>
      <c r="G121" s="95">
        <v>1</v>
      </c>
      <c r="H121" s="202"/>
      <c r="I121" s="187"/>
      <c r="AQ121" s="4"/>
    </row>
    <row r="122" spans="1:43" ht="15">
      <c r="A122" s="56" t="s">
        <v>221</v>
      </c>
      <c r="B122" s="43"/>
      <c r="C122" s="81" t="s">
        <v>222</v>
      </c>
      <c r="D122" s="53" t="s">
        <v>217</v>
      </c>
      <c r="E122" s="46"/>
      <c r="F122" s="47">
        <f>0.255*14*1</f>
        <v>3.5700000000000003</v>
      </c>
      <c r="G122" s="95">
        <v>1</v>
      </c>
      <c r="H122" s="202"/>
      <c r="I122" s="187"/>
      <c r="AQ122" s="4"/>
    </row>
    <row r="123" spans="1:43" ht="15">
      <c r="A123" s="56" t="s">
        <v>223</v>
      </c>
      <c r="B123" s="43"/>
      <c r="C123" s="81" t="s">
        <v>224</v>
      </c>
      <c r="D123" s="53" t="s">
        <v>220</v>
      </c>
      <c r="E123" s="46"/>
      <c r="F123" s="47">
        <f>0.255*20*1</f>
        <v>5.1</v>
      </c>
      <c r="G123" s="95">
        <v>1</v>
      </c>
      <c r="H123" s="202"/>
      <c r="I123" s="187"/>
      <c r="AQ123" s="4"/>
    </row>
    <row r="124" spans="1:43" ht="15">
      <c r="A124" s="56" t="s">
        <v>225</v>
      </c>
      <c r="B124" s="43"/>
      <c r="C124" s="81" t="s">
        <v>226</v>
      </c>
      <c r="D124" s="53" t="s">
        <v>227</v>
      </c>
      <c r="E124" s="46"/>
      <c r="F124" s="47">
        <f>0.255*17*1</f>
        <v>4.335</v>
      </c>
      <c r="G124" s="95">
        <v>1</v>
      </c>
      <c r="H124" s="202"/>
      <c r="I124" s="187"/>
      <c r="AQ124" s="4"/>
    </row>
    <row r="125" spans="1:43" ht="15">
      <c r="A125" s="56" t="s">
        <v>228</v>
      </c>
      <c r="B125" s="43"/>
      <c r="C125" s="81" t="s">
        <v>229</v>
      </c>
      <c r="D125" s="53" t="s">
        <v>230</v>
      </c>
      <c r="E125" s="46"/>
      <c r="F125" s="47">
        <f>0.255*18*1</f>
        <v>4.59</v>
      </c>
      <c r="G125" s="95">
        <v>1</v>
      </c>
      <c r="H125" s="202"/>
      <c r="I125" s="187"/>
      <c r="AQ125" s="4"/>
    </row>
    <row r="126" spans="1:43" ht="15">
      <c r="A126" s="56" t="s">
        <v>231</v>
      </c>
      <c r="B126" s="43"/>
      <c r="C126" s="81" t="s">
        <v>232</v>
      </c>
      <c r="D126" s="53" t="s">
        <v>230</v>
      </c>
      <c r="E126" s="46"/>
      <c r="F126" s="47">
        <f>0.255*18*1</f>
        <v>4.59</v>
      </c>
      <c r="G126" s="95">
        <v>1</v>
      </c>
      <c r="H126" s="202"/>
      <c r="I126" s="187"/>
      <c r="AQ126" s="4"/>
    </row>
    <row r="127" spans="1:43" ht="15">
      <c r="A127" s="56" t="s">
        <v>233</v>
      </c>
      <c r="B127" s="43"/>
      <c r="C127" s="81"/>
      <c r="D127" s="53"/>
      <c r="E127" s="46"/>
      <c r="F127" s="47"/>
      <c r="G127" s="95"/>
      <c r="H127" s="202"/>
      <c r="I127" s="187"/>
      <c r="AQ127" s="4"/>
    </row>
    <row r="128" spans="1:43" ht="15">
      <c r="A128" s="56" t="s">
        <v>234</v>
      </c>
      <c r="B128" s="43"/>
      <c r="C128" s="106" t="s">
        <v>163</v>
      </c>
      <c r="D128" s="109" t="s">
        <v>235</v>
      </c>
      <c r="E128" s="46"/>
      <c r="F128" s="47"/>
      <c r="G128" s="95"/>
      <c r="H128" s="202"/>
      <c r="I128" s="187"/>
      <c r="AQ128" s="4"/>
    </row>
    <row r="129" spans="1:43" ht="15">
      <c r="A129" s="56" t="s">
        <v>236</v>
      </c>
      <c r="B129" s="43"/>
      <c r="C129" s="81" t="s">
        <v>237</v>
      </c>
      <c r="D129" s="53" t="s">
        <v>238</v>
      </c>
      <c r="E129" s="46"/>
      <c r="F129" s="47">
        <f>0.255*22*3</f>
        <v>16.830000000000002</v>
      </c>
      <c r="G129" s="95">
        <v>3</v>
      </c>
      <c r="H129" s="202"/>
      <c r="I129" s="187"/>
      <c r="AQ129" s="4"/>
    </row>
    <row r="130" spans="1:43" ht="15">
      <c r="A130" s="56" t="s">
        <v>239</v>
      </c>
      <c r="B130" s="43"/>
      <c r="C130" s="81" t="s">
        <v>240</v>
      </c>
      <c r="D130" s="53" t="s">
        <v>227</v>
      </c>
      <c r="E130" s="46"/>
      <c r="F130" s="47">
        <f>0.255*17*1</f>
        <v>4.335</v>
      </c>
      <c r="G130" s="95">
        <v>1</v>
      </c>
      <c r="H130" s="202"/>
      <c r="I130" s="187"/>
      <c r="AQ130" s="4"/>
    </row>
    <row r="131" spans="1:43" ht="15">
      <c r="A131" s="56" t="s">
        <v>241</v>
      </c>
      <c r="B131" s="43"/>
      <c r="C131" s="81" t="s">
        <v>242</v>
      </c>
      <c r="D131" s="53" t="s">
        <v>227</v>
      </c>
      <c r="E131" s="46"/>
      <c r="F131" s="47">
        <f>0.255*17*1</f>
        <v>4.335</v>
      </c>
      <c r="G131" s="95">
        <v>1</v>
      </c>
      <c r="H131" s="202"/>
      <c r="I131" s="187"/>
      <c r="AQ131" s="4"/>
    </row>
    <row r="132" spans="1:43" ht="15">
      <c r="A132" s="56" t="s">
        <v>243</v>
      </c>
      <c r="B132" s="43"/>
      <c r="C132" s="81" t="s">
        <v>244</v>
      </c>
      <c r="D132" s="53" t="s">
        <v>227</v>
      </c>
      <c r="E132" s="46"/>
      <c r="F132" s="47">
        <f aca="true" t="shared" si="3" ref="F132:F134">0.255*17*1</f>
        <v>4.335</v>
      </c>
      <c r="G132" s="95">
        <v>1</v>
      </c>
      <c r="H132" s="202"/>
      <c r="I132" s="187"/>
      <c r="AQ132" s="4"/>
    </row>
    <row r="133" spans="1:43" ht="15">
      <c r="A133" s="56" t="s">
        <v>245</v>
      </c>
      <c r="B133" s="43"/>
      <c r="C133" s="81" t="s">
        <v>246</v>
      </c>
      <c r="D133" s="53" t="s">
        <v>247</v>
      </c>
      <c r="E133" s="46"/>
      <c r="F133" s="47">
        <f>0.255*16*1</f>
        <v>4.08</v>
      </c>
      <c r="G133" s="95">
        <v>1</v>
      </c>
      <c r="H133" s="202"/>
      <c r="I133" s="187"/>
      <c r="AQ133" s="4"/>
    </row>
    <row r="134" spans="1:43" ht="15">
      <c r="A134" s="56" t="s">
        <v>248</v>
      </c>
      <c r="B134" s="43"/>
      <c r="C134" s="81" t="s">
        <v>249</v>
      </c>
      <c r="D134" s="53" t="s">
        <v>227</v>
      </c>
      <c r="E134" s="46"/>
      <c r="F134" s="47">
        <f t="shared" si="3"/>
        <v>4.335</v>
      </c>
      <c r="G134" s="95">
        <v>1</v>
      </c>
      <c r="H134" s="202"/>
      <c r="I134" s="187"/>
      <c r="AQ134" s="4"/>
    </row>
    <row r="135" spans="1:43" ht="15">
      <c r="A135" s="56" t="s">
        <v>250</v>
      </c>
      <c r="B135" s="43"/>
      <c r="C135" s="81" t="s">
        <v>251</v>
      </c>
      <c r="D135" s="53" t="s">
        <v>252</v>
      </c>
      <c r="E135" s="46"/>
      <c r="F135" s="47">
        <f>0.255*16*2</f>
        <v>8.16</v>
      </c>
      <c r="G135" s="95">
        <v>2</v>
      </c>
      <c r="H135" s="202"/>
      <c r="I135" s="187"/>
      <c r="AQ135" s="4"/>
    </row>
    <row r="136" spans="1:43" ht="15">
      <c r="A136" s="56" t="s">
        <v>253</v>
      </c>
      <c r="B136" s="43"/>
      <c r="C136" s="81" t="s">
        <v>254</v>
      </c>
      <c r="D136" s="53" t="s">
        <v>255</v>
      </c>
      <c r="E136" s="46"/>
      <c r="F136" s="47">
        <f>0.255*16*3</f>
        <v>12.24</v>
      </c>
      <c r="G136" s="95">
        <v>3</v>
      </c>
      <c r="H136" s="202"/>
      <c r="I136" s="187"/>
      <c r="AQ136" s="4"/>
    </row>
    <row r="137" spans="1:43" ht="15">
      <c r="A137" s="56" t="s">
        <v>256</v>
      </c>
      <c r="B137" s="43"/>
      <c r="C137" s="81"/>
      <c r="D137" s="102"/>
      <c r="E137" s="46"/>
      <c r="F137" s="47"/>
      <c r="G137" s="95"/>
      <c r="H137" s="202"/>
      <c r="I137" s="187"/>
      <c r="AQ137" s="4"/>
    </row>
    <row r="138" spans="1:43" ht="15">
      <c r="A138" s="56" t="s">
        <v>257</v>
      </c>
      <c r="B138" s="43"/>
      <c r="C138" s="110" t="s">
        <v>163</v>
      </c>
      <c r="D138" s="102" t="s">
        <v>258</v>
      </c>
      <c r="E138" s="46"/>
      <c r="F138" s="47"/>
      <c r="G138" s="95"/>
      <c r="H138" s="202"/>
      <c r="I138" s="187"/>
      <c r="AQ138" s="4"/>
    </row>
    <row r="139" spans="1:43" ht="15">
      <c r="A139" s="56" t="s">
        <v>259</v>
      </c>
      <c r="B139" s="43"/>
      <c r="C139" s="81" t="s">
        <v>260</v>
      </c>
      <c r="D139" s="53" t="s">
        <v>261</v>
      </c>
      <c r="E139" s="46"/>
      <c r="F139" s="47">
        <f>0.44*13*1</f>
        <v>5.72</v>
      </c>
      <c r="G139" s="95">
        <v>1</v>
      </c>
      <c r="H139" s="202"/>
      <c r="I139" s="187"/>
      <c r="AQ139" s="4"/>
    </row>
    <row r="140" spans="1:43" ht="15">
      <c r="A140" s="56" t="s">
        <v>262</v>
      </c>
      <c r="B140" s="43"/>
      <c r="C140" s="81" t="s">
        <v>260</v>
      </c>
      <c r="D140" s="53" t="s">
        <v>263</v>
      </c>
      <c r="E140" s="46"/>
      <c r="F140" s="47">
        <f>0.255*30*2</f>
        <v>15.3</v>
      </c>
      <c r="G140" s="95">
        <v>2</v>
      </c>
      <c r="H140" s="202"/>
      <c r="I140" s="187"/>
      <c r="AQ140" s="4"/>
    </row>
    <row r="141" spans="1:43" ht="15">
      <c r="A141" s="56" t="s">
        <v>264</v>
      </c>
      <c r="B141" s="43"/>
      <c r="C141" s="81" t="s">
        <v>265</v>
      </c>
      <c r="D141" s="53" t="s">
        <v>266</v>
      </c>
      <c r="E141" s="46"/>
      <c r="F141" s="47">
        <f>0.255*29*1</f>
        <v>7.3950000000000005</v>
      </c>
      <c r="G141" s="95">
        <v>1</v>
      </c>
      <c r="H141" s="202"/>
      <c r="I141" s="187"/>
      <c r="AQ141" s="4"/>
    </row>
    <row r="142" spans="1:43" ht="15">
      <c r="A142" s="56" t="s">
        <v>267</v>
      </c>
      <c r="B142" s="43"/>
      <c r="C142" s="81" t="s">
        <v>268</v>
      </c>
      <c r="D142" s="53" t="s">
        <v>230</v>
      </c>
      <c r="E142" s="46"/>
      <c r="F142" s="47">
        <f>0.255*18*1</f>
        <v>4.59</v>
      </c>
      <c r="G142" s="95">
        <v>1</v>
      </c>
      <c r="H142" s="202"/>
      <c r="I142" s="187"/>
      <c r="AQ142" s="4"/>
    </row>
    <row r="143" spans="1:43" ht="15">
      <c r="A143" s="56" t="s">
        <v>269</v>
      </c>
      <c r="B143" s="43"/>
      <c r="C143" s="81" t="s">
        <v>270</v>
      </c>
      <c r="D143" s="53" t="s">
        <v>271</v>
      </c>
      <c r="E143" s="46"/>
      <c r="F143" s="47">
        <f>0.255*20*1</f>
        <v>5.1</v>
      </c>
      <c r="G143" s="95">
        <v>1</v>
      </c>
      <c r="H143" s="202"/>
      <c r="I143" s="187"/>
      <c r="AQ143" s="4"/>
    </row>
    <row r="144" spans="1:43" ht="15">
      <c r="A144" s="56" t="s">
        <v>272</v>
      </c>
      <c r="B144" s="43"/>
      <c r="C144" s="81" t="s">
        <v>273</v>
      </c>
      <c r="D144" s="53" t="s">
        <v>271</v>
      </c>
      <c r="E144" s="46"/>
      <c r="F144" s="47">
        <f>0.255*20*1</f>
        <v>5.1</v>
      </c>
      <c r="G144" s="95">
        <v>1</v>
      </c>
      <c r="H144" s="202"/>
      <c r="I144" s="187"/>
      <c r="AQ144" s="4"/>
    </row>
    <row r="145" spans="1:43" ht="15">
      <c r="A145" s="56" t="s">
        <v>232</v>
      </c>
      <c r="B145" s="43"/>
      <c r="C145" s="81" t="s">
        <v>274</v>
      </c>
      <c r="D145" s="53" t="s">
        <v>230</v>
      </c>
      <c r="E145" s="46"/>
      <c r="F145" s="47">
        <f>0.255*18*1</f>
        <v>4.59</v>
      </c>
      <c r="G145" s="95">
        <v>1</v>
      </c>
      <c r="H145" s="202"/>
      <c r="I145" s="187"/>
      <c r="AQ145" s="4"/>
    </row>
    <row r="146" spans="1:43" ht="15">
      <c r="A146" s="56" t="s">
        <v>229</v>
      </c>
      <c r="B146" s="43"/>
      <c r="C146" s="81" t="s">
        <v>275</v>
      </c>
      <c r="D146" s="53" t="s">
        <v>230</v>
      </c>
      <c r="E146" s="46"/>
      <c r="F146" s="47">
        <f>0.255*18*1</f>
        <v>4.59</v>
      </c>
      <c r="G146" s="95">
        <v>1</v>
      </c>
      <c r="H146" s="202"/>
      <c r="I146" s="187"/>
      <c r="AQ146" s="4"/>
    </row>
    <row r="147" spans="1:43" ht="15">
      <c r="A147" s="56" t="s">
        <v>226</v>
      </c>
      <c r="B147" s="43"/>
      <c r="C147" s="81" t="s">
        <v>276</v>
      </c>
      <c r="D147" s="53" t="s">
        <v>277</v>
      </c>
      <c r="E147" s="46"/>
      <c r="F147" s="47">
        <f>0.255*24*1</f>
        <v>6.12</v>
      </c>
      <c r="G147" s="95">
        <v>1</v>
      </c>
      <c r="H147" s="202"/>
      <c r="I147" s="187"/>
      <c r="AQ147" s="4"/>
    </row>
    <row r="148" spans="1:43" ht="15">
      <c r="A148" s="56" t="s">
        <v>224</v>
      </c>
      <c r="B148" s="43"/>
      <c r="C148" s="81" t="s">
        <v>278</v>
      </c>
      <c r="D148" s="53" t="s">
        <v>230</v>
      </c>
      <c r="E148" s="46"/>
      <c r="F148" s="47">
        <f>0.255*18*1</f>
        <v>4.59</v>
      </c>
      <c r="G148" s="95">
        <v>1</v>
      </c>
      <c r="H148" s="202"/>
      <c r="I148" s="187"/>
      <c r="AQ148" s="4"/>
    </row>
    <row r="149" spans="1:43" ht="15">
      <c r="A149" s="56" t="s">
        <v>222</v>
      </c>
      <c r="B149" s="43"/>
      <c r="C149" s="81" t="s">
        <v>279</v>
      </c>
      <c r="D149" s="53" t="s">
        <v>280</v>
      </c>
      <c r="E149" s="46"/>
      <c r="F149" s="47">
        <f>0.255*22*1</f>
        <v>5.61</v>
      </c>
      <c r="G149" s="95">
        <v>1</v>
      </c>
      <c r="H149" s="202"/>
      <c r="I149" s="187"/>
      <c r="AQ149" s="4"/>
    </row>
    <row r="150" spans="1:43" ht="15">
      <c r="A150" s="56" t="s">
        <v>281</v>
      </c>
      <c r="B150" s="43"/>
      <c r="C150" s="110"/>
      <c r="D150" s="102"/>
      <c r="E150" s="46"/>
      <c r="F150" s="47"/>
      <c r="G150" s="95"/>
      <c r="H150" s="202"/>
      <c r="I150" s="187"/>
      <c r="AQ150" s="4"/>
    </row>
    <row r="151" spans="1:43" ht="15">
      <c r="A151" s="56" t="s">
        <v>216</v>
      </c>
      <c r="B151" s="43"/>
      <c r="C151" s="81"/>
      <c r="D151" s="104" t="s">
        <v>282</v>
      </c>
      <c r="E151" s="46"/>
      <c r="F151" s="47"/>
      <c r="G151" s="95"/>
      <c r="H151" s="202"/>
      <c r="I151" s="187"/>
      <c r="AQ151" s="4"/>
    </row>
    <row r="152" spans="1:43" ht="15">
      <c r="A152" s="56" t="s">
        <v>213</v>
      </c>
      <c r="B152" s="43"/>
      <c r="C152" s="81"/>
      <c r="D152" s="107" t="s">
        <v>283</v>
      </c>
      <c r="E152" s="46"/>
      <c r="F152" s="47"/>
      <c r="G152" s="95"/>
      <c r="H152" s="202"/>
      <c r="I152" s="187"/>
      <c r="AQ152" s="4"/>
    </row>
    <row r="153" spans="1:43" ht="15">
      <c r="A153" s="56" t="s">
        <v>210</v>
      </c>
      <c r="B153" s="43"/>
      <c r="C153" s="106" t="s">
        <v>163</v>
      </c>
      <c r="D153" s="108" t="s">
        <v>284</v>
      </c>
      <c r="E153" s="46"/>
      <c r="F153" s="47"/>
      <c r="G153" s="95"/>
      <c r="H153" s="202"/>
      <c r="I153" s="187"/>
      <c r="AQ153" s="4"/>
    </row>
    <row r="154" spans="1:43" ht="15">
      <c r="A154" s="56" t="s">
        <v>285</v>
      </c>
      <c r="B154" s="43"/>
      <c r="C154" s="81" t="s">
        <v>186</v>
      </c>
      <c r="D154" s="53" t="s">
        <v>286</v>
      </c>
      <c r="E154" s="46"/>
      <c r="F154" s="47">
        <f>0.255*22*4</f>
        <v>22.44</v>
      </c>
      <c r="G154" s="95">
        <v>4</v>
      </c>
      <c r="H154" s="202"/>
      <c r="I154" s="187"/>
      <c r="AQ154" s="4"/>
    </row>
    <row r="155" spans="1:43" ht="15">
      <c r="A155" s="56" t="s">
        <v>287</v>
      </c>
      <c r="B155" s="43"/>
      <c r="C155" s="81" t="s">
        <v>186</v>
      </c>
      <c r="D155" s="53" t="s">
        <v>288</v>
      </c>
      <c r="E155" s="46"/>
      <c r="F155" s="47">
        <f>0.255*24*1</f>
        <v>6.12</v>
      </c>
      <c r="G155" s="95">
        <v>1</v>
      </c>
      <c r="H155" s="202"/>
      <c r="I155" s="187"/>
      <c r="AQ155" s="4"/>
    </row>
    <row r="156" spans="1:43" ht="15">
      <c r="A156" s="56" t="s">
        <v>289</v>
      </c>
      <c r="B156" s="43"/>
      <c r="C156" s="81" t="s">
        <v>290</v>
      </c>
      <c r="D156" s="53" t="s">
        <v>291</v>
      </c>
      <c r="E156" s="46"/>
      <c r="F156" s="47">
        <f>0.255*12*2</f>
        <v>6.12</v>
      </c>
      <c r="G156" s="95">
        <v>2</v>
      </c>
      <c r="H156" s="202"/>
      <c r="I156" s="187"/>
      <c r="AQ156" s="4"/>
    </row>
    <row r="157" spans="1:43" ht="15">
      <c r="A157" s="56" t="s">
        <v>292</v>
      </c>
      <c r="B157" s="43"/>
      <c r="C157" s="81" t="s">
        <v>290</v>
      </c>
      <c r="D157" s="53" t="s">
        <v>217</v>
      </c>
      <c r="E157" s="46"/>
      <c r="F157" s="47">
        <f>0.255*14*1</f>
        <v>3.5700000000000003</v>
      </c>
      <c r="G157" s="95">
        <v>1</v>
      </c>
      <c r="H157" s="202"/>
      <c r="I157" s="187"/>
      <c r="AQ157" s="4"/>
    </row>
    <row r="158" spans="1:43" ht="15">
      <c r="A158" s="56" t="s">
        <v>293</v>
      </c>
      <c r="B158" s="43"/>
      <c r="C158" s="81" t="s">
        <v>294</v>
      </c>
      <c r="D158" s="53" t="s">
        <v>295</v>
      </c>
      <c r="E158" s="46"/>
      <c r="F158" s="47">
        <f>0.205*10*1</f>
        <v>2.05</v>
      </c>
      <c r="G158" s="95">
        <v>1</v>
      </c>
      <c r="H158" s="202"/>
      <c r="I158" s="187"/>
      <c r="AQ158" s="4"/>
    </row>
    <row r="159" spans="1:43" ht="15">
      <c r="A159" s="56" t="s">
        <v>296</v>
      </c>
      <c r="B159" s="43"/>
      <c r="C159" s="81" t="s">
        <v>297</v>
      </c>
      <c r="D159" s="53" t="s">
        <v>298</v>
      </c>
      <c r="E159" s="46"/>
      <c r="F159" s="47">
        <f>0.44*10*1</f>
        <v>4.4</v>
      </c>
      <c r="G159" s="95">
        <v>1</v>
      </c>
      <c r="H159" s="202"/>
      <c r="I159" s="187"/>
      <c r="AQ159" s="4"/>
    </row>
    <row r="160" spans="1:43" ht="15">
      <c r="A160" s="56" t="s">
        <v>299</v>
      </c>
      <c r="B160" s="43"/>
      <c r="C160" s="81" t="s">
        <v>213</v>
      </c>
      <c r="D160" s="53" t="s">
        <v>300</v>
      </c>
      <c r="E160" s="46"/>
      <c r="F160" s="47">
        <f>0.44*12*1</f>
        <v>5.28</v>
      </c>
      <c r="G160" s="95">
        <v>1</v>
      </c>
      <c r="H160" s="202"/>
      <c r="I160" s="187"/>
      <c r="AQ160" s="4"/>
    </row>
    <row r="161" spans="1:43" ht="15">
      <c r="A161" s="56" t="s">
        <v>301</v>
      </c>
      <c r="B161" s="43"/>
      <c r="C161" s="81" t="s">
        <v>210</v>
      </c>
      <c r="D161" s="53" t="s">
        <v>300</v>
      </c>
      <c r="E161" s="46"/>
      <c r="F161" s="47">
        <f>0.44*12*1</f>
        <v>5.28</v>
      </c>
      <c r="G161" s="95">
        <v>1</v>
      </c>
      <c r="H161" s="202"/>
      <c r="I161" s="187"/>
      <c r="AQ161" s="4"/>
    </row>
    <row r="162" spans="1:43" ht="15">
      <c r="A162" s="56" t="s">
        <v>302</v>
      </c>
      <c r="B162" s="43"/>
      <c r="C162" s="81"/>
      <c r="D162" s="100"/>
      <c r="E162" s="46"/>
      <c r="F162" s="111"/>
      <c r="G162" s="95"/>
      <c r="H162" s="202"/>
      <c r="I162" s="187"/>
      <c r="AQ162" s="4"/>
    </row>
    <row r="163" spans="1:43" ht="15">
      <c r="A163" s="56" t="s">
        <v>303</v>
      </c>
      <c r="B163" s="43"/>
      <c r="C163" s="106" t="s">
        <v>163</v>
      </c>
      <c r="D163" s="108" t="s">
        <v>304</v>
      </c>
      <c r="E163" s="46"/>
      <c r="F163" s="111"/>
      <c r="G163" s="95"/>
      <c r="H163" s="202"/>
      <c r="I163" s="187"/>
      <c r="AQ163" s="4"/>
    </row>
    <row r="164" spans="1:43" ht="15">
      <c r="A164" s="56" t="s">
        <v>305</v>
      </c>
      <c r="B164" s="43"/>
      <c r="C164" s="81" t="s">
        <v>306</v>
      </c>
      <c r="D164" s="53" t="s">
        <v>217</v>
      </c>
      <c r="E164" s="46"/>
      <c r="F164" s="47">
        <f>0.255*14*1</f>
        <v>3.5700000000000003</v>
      </c>
      <c r="G164" s="95">
        <v>1</v>
      </c>
      <c r="H164" s="202"/>
      <c r="I164" s="187"/>
      <c r="AQ164" s="4"/>
    </row>
    <row r="165" spans="1:43" ht="15">
      <c r="A165" s="56" t="s">
        <v>307</v>
      </c>
      <c r="B165" s="43"/>
      <c r="C165" s="81" t="s">
        <v>308</v>
      </c>
      <c r="D165" s="53" t="s">
        <v>309</v>
      </c>
      <c r="E165" s="46"/>
      <c r="F165" s="47">
        <f>0.255*19*1</f>
        <v>4.845</v>
      </c>
      <c r="G165" s="95">
        <v>1</v>
      </c>
      <c r="H165" s="202"/>
      <c r="I165" s="187"/>
      <c r="AQ165" s="4"/>
    </row>
    <row r="166" spans="1:43" ht="15">
      <c r="A166" s="56" t="s">
        <v>310</v>
      </c>
      <c r="B166" s="43"/>
      <c r="C166" s="81" t="s">
        <v>311</v>
      </c>
      <c r="D166" s="53" t="s">
        <v>217</v>
      </c>
      <c r="E166" s="46"/>
      <c r="F166" s="47">
        <f>0.255*14*1</f>
        <v>3.5700000000000003</v>
      </c>
      <c r="G166" s="95">
        <v>1</v>
      </c>
      <c r="H166" s="202"/>
      <c r="I166" s="187"/>
      <c r="AQ166" s="4"/>
    </row>
    <row r="167" spans="1:43" ht="15">
      <c r="A167" s="56" t="s">
        <v>312</v>
      </c>
      <c r="B167" s="43"/>
      <c r="C167" s="81" t="s">
        <v>313</v>
      </c>
      <c r="D167" s="53" t="s">
        <v>309</v>
      </c>
      <c r="E167" s="46"/>
      <c r="F167" s="47">
        <f>0.255*19*1</f>
        <v>4.845</v>
      </c>
      <c r="G167" s="95">
        <v>1</v>
      </c>
      <c r="H167" s="202"/>
      <c r="I167" s="187"/>
      <c r="AQ167" s="4"/>
    </row>
    <row r="168" spans="1:43" ht="15">
      <c r="A168" s="56" t="s">
        <v>314</v>
      </c>
      <c r="B168" s="43"/>
      <c r="C168" s="81" t="s">
        <v>315</v>
      </c>
      <c r="D168" s="53" t="s">
        <v>309</v>
      </c>
      <c r="E168" s="46"/>
      <c r="F168" s="47">
        <f>0.255*19*1</f>
        <v>4.845</v>
      </c>
      <c r="G168" s="95">
        <v>1</v>
      </c>
      <c r="H168" s="202"/>
      <c r="I168" s="187"/>
      <c r="AQ168" s="4"/>
    </row>
    <row r="169" spans="1:43" ht="15">
      <c r="A169" s="56" t="s">
        <v>316</v>
      </c>
      <c r="B169" s="43"/>
      <c r="C169" s="81" t="s">
        <v>317</v>
      </c>
      <c r="D169" s="53" t="s">
        <v>309</v>
      </c>
      <c r="E169" s="46"/>
      <c r="F169" s="47">
        <f>0.255*19*1</f>
        <v>4.845</v>
      </c>
      <c r="G169" s="95">
        <v>1</v>
      </c>
      <c r="H169" s="202"/>
      <c r="I169" s="187"/>
      <c r="AQ169" s="4"/>
    </row>
    <row r="170" spans="1:43" ht="15">
      <c r="A170" s="56" t="s">
        <v>318</v>
      </c>
      <c r="B170" s="43"/>
      <c r="C170" s="81" t="s">
        <v>319</v>
      </c>
      <c r="D170" s="53" t="s">
        <v>309</v>
      </c>
      <c r="E170" s="46"/>
      <c r="F170" s="47">
        <f>0.255*19*1</f>
        <v>4.845</v>
      </c>
      <c r="G170" s="95">
        <v>1</v>
      </c>
      <c r="H170" s="202"/>
      <c r="I170" s="187"/>
      <c r="AQ170" s="4"/>
    </row>
    <row r="171" spans="1:43" ht="15">
      <c r="A171" s="56" t="s">
        <v>320</v>
      </c>
      <c r="B171" s="43"/>
      <c r="C171" s="81" t="s">
        <v>321</v>
      </c>
      <c r="D171" s="53" t="s">
        <v>195</v>
      </c>
      <c r="E171" s="46"/>
      <c r="F171" s="47">
        <f>0.255*18*1</f>
        <v>4.59</v>
      </c>
      <c r="G171" s="95">
        <v>1</v>
      </c>
      <c r="H171" s="202"/>
      <c r="I171" s="187"/>
      <c r="AQ171" s="4"/>
    </row>
    <row r="172" spans="1:43" ht="15">
      <c r="A172" s="56" t="s">
        <v>322</v>
      </c>
      <c r="B172" s="43"/>
      <c r="C172" s="81" t="s">
        <v>323</v>
      </c>
      <c r="D172" s="53" t="s">
        <v>195</v>
      </c>
      <c r="E172" s="46"/>
      <c r="F172" s="47">
        <f>0.255*18*1</f>
        <v>4.59</v>
      </c>
      <c r="G172" s="95">
        <v>1</v>
      </c>
      <c r="H172" s="202"/>
      <c r="I172" s="187"/>
      <c r="AQ172" s="4"/>
    </row>
    <row r="173" spans="1:43" ht="15">
      <c r="A173" s="56" t="s">
        <v>324</v>
      </c>
      <c r="B173" s="43"/>
      <c r="C173" s="81" t="s">
        <v>325</v>
      </c>
      <c r="D173" s="53" t="s">
        <v>326</v>
      </c>
      <c r="E173" s="46"/>
      <c r="F173" s="47">
        <f>0.185*20*3</f>
        <v>11.100000000000001</v>
      </c>
      <c r="G173" s="95">
        <v>3</v>
      </c>
      <c r="H173" s="202"/>
      <c r="I173" s="187"/>
      <c r="AQ173" s="4"/>
    </row>
    <row r="174" spans="1:43" ht="15">
      <c r="A174" s="56" t="s">
        <v>327</v>
      </c>
      <c r="B174" s="43"/>
      <c r="C174" s="81"/>
      <c r="D174" s="53"/>
      <c r="E174" s="46"/>
      <c r="F174" s="47"/>
      <c r="G174" s="95"/>
      <c r="H174" s="202"/>
      <c r="I174" s="187"/>
      <c r="AQ174" s="4"/>
    </row>
    <row r="175" spans="1:43" ht="15">
      <c r="A175" s="56" t="s">
        <v>328</v>
      </c>
      <c r="B175" s="43"/>
      <c r="C175" s="106" t="s">
        <v>163</v>
      </c>
      <c r="D175" s="108" t="s">
        <v>329</v>
      </c>
      <c r="E175" s="46"/>
      <c r="F175" s="47"/>
      <c r="G175" s="95"/>
      <c r="H175" s="202"/>
      <c r="I175" s="187"/>
      <c r="AQ175" s="4"/>
    </row>
    <row r="176" spans="1:43" ht="15">
      <c r="A176" s="56" t="s">
        <v>330</v>
      </c>
      <c r="B176" s="43"/>
      <c r="C176" s="81" t="s">
        <v>272</v>
      </c>
      <c r="D176" s="53" t="s">
        <v>180</v>
      </c>
      <c r="E176" s="46"/>
      <c r="F176" s="47">
        <f>0.255*16*1</f>
        <v>4.08</v>
      </c>
      <c r="G176" s="95">
        <v>1</v>
      </c>
      <c r="H176" s="202"/>
      <c r="I176" s="187"/>
      <c r="AQ176" s="4"/>
    </row>
    <row r="177" spans="1:43" ht="15">
      <c r="A177" s="56" t="s">
        <v>331</v>
      </c>
      <c r="B177" s="43"/>
      <c r="C177" s="81" t="s">
        <v>269</v>
      </c>
      <c r="D177" s="53" t="s">
        <v>180</v>
      </c>
      <c r="E177" s="46"/>
      <c r="F177" s="47">
        <f>0.255*16*1</f>
        <v>4.08</v>
      </c>
      <c r="G177" s="95">
        <v>1</v>
      </c>
      <c r="H177" s="202"/>
      <c r="I177" s="187"/>
      <c r="AQ177" s="4"/>
    </row>
    <row r="178" spans="1:43" ht="15">
      <c r="A178" s="56" t="s">
        <v>332</v>
      </c>
      <c r="B178" s="43"/>
      <c r="C178" s="81" t="s">
        <v>333</v>
      </c>
      <c r="D178" s="53" t="s">
        <v>180</v>
      </c>
      <c r="E178" s="46"/>
      <c r="F178" s="47">
        <f>0.255*16*1</f>
        <v>4.08</v>
      </c>
      <c r="G178" s="95">
        <v>1</v>
      </c>
      <c r="H178" s="202"/>
      <c r="I178" s="187"/>
      <c r="AQ178" s="4"/>
    </row>
    <row r="179" spans="1:43" ht="15">
      <c r="A179" s="56" t="s">
        <v>334</v>
      </c>
      <c r="B179" s="43"/>
      <c r="C179" s="81" t="s">
        <v>335</v>
      </c>
      <c r="D179" s="53" t="s">
        <v>201</v>
      </c>
      <c r="E179" s="46"/>
      <c r="F179" s="47">
        <f>0.255*17*1</f>
        <v>4.335</v>
      </c>
      <c r="G179" s="95">
        <v>1</v>
      </c>
      <c r="H179" s="202"/>
      <c r="I179" s="187"/>
      <c r="AQ179" s="4"/>
    </row>
    <row r="180" spans="1:43" ht="15">
      <c r="A180" s="56" t="s">
        <v>336</v>
      </c>
      <c r="B180" s="43"/>
      <c r="C180" s="81" t="s">
        <v>262</v>
      </c>
      <c r="D180" s="53" t="s">
        <v>195</v>
      </c>
      <c r="E180" s="46"/>
      <c r="F180" s="47">
        <f>0.255*18*1</f>
        <v>4.59</v>
      </c>
      <c r="G180" s="95">
        <v>1</v>
      </c>
      <c r="H180" s="202"/>
      <c r="I180" s="187"/>
      <c r="AQ180" s="4"/>
    </row>
    <row r="181" spans="1:43" ht="15">
      <c r="A181" s="56" t="s">
        <v>337</v>
      </c>
      <c r="B181" s="43"/>
      <c r="C181" s="81" t="s">
        <v>259</v>
      </c>
      <c r="D181" s="53" t="s">
        <v>338</v>
      </c>
      <c r="E181" s="46"/>
      <c r="F181" s="47">
        <f>0.255*16*3</f>
        <v>12.24</v>
      </c>
      <c r="G181" s="95">
        <v>3</v>
      </c>
      <c r="H181" s="202"/>
      <c r="I181" s="187"/>
      <c r="AQ181" s="4"/>
    </row>
    <row r="182" spans="1:43" ht="15">
      <c r="A182" s="56" t="s">
        <v>339</v>
      </c>
      <c r="B182" s="43"/>
      <c r="C182" s="81" t="s">
        <v>257</v>
      </c>
      <c r="D182" s="53" t="s">
        <v>340</v>
      </c>
      <c r="E182" s="46"/>
      <c r="F182" s="47">
        <f>0.255*28*1</f>
        <v>7.140000000000001</v>
      </c>
      <c r="G182" s="95">
        <v>1</v>
      </c>
      <c r="H182" s="202"/>
      <c r="I182" s="187"/>
      <c r="AQ182" s="4"/>
    </row>
    <row r="183" spans="1:43" ht="15">
      <c r="A183" s="56" t="s">
        <v>341</v>
      </c>
      <c r="B183" s="43"/>
      <c r="C183" s="81" t="s">
        <v>256</v>
      </c>
      <c r="D183" s="53" t="s">
        <v>342</v>
      </c>
      <c r="E183" s="46"/>
      <c r="F183" s="47">
        <f>0.255*22*3</f>
        <v>16.830000000000002</v>
      </c>
      <c r="G183" s="95">
        <v>3</v>
      </c>
      <c r="H183" s="202"/>
      <c r="I183" s="187"/>
      <c r="AQ183" s="4"/>
    </row>
    <row r="184" spans="1:43" ht="15">
      <c r="A184" s="56" t="s">
        <v>343</v>
      </c>
      <c r="B184" s="43"/>
      <c r="C184" s="81"/>
      <c r="D184" s="53"/>
      <c r="E184" s="46"/>
      <c r="F184" s="47"/>
      <c r="G184" s="95"/>
      <c r="H184" s="202"/>
      <c r="I184" s="187"/>
      <c r="AQ184" s="4"/>
    </row>
    <row r="185" spans="1:43" ht="15">
      <c r="A185" s="56" t="s">
        <v>344</v>
      </c>
      <c r="B185" s="43"/>
      <c r="C185" s="106" t="s">
        <v>163</v>
      </c>
      <c r="D185" s="108" t="s">
        <v>345</v>
      </c>
      <c r="E185" s="46"/>
      <c r="F185" s="47"/>
      <c r="G185" s="95"/>
      <c r="H185" s="202"/>
      <c r="I185" s="187"/>
      <c r="AQ185" s="4"/>
    </row>
    <row r="186" spans="1:43" ht="15">
      <c r="A186" s="56" t="s">
        <v>346</v>
      </c>
      <c r="B186" s="43"/>
      <c r="C186" s="81" t="s">
        <v>347</v>
      </c>
      <c r="D186" s="53" t="s">
        <v>177</v>
      </c>
      <c r="E186" s="46"/>
      <c r="F186" s="47">
        <f>0.255*15*1</f>
        <v>3.825</v>
      </c>
      <c r="G186" s="95">
        <v>1</v>
      </c>
      <c r="H186" s="202"/>
      <c r="I186" s="187"/>
      <c r="AQ186" s="4"/>
    </row>
    <row r="187" spans="1:43" ht="15">
      <c r="A187" s="56" t="s">
        <v>348</v>
      </c>
      <c r="B187" s="43"/>
      <c r="C187" s="81" t="s">
        <v>349</v>
      </c>
      <c r="D187" s="53" t="s">
        <v>201</v>
      </c>
      <c r="E187" s="46"/>
      <c r="F187" s="47">
        <f>0.255*17*1</f>
        <v>4.335</v>
      </c>
      <c r="G187" s="95">
        <v>1</v>
      </c>
      <c r="H187" s="202"/>
      <c r="I187" s="187"/>
      <c r="AQ187" s="4"/>
    </row>
    <row r="188" spans="1:43" ht="15">
      <c r="A188" s="56" t="s">
        <v>350</v>
      </c>
      <c r="B188" s="43"/>
      <c r="C188" s="81" t="s">
        <v>351</v>
      </c>
      <c r="D188" s="53" t="s">
        <v>180</v>
      </c>
      <c r="E188" s="46"/>
      <c r="F188" s="47">
        <f aca="true" t="shared" si="4" ref="F188:F190">0.255*16*1</f>
        <v>4.08</v>
      </c>
      <c r="G188" s="95">
        <v>1</v>
      </c>
      <c r="H188" s="202"/>
      <c r="I188" s="187"/>
      <c r="AQ188" s="4"/>
    </row>
    <row r="189" spans="1:43" ht="15">
      <c r="A189" s="56" t="s">
        <v>352</v>
      </c>
      <c r="B189" s="43"/>
      <c r="C189" s="81" t="s">
        <v>353</v>
      </c>
      <c r="D189" s="53" t="s">
        <v>180</v>
      </c>
      <c r="E189" s="46"/>
      <c r="F189" s="47">
        <f t="shared" si="4"/>
        <v>4.08</v>
      </c>
      <c r="G189" s="95">
        <v>1</v>
      </c>
      <c r="H189" s="202"/>
      <c r="I189" s="187"/>
      <c r="AQ189" s="4"/>
    </row>
    <row r="190" spans="1:43" ht="15">
      <c r="A190" s="56" t="s">
        <v>354</v>
      </c>
      <c r="B190" s="43"/>
      <c r="C190" s="81" t="s">
        <v>355</v>
      </c>
      <c r="D190" s="53" t="s">
        <v>180</v>
      </c>
      <c r="E190" s="46"/>
      <c r="F190" s="47">
        <f t="shared" si="4"/>
        <v>4.08</v>
      </c>
      <c r="G190" s="95">
        <v>1</v>
      </c>
      <c r="H190" s="202"/>
      <c r="I190" s="187"/>
      <c r="AQ190" s="4"/>
    </row>
    <row r="191" spans="1:43" ht="15">
      <c r="A191" s="56" t="s">
        <v>356</v>
      </c>
      <c r="B191" s="43"/>
      <c r="C191" s="81" t="s">
        <v>357</v>
      </c>
      <c r="D191" s="53" t="s">
        <v>180</v>
      </c>
      <c r="E191" s="46"/>
      <c r="F191" s="47">
        <f>0.255*16*1</f>
        <v>4.08</v>
      </c>
      <c r="G191" s="95">
        <v>1</v>
      </c>
      <c r="H191" s="202"/>
      <c r="I191" s="187"/>
      <c r="AQ191" s="4"/>
    </row>
    <row r="192" spans="1:43" ht="15">
      <c r="A192" s="56" t="s">
        <v>358</v>
      </c>
      <c r="B192" s="43"/>
      <c r="C192" s="81" t="s">
        <v>359</v>
      </c>
      <c r="D192" s="53" t="s">
        <v>180</v>
      </c>
      <c r="E192" s="46"/>
      <c r="F192" s="47">
        <f>0.255*16*1</f>
        <v>4.08</v>
      </c>
      <c r="G192" s="95">
        <v>1</v>
      </c>
      <c r="H192" s="202"/>
      <c r="I192" s="187"/>
      <c r="AQ192" s="4"/>
    </row>
    <row r="193" spans="1:43" ht="15">
      <c r="A193" s="56" t="s">
        <v>360</v>
      </c>
      <c r="B193" s="43"/>
      <c r="C193" s="81" t="s">
        <v>361</v>
      </c>
      <c r="D193" s="53" t="s">
        <v>201</v>
      </c>
      <c r="E193" s="46"/>
      <c r="F193" s="47">
        <f>0.255*17*1</f>
        <v>4.335</v>
      </c>
      <c r="G193" s="95">
        <v>1</v>
      </c>
      <c r="H193" s="202"/>
      <c r="I193" s="187"/>
      <c r="AQ193" s="4"/>
    </row>
    <row r="194" spans="1:43" ht="15">
      <c r="A194" s="56" t="s">
        <v>362</v>
      </c>
      <c r="B194" s="43"/>
      <c r="C194" s="81" t="s">
        <v>363</v>
      </c>
      <c r="D194" s="53" t="s">
        <v>340</v>
      </c>
      <c r="E194" s="46"/>
      <c r="F194" s="47">
        <f>0.255*28*1</f>
        <v>7.140000000000001</v>
      </c>
      <c r="G194" s="95">
        <v>1</v>
      </c>
      <c r="H194" s="202"/>
      <c r="I194" s="187"/>
      <c r="AQ194" s="4"/>
    </row>
    <row r="195" spans="1:43" ht="15">
      <c r="A195" s="56" t="s">
        <v>364</v>
      </c>
      <c r="B195" s="43"/>
      <c r="C195" s="81" t="s">
        <v>365</v>
      </c>
      <c r="D195" s="50" t="s">
        <v>195</v>
      </c>
      <c r="E195" s="46"/>
      <c r="F195" s="47">
        <f>0.255*18*1</f>
        <v>4.59</v>
      </c>
      <c r="G195" s="95">
        <v>1</v>
      </c>
      <c r="H195" s="202"/>
      <c r="I195" s="187"/>
      <c r="AQ195" s="4"/>
    </row>
    <row r="196" spans="1:43" ht="15">
      <c r="A196" s="56" t="s">
        <v>366</v>
      </c>
      <c r="B196" s="43"/>
      <c r="C196" s="81" t="s">
        <v>367</v>
      </c>
      <c r="D196" s="50" t="s">
        <v>195</v>
      </c>
      <c r="E196" s="46"/>
      <c r="F196" s="47">
        <f>0.255*18*1</f>
        <v>4.59</v>
      </c>
      <c r="G196" s="95">
        <v>1</v>
      </c>
      <c r="H196" s="202"/>
      <c r="I196" s="187"/>
      <c r="AQ196" s="4"/>
    </row>
    <row r="197" spans="1:43" ht="15">
      <c r="A197" s="56" t="s">
        <v>368</v>
      </c>
      <c r="B197" s="43"/>
      <c r="C197" s="81" t="s">
        <v>369</v>
      </c>
      <c r="D197" s="50" t="s">
        <v>370</v>
      </c>
      <c r="E197" s="46"/>
      <c r="F197" s="47">
        <f>0.255*30*1</f>
        <v>7.65</v>
      </c>
      <c r="G197" s="95">
        <v>1</v>
      </c>
      <c r="H197" s="202"/>
      <c r="I197" s="187"/>
      <c r="AQ197" s="4"/>
    </row>
    <row r="198" spans="1:43" ht="15">
      <c r="A198" s="56" t="s">
        <v>371</v>
      </c>
      <c r="B198" s="43"/>
      <c r="C198" s="81"/>
      <c r="D198" s="53"/>
      <c r="E198" s="46"/>
      <c r="F198" s="47"/>
      <c r="G198" s="95"/>
      <c r="H198" s="202"/>
      <c r="I198" s="187"/>
      <c r="AQ198" s="4"/>
    </row>
    <row r="199" spans="1:43" ht="15">
      <c r="A199" s="56" t="s">
        <v>372</v>
      </c>
      <c r="B199" s="43"/>
      <c r="C199" s="106" t="s">
        <v>163</v>
      </c>
      <c r="D199" s="108" t="s">
        <v>373</v>
      </c>
      <c r="E199" s="46"/>
      <c r="F199" s="47"/>
      <c r="G199" s="95"/>
      <c r="H199" s="202"/>
      <c r="I199" s="187"/>
      <c r="AQ199" s="4"/>
    </row>
    <row r="200" spans="1:43" ht="15">
      <c r="A200" s="56" t="s">
        <v>374</v>
      </c>
      <c r="B200" s="43"/>
      <c r="C200" s="81" t="s">
        <v>375</v>
      </c>
      <c r="D200" s="53" t="s">
        <v>172</v>
      </c>
      <c r="E200" s="46"/>
      <c r="F200" s="47">
        <f>0.255*22*1</f>
        <v>5.61</v>
      </c>
      <c r="G200" s="95">
        <v>1</v>
      </c>
      <c r="H200" s="202"/>
      <c r="I200" s="187"/>
      <c r="AQ200" s="4"/>
    </row>
    <row r="201" spans="1:43" ht="15">
      <c r="A201" s="56" t="s">
        <v>376</v>
      </c>
      <c r="B201" s="43"/>
      <c r="C201" s="81" t="s">
        <v>377</v>
      </c>
      <c r="D201" s="53" t="s">
        <v>378</v>
      </c>
      <c r="E201" s="46"/>
      <c r="F201" s="47">
        <f>0.255*26*1</f>
        <v>6.63</v>
      </c>
      <c r="G201" s="95">
        <v>1</v>
      </c>
      <c r="H201" s="202"/>
      <c r="I201" s="187"/>
      <c r="AQ201" s="4"/>
    </row>
    <row r="202" spans="1:43" ht="15">
      <c r="A202" s="56" t="s">
        <v>379</v>
      </c>
      <c r="B202" s="43"/>
      <c r="C202" s="81" t="s">
        <v>380</v>
      </c>
      <c r="D202" s="53" t="s">
        <v>378</v>
      </c>
      <c r="E202" s="46"/>
      <c r="F202" s="47">
        <f>0.255*26*1</f>
        <v>6.63</v>
      </c>
      <c r="G202" s="95">
        <v>1</v>
      </c>
      <c r="H202" s="202"/>
      <c r="I202" s="187"/>
      <c r="AQ202" s="4"/>
    </row>
    <row r="203" spans="1:43" ht="15">
      <c r="A203" s="56" t="s">
        <v>381</v>
      </c>
      <c r="B203" s="43"/>
      <c r="C203" s="81" t="s">
        <v>382</v>
      </c>
      <c r="D203" s="53" t="s">
        <v>378</v>
      </c>
      <c r="E203" s="46"/>
      <c r="F203" s="47">
        <f aca="true" t="shared" si="5" ref="F203:F204">0.255*26*1</f>
        <v>6.63</v>
      </c>
      <c r="G203" s="95">
        <v>1</v>
      </c>
      <c r="H203" s="202"/>
      <c r="I203" s="187"/>
      <c r="AQ203" s="4"/>
    </row>
    <row r="204" spans="1:43" ht="15">
      <c r="A204" s="56" t="s">
        <v>383</v>
      </c>
      <c r="B204" s="43"/>
      <c r="C204" s="81" t="s">
        <v>384</v>
      </c>
      <c r="D204" s="53" t="s">
        <v>378</v>
      </c>
      <c r="E204" s="46"/>
      <c r="F204" s="47">
        <f t="shared" si="5"/>
        <v>6.63</v>
      </c>
      <c r="G204" s="95">
        <v>1</v>
      </c>
      <c r="H204" s="202"/>
      <c r="I204" s="187"/>
      <c r="AQ204" s="4"/>
    </row>
    <row r="205" spans="1:43" ht="15">
      <c r="A205" s="56" t="s">
        <v>385</v>
      </c>
      <c r="B205" s="43"/>
      <c r="C205" s="81" t="s">
        <v>386</v>
      </c>
      <c r="D205" s="53" t="s">
        <v>169</v>
      </c>
      <c r="E205" s="46"/>
      <c r="F205" s="47">
        <f>0.255*22*2</f>
        <v>11.22</v>
      </c>
      <c r="G205" s="95">
        <v>2</v>
      </c>
      <c r="H205" s="202"/>
      <c r="I205" s="187"/>
      <c r="AQ205" s="4"/>
    </row>
    <row r="206" spans="1:43" ht="15">
      <c r="A206" s="56" t="s">
        <v>387</v>
      </c>
      <c r="B206" s="43"/>
      <c r="C206" s="81" t="s">
        <v>388</v>
      </c>
      <c r="D206" s="50" t="s">
        <v>389</v>
      </c>
      <c r="E206" s="46"/>
      <c r="F206" s="47">
        <f>0.255*30*2</f>
        <v>15.3</v>
      </c>
      <c r="G206" s="95">
        <v>2</v>
      </c>
      <c r="H206" s="202"/>
      <c r="I206" s="187"/>
      <c r="AQ206" s="4"/>
    </row>
    <row r="207" spans="1:43" ht="15">
      <c r="A207" s="56" t="s">
        <v>390</v>
      </c>
      <c r="B207" s="43"/>
      <c r="C207" s="81" t="s">
        <v>391</v>
      </c>
      <c r="D207" s="50" t="s">
        <v>392</v>
      </c>
      <c r="E207" s="46"/>
      <c r="F207" s="47">
        <f>0.255*30*3</f>
        <v>22.950000000000003</v>
      </c>
      <c r="G207" s="95">
        <v>3</v>
      </c>
      <c r="H207" s="202"/>
      <c r="I207" s="187"/>
      <c r="AQ207" s="4"/>
    </row>
    <row r="208" spans="1:43" ht="15">
      <c r="A208" s="56" t="s">
        <v>393</v>
      </c>
      <c r="B208" s="43"/>
      <c r="C208" s="81"/>
      <c r="D208" s="53"/>
      <c r="E208" s="46"/>
      <c r="F208" s="47"/>
      <c r="G208" s="95"/>
      <c r="H208" s="202"/>
      <c r="I208" s="187"/>
      <c r="AQ208" s="4"/>
    </row>
    <row r="209" spans="1:43" ht="15">
      <c r="A209" s="56" t="s">
        <v>394</v>
      </c>
      <c r="B209" s="43"/>
      <c r="C209" s="81"/>
      <c r="D209" s="104" t="s">
        <v>395</v>
      </c>
      <c r="E209" s="46"/>
      <c r="F209" s="47"/>
      <c r="G209" s="95"/>
      <c r="H209" s="202"/>
      <c r="I209" s="187"/>
      <c r="AQ209" s="4"/>
    </row>
    <row r="210" spans="1:43" ht="15">
      <c r="A210" s="56" t="s">
        <v>396</v>
      </c>
      <c r="B210" s="43"/>
      <c r="C210" s="81"/>
      <c r="D210" s="107" t="s">
        <v>397</v>
      </c>
      <c r="E210" s="46" t="s">
        <v>55</v>
      </c>
      <c r="F210" s="95">
        <f>SUM(F212:F306)</f>
        <v>430.7899999999999</v>
      </c>
      <c r="G210" s="95"/>
      <c r="H210" s="202"/>
      <c r="I210" s="187"/>
      <c r="AQ210" s="4"/>
    </row>
    <row r="211" spans="1:43" ht="15">
      <c r="A211" s="56" t="s">
        <v>398</v>
      </c>
      <c r="B211" s="43"/>
      <c r="C211" s="106" t="s">
        <v>163</v>
      </c>
      <c r="D211" s="108" t="s">
        <v>399</v>
      </c>
      <c r="E211" s="46"/>
      <c r="F211" s="47"/>
      <c r="G211" s="95"/>
      <c r="H211" s="202"/>
      <c r="I211" s="187"/>
      <c r="AQ211" s="4"/>
    </row>
    <row r="212" spans="1:43" ht="15">
      <c r="A212" s="56" t="s">
        <v>400</v>
      </c>
      <c r="B212" s="43"/>
      <c r="C212" s="81" t="s">
        <v>401</v>
      </c>
      <c r="D212" s="50" t="s">
        <v>402</v>
      </c>
      <c r="E212" s="46"/>
      <c r="F212" s="47">
        <f>0.44*7*1</f>
        <v>3.08</v>
      </c>
      <c r="G212" s="95">
        <v>1</v>
      </c>
      <c r="H212" s="202"/>
      <c r="I212" s="187"/>
      <c r="AQ212" s="4"/>
    </row>
    <row r="213" spans="1:43" ht="15">
      <c r="A213" s="56" t="s">
        <v>403</v>
      </c>
      <c r="B213" s="43"/>
      <c r="C213" s="81"/>
      <c r="D213" s="53"/>
      <c r="E213" s="46"/>
      <c r="F213" s="47"/>
      <c r="G213" s="95"/>
      <c r="H213" s="202"/>
      <c r="I213" s="187"/>
      <c r="AQ213" s="4"/>
    </row>
    <row r="214" spans="1:43" ht="15">
      <c r="A214" s="56" t="s">
        <v>404</v>
      </c>
      <c r="B214" s="43"/>
      <c r="C214" s="110" t="s">
        <v>163</v>
      </c>
      <c r="D214" s="108" t="s">
        <v>405</v>
      </c>
      <c r="E214" s="46"/>
      <c r="F214" s="47"/>
      <c r="G214" s="95"/>
      <c r="H214" s="202"/>
      <c r="I214" s="187"/>
      <c r="AQ214" s="4"/>
    </row>
    <row r="215" spans="1:43" ht="15">
      <c r="A215" s="56" t="s">
        <v>406</v>
      </c>
      <c r="B215" s="43"/>
      <c r="C215" s="81" t="s">
        <v>407</v>
      </c>
      <c r="D215" s="50" t="s">
        <v>408</v>
      </c>
      <c r="E215" s="46"/>
      <c r="F215" s="47">
        <f>0.255*18*2</f>
        <v>9.18</v>
      </c>
      <c r="G215" s="95">
        <v>2</v>
      </c>
      <c r="H215" s="202"/>
      <c r="I215" s="187"/>
      <c r="AQ215" s="4"/>
    </row>
    <row r="216" spans="1:43" ht="15">
      <c r="A216" s="56" t="s">
        <v>409</v>
      </c>
      <c r="B216" s="43"/>
      <c r="C216" s="81" t="s">
        <v>290</v>
      </c>
      <c r="D216" s="50" t="s">
        <v>410</v>
      </c>
      <c r="E216" s="46"/>
      <c r="F216" s="47">
        <f>0.255*28*1</f>
        <v>7.140000000000001</v>
      </c>
      <c r="G216" s="95">
        <v>1</v>
      </c>
      <c r="H216" s="202"/>
      <c r="I216" s="187"/>
      <c r="AQ216" s="4"/>
    </row>
    <row r="217" spans="1:43" ht="15">
      <c r="A217" s="56" t="s">
        <v>411</v>
      </c>
      <c r="B217" s="43"/>
      <c r="C217" s="81" t="s">
        <v>412</v>
      </c>
      <c r="D217" s="50" t="s">
        <v>410</v>
      </c>
      <c r="E217" s="46"/>
      <c r="F217" s="47">
        <f>0.255*28*1</f>
        <v>7.140000000000001</v>
      </c>
      <c r="G217" s="95">
        <v>1</v>
      </c>
      <c r="H217" s="202"/>
      <c r="I217" s="187"/>
      <c r="AQ217" s="4"/>
    </row>
    <row r="218" spans="1:43" ht="15">
      <c r="A218" s="56" t="s">
        <v>413</v>
      </c>
      <c r="B218" s="43"/>
      <c r="C218" s="81" t="s">
        <v>414</v>
      </c>
      <c r="D218" s="50" t="s">
        <v>415</v>
      </c>
      <c r="E218" s="46"/>
      <c r="F218" s="47">
        <f>0.255*19*1</f>
        <v>4.845</v>
      </c>
      <c r="G218" s="95">
        <v>1</v>
      </c>
      <c r="H218" s="202"/>
      <c r="I218" s="187"/>
      <c r="AQ218" s="4"/>
    </row>
    <row r="219" spans="1:43" ht="15">
      <c r="A219" s="56" t="s">
        <v>416</v>
      </c>
      <c r="B219" s="43"/>
      <c r="C219" s="81" t="s">
        <v>417</v>
      </c>
      <c r="D219" s="50" t="s">
        <v>415</v>
      </c>
      <c r="E219" s="46"/>
      <c r="F219" s="47">
        <f>0.255*19*1</f>
        <v>4.845</v>
      </c>
      <c r="G219" s="95">
        <v>1</v>
      </c>
      <c r="H219" s="202"/>
      <c r="I219" s="187"/>
      <c r="AQ219" s="4"/>
    </row>
    <row r="220" spans="1:43" ht="15">
      <c r="A220" s="56" t="s">
        <v>418</v>
      </c>
      <c r="B220" s="43"/>
      <c r="C220" s="81" t="s">
        <v>419</v>
      </c>
      <c r="D220" s="50" t="s">
        <v>415</v>
      </c>
      <c r="E220" s="46"/>
      <c r="F220" s="47">
        <f>0.255*19*1</f>
        <v>4.845</v>
      </c>
      <c r="G220" s="95">
        <v>1</v>
      </c>
      <c r="H220" s="202"/>
      <c r="I220" s="187"/>
      <c r="AQ220" s="4"/>
    </row>
    <row r="221" spans="1:43" ht="15">
      <c r="A221" s="56" t="s">
        <v>420</v>
      </c>
      <c r="B221" s="43"/>
      <c r="C221" s="81" t="s">
        <v>421</v>
      </c>
      <c r="D221" s="50" t="s">
        <v>422</v>
      </c>
      <c r="E221" s="46"/>
      <c r="F221" s="47">
        <f>0.255*19*1</f>
        <v>4.845</v>
      </c>
      <c r="G221" s="95">
        <v>1</v>
      </c>
      <c r="H221" s="202"/>
      <c r="I221" s="187"/>
      <c r="AQ221" s="4"/>
    </row>
    <row r="222" spans="1:43" ht="15">
      <c r="A222" s="56" t="s">
        <v>423</v>
      </c>
      <c r="B222" s="43"/>
      <c r="C222" s="81" t="s">
        <v>424</v>
      </c>
      <c r="D222" s="50" t="s">
        <v>425</v>
      </c>
      <c r="E222" s="46"/>
      <c r="F222" s="47">
        <f>0.255*22*1</f>
        <v>5.61</v>
      </c>
      <c r="G222" s="95">
        <v>1</v>
      </c>
      <c r="H222" s="202"/>
      <c r="I222" s="187"/>
      <c r="AQ222" s="4"/>
    </row>
    <row r="223" spans="1:43" ht="15">
      <c r="A223" s="56" t="s">
        <v>426</v>
      </c>
      <c r="B223" s="43"/>
      <c r="C223" s="81"/>
      <c r="D223" s="53"/>
      <c r="E223" s="46"/>
      <c r="F223" s="47"/>
      <c r="G223" s="95"/>
      <c r="H223" s="202"/>
      <c r="I223" s="187"/>
      <c r="AQ223" s="4"/>
    </row>
    <row r="224" spans="1:43" ht="15">
      <c r="A224" s="56" t="s">
        <v>427</v>
      </c>
      <c r="B224" s="43"/>
      <c r="C224" s="106" t="s">
        <v>163</v>
      </c>
      <c r="D224" s="108" t="s">
        <v>428</v>
      </c>
      <c r="E224" s="46"/>
      <c r="F224" s="47"/>
      <c r="G224" s="95"/>
      <c r="H224" s="202"/>
      <c r="I224" s="187"/>
      <c r="AQ224" s="4"/>
    </row>
    <row r="225" spans="1:43" ht="15">
      <c r="A225" s="56" t="s">
        <v>429</v>
      </c>
      <c r="B225" s="43"/>
      <c r="C225" s="81" t="s">
        <v>299</v>
      </c>
      <c r="D225" s="50" t="s">
        <v>378</v>
      </c>
      <c r="E225" s="46"/>
      <c r="F225" s="47">
        <f>0.255*26*1</f>
        <v>6.63</v>
      </c>
      <c r="G225" s="95">
        <v>1</v>
      </c>
      <c r="H225" s="202"/>
      <c r="I225" s="187"/>
      <c r="AQ225" s="4"/>
    </row>
    <row r="226" spans="1:43" ht="15">
      <c r="A226" s="56" t="s">
        <v>430</v>
      </c>
      <c r="B226" s="43"/>
      <c r="C226" s="81" t="s">
        <v>299</v>
      </c>
      <c r="D226" s="50" t="s">
        <v>431</v>
      </c>
      <c r="E226" s="46"/>
      <c r="F226" s="47">
        <f>0.205*12*1</f>
        <v>2.46</v>
      </c>
      <c r="G226" s="95">
        <v>1</v>
      </c>
      <c r="H226" s="202"/>
      <c r="I226" s="187"/>
      <c r="AQ226" s="4"/>
    </row>
    <row r="227" spans="1:43" ht="15">
      <c r="A227" s="56" t="s">
        <v>432</v>
      </c>
      <c r="B227" s="43"/>
      <c r="C227" s="81" t="s">
        <v>433</v>
      </c>
      <c r="D227" s="50" t="s">
        <v>220</v>
      </c>
      <c r="E227" s="46"/>
      <c r="F227" s="47">
        <f>0.255*20*1</f>
        <v>5.1</v>
      </c>
      <c r="G227" s="95">
        <v>1</v>
      </c>
      <c r="H227" s="202"/>
      <c r="I227" s="187"/>
      <c r="AQ227" s="4"/>
    </row>
    <row r="228" spans="1:43" ht="15">
      <c r="A228" s="56" t="s">
        <v>434</v>
      </c>
      <c r="B228" s="43"/>
      <c r="C228" s="81" t="s">
        <v>435</v>
      </c>
      <c r="D228" s="50" t="s">
        <v>277</v>
      </c>
      <c r="E228" s="46"/>
      <c r="F228" s="47">
        <f>0.255*24*1</f>
        <v>6.12</v>
      </c>
      <c r="G228" s="95">
        <v>1</v>
      </c>
      <c r="H228" s="202"/>
      <c r="I228" s="187"/>
      <c r="AQ228" s="4"/>
    </row>
    <row r="229" spans="1:43" ht="15">
      <c r="A229" s="56" t="s">
        <v>436</v>
      </c>
      <c r="B229" s="43"/>
      <c r="C229" s="81" t="s">
        <v>437</v>
      </c>
      <c r="D229" s="50" t="s">
        <v>309</v>
      </c>
      <c r="E229" s="46"/>
      <c r="F229" s="47">
        <f>0.255*19*1</f>
        <v>4.845</v>
      </c>
      <c r="G229" s="95">
        <v>1</v>
      </c>
      <c r="H229" s="202"/>
      <c r="I229" s="187"/>
      <c r="AQ229" s="4"/>
    </row>
    <row r="230" spans="1:43" ht="15">
      <c r="A230" s="56" t="s">
        <v>438</v>
      </c>
      <c r="B230" s="43"/>
      <c r="C230" s="81" t="s">
        <v>439</v>
      </c>
      <c r="D230" s="50" t="s">
        <v>180</v>
      </c>
      <c r="E230" s="46"/>
      <c r="F230" s="47">
        <f>0.255*16*1</f>
        <v>4.08</v>
      </c>
      <c r="G230" s="95">
        <v>1</v>
      </c>
      <c r="H230" s="202"/>
      <c r="I230" s="187"/>
      <c r="AQ230" s="4"/>
    </row>
    <row r="231" spans="1:43" ht="15">
      <c r="A231" s="56" t="s">
        <v>440</v>
      </c>
      <c r="B231" s="43"/>
      <c r="C231" s="81" t="s">
        <v>441</v>
      </c>
      <c r="D231" s="50" t="s">
        <v>180</v>
      </c>
      <c r="E231" s="46"/>
      <c r="F231" s="47">
        <f>0.255*16*1</f>
        <v>4.08</v>
      </c>
      <c r="G231" s="95">
        <v>1</v>
      </c>
      <c r="H231" s="202"/>
      <c r="I231" s="187"/>
      <c r="AQ231" s="4"/>
    </row>
    <row r="232" spans="1:43" ht="15">
      <c r="A232" s="56" t="s">
        <v>442</v>
      </c>
      <c r="B232" s="43"/>
      <c r="C232" s="81" t="s">
        <v>443</v>
      </c>
      <c r="D232" s="50" t="s">
        <v>180</v>
      </c>
      <c r="E232" s="46"/>
      <c r="F232" s="47">
        <f>0.255*16*1</f>
        <v>4.08</v>
      </c>
      <c r="G232" s="95">
        <v>1</v>
      </c>
      <c r="H232" s="202"/>
      <c r="I232" s="187"/>
      <c r="AQ232" s="4"/>
    </row>
    <row r="233" spans="1:43" ht="15">
      <c r="A233" s="56" t="s">
        <v>444</v>
      </c>
      <c r="B233" s="43"/>
      <c r="C233" s="81" t="s">
        <v>445</v>
      </c>
      <c r="D233" s="50" t="s">
        <v>180</v>
      </c>
      <c r="E233" s="46"/>
      <c r="F233" s="47">
        <f>0.255*16*1</f>
        <v>4.08</v>
      </c>
      <c r="G233" s="95">
        <v>1</v>
      </c>
      <c r="H233" s="202"/>
      <c r="I233" s="187"/>
      <c r="AQ233" s="4"/>
    </row>
    <row r="234" spans="1:43" ht="15">
      <c r="A234" s="56" t="s">
        <v>446</v>
      </c>
      <c r="B234" s="43"/>
      <c r="C234" s="81" t="s">
        <v>447</v>
      </c>
      <c r="D234" s="50" t="s">
        <v>309</v>
      </c>
      <c r="E234" s="46"/>
      <c r="F234" s="47">
        <f>0.255*19*1</f>
        <v>4.845</v>
      </c>
      <c r="G234" s="95">
        <v>1</v>
      </c>
      <c r="H234" s="202"/>
      <c r="I234" s="187"/>
      <c r="AQ234" s="4"/>
    </row>
    <row r="235" spans="1:43" ht="15">
      <c r="A235" s="56" t="s">
        <v>448</v>
      </c>
      <c r="B235" s="43"/>
      <c r="C235" s="81"/>
      <c r="D235" s="50"/>
      <c r="E235" s="46"/>
      <c r="F235" s="47"/>
      <c r="G235" s="95"/>
      <c r="H235" s="202"/>
      <c r="I235" s="187"/>
      <c r="AQ235" s="4"/>
    </row>
    <row r="236" spans="1:43" ht="15">
      <c r="A236" s="56" t="s">
        <v>449</v>
      </c>
      <c r="B236" s="43"/>
      <c r="C236" s="106" t="s">
        <v>163</v>
      </c>
      <c r="D236" s="102" t="s">
        <v>450</v>
      </c>
      <c r="E236" s="46"/>
      <c r="F236" s="47"/>
      <c r="G236" s="95"/>
      <c r="H236" s="202"/>
      <c r="I236" s="187"/>
      <c r="AQ236" s="4"/>
    </row>
    <row r="237" spans="1:43" ht="15">
      <c r="A237" s="56" t="s">
        <v>369</v>
      </c>
      <c r="B237" s="43"/>
      <c r="C237" s="81" t="s">
        <v>451</v>
      </c>
      <c r="D237" s="50" t="s">
        <v>378</v>
      </c>
      <c r="E237" s="46"/>
      <c r="F237" s="47">
        <f>0.255*26*1</f>
        <v>6.63</v>
      </c>
      <c r="G237" s="95">
        <v>1</v>
      </c>
      <c r="H237" s="202"/>
      <c r="I237" s="187"/>
      <c r="AQ237" s="4"/>
    </row>
    <row r="238" spans="1:43" ht="15">
      <c r="A238" s="56" t="s">
        <v>367</v>
      </c>
      <c r="B238" s="43"/>
      <c r="C238" s="81" t="s">
        <v>452</v>
      </c>
      <c r="D238" s="50" t="s">
        <v>180</v>
      </c>
      <c r="E238" s="46"/>
      <c r="F238" s="47">
        <f aca="true" t="shared" si="6" ref="F238:F243">0.255*16*1</f>
        <v>4.08</v>
      </c>
      <c r="G238" s="95">
        <v>1</v>
      </c>
      <c r="H238" s="202"/>
      <c r="I238" s="187"/>
      <c r="AQ238" s="4"/>
    </row>
    <row r="239" spans="1:43" ht="15">
      <c r="A239" s="56" t="s">
        <v>453</v>
      </c>
      <c r="B239" s="43"/>
      <c r="C239" s="81" t="s">
        <v>454</v>
      </c>
      <c r="D239" s="50" t="s">
        <v>180</v>
      </c>
      <c r="E239" s="46"/>
      <c r="F239" s="47">
        <f t="shared" si="6"/>
        <v>4.08</v>
      </c>
      <c r="G239" s="95">
        <v>1</v>
      </c>
      <c r="H239" s="202"/>
      <c r="I239" s="187"/>
      <c r="AQ239" s="4"/>
    </row>
    <row r="240" spans="1:43" ht="15">
      <c r="A240" s="56" t="s">
        <v>363</v>
      </c>
      <c r="B240" s="43"/>
      <c r="C240" s="81" t="s">
        <v>455</v>
      </c>
      <c r="D240" s="50" t="s">
        <v>220</v>
      </c>
      <c r="E240" s="46"/>
      <c r="F240" s="47">
        <f>0.255*20*1</f>
        <v>5.1</v>
      </c>
      <c r="G240" s="95">
        <v>1</v>
      </c>
      <c r="H240" s="202"/>
      <c r="I240" s="187"/>
      <c r="AQ240" s="4"/>
    </row>
    <row r="241" spans="1:43" ht="15">
      <c r="A241" s="56" t="s">
        <v>361</v>
      </c>
      <c r="B241" s="43"/>
      <c r="C241" s="81" t="s">
        <v>456</v>
      </c>
      <c r="D241" s="50" t="s">
        <v>180</v>
      </c>
      <c r="E241" s="46"/>
      <c r="F241" s="47">
        <f t="shared" si="6"/>
        <v>4.08</v>
      </c>
      <c r="G241" s="95">
        <v>1</v>
      </c>
      <c r="H241" s="202"/>
      <c r="I241" s="187"/>
      <c r="AQ241" s="4"/>
    </row>
    <row r="242" spans="1:43" ht="15">
      <c r="A242" s="56" t="s">
        <v>457</v>
      </c>
      <c r="B242" s="43"/>
      <c r="C242" s="81" t="s">
        <v>458</v>
      </c>
      <c r="D242" s="50" t="s">
        <v>459</v>
      </c>
      <c r="E242" s="46"/>
      <c r="F242" s="47">
        <f>0.255*16*2</f>
        <v>8.16</v>
      </c>
      <c r="G242" s="95">
        <v>2</v>
      </c>
      <c r="H242" s="202"/>
      <c r="I242" s="187"/>
      <c r="AQ242" s="4"/>
    </row>
    <row r="243" spans="1:43" ht="15">
      <c r="A243" s="56" t="s">
        <v>357</v>
      </c>
      <c r="B243" s="43"/>
      <c r="C243" s="81" t="s">
        <v>460</v>
      </c>
      <c r="D243" s="50" t="s">
        <v>180</v>
      </c>
      <c r="E243" s="46"/>
      <c r="F243" s="47">
        <f t="shared" si="6"/>
        <v>4.08</v>
      </c>
      <c r="G243" s="95">
        <v>1</v>
      </c>
      <c r="H243" s="202"/>
      <c r="I243" s="187"/>
      <c r="AQ243" s="4"/>
    </row>
    <row r="244" spans="1:43" ht="15">
      <c r="A244" s="56" t="s">
        <v>355</v>
      </c>
      <c r="B244" s="43"/>
      <c r="C244" s="81" t="s">
        <v>461</v>
      </c>
      <c r="D244" s="50" t="s">
        <v>195</v>
      </c>
      <c r="E244" s="46"/>
      <c r="F244" s="47">
        <f>0.255*18*1</f>
        <v>4.59</v>
      </c>
      <c r="G244" s="95">
        <v>1</v>
      </c>
      <c r="H244" s="202"/>
      <c r="I244" s="187"/>
      <c r="AQ244" s="4"/>
    </row>
    <row r="245" spans="1:43" ht="15">
      <c r="A245" s="56" t="s">
        <v>353</v>
      </c>
      <c r="B245" s="43"/>
      <c r="C245" s="81"/>
      <c r="D245" s="50"/>
      <c r="E245" s="46"/>
      <c r="F245" s="47"/>
      <c r="G245" s="95"/>
      <c r="H245" s="202"/>
      <c r="I245" s="187"/>
      <c r="AQ245" s="4"/>
    </row>
    <row r="246" spans="1:43" ht="15">
      <c r="A246" s="56" t="s">
        <v>351</v>
      </c>
      <c r="B246" s="43"/>
      <c r="C246" s="106" t="s">
        <v>163</v>
      </c>
      <c r="D246" s="108" t="s">
        <v>462</v>
      </c>
      <c r="E246" s="46"/>
      <c r="F246" s="47"/>
      <c r="G246" s="95"/>
      <c r="H246" s="202"/>
      <c r="I246" s="187"/>
      <c r="AQ246" s="4"/>
    </row>
    <row r="247" spans="1:43" ht="15">
      <c r="A247" s="56" t="s">
        <v>349</v>
      </c>
      <c r="B247" s="43"/>
      <c r="C247" s="81" t="s">
        <v>463</v>
      </c>
      <c r="D247" s="50" t="s">
        <v>177</v>
      </c>
      <c r="E247" s="46"/>
      <c r="F247" s="47">
        <f>0.255*15*1</f>
        <v>3.825</v>
      </c>
      <c r="G247" s="95">
        <v>1</v>
      </c>
      <c r="H247" s="202"/>
      <c r="I247" s="187"/>
      <c r="AQ247" s="4"/>
    </row>
    <row r="248" spans="1:43" ht="15">
      <c r="A248" s="56" t="s">
        <v>347</v>
      </c>
      <c r="B248" s="43"/>
      <c r="C248" s="81" t="s">
        <v>463</v>
      </c>
      <c r="D248" s="50" t="s">
        <v>370</v>
      </c>
      <c r="E248" s="46"/>
      <c r="F248" s="47">
        <f>0.255*30*1</f>
        <v>7.65</v>
      </c>
      <c r="G248" s="95">
        <v>1</v>
      </c>
      <c r="H248" s="202"/>
      <c r="I248" s="187"/>
      <c r="AQ248" s="4"/>
    </row>
    <row r="249" spans="1:43" ht="15">
      <c r="A249" s="56" t="s">
        <v>254</v>
      </c>
      <c r="B249" s="43"/>
      <c r="C249" s="81" t="s">
        <v>464</v>
      </c>
      <c r="D249" s="50" t="s">
        <v>465</v>
      </c>
      <c r="E249" s="46"/>
      <c r="F249" s="47">
        <f>0.255*25*2</f>
        <v>12.75</v>
      </c>
      <c r="G249" s="95">
        <v>2</v>
      </c>
      <c r="H249" s="202"/>
      <c r="I249" s="187"/>
      <c r="AQ249" s="4"/>
    </row>
    <row r="250" spans="1:43" ht="15">
      <c r="A250" s="56" t="s">
        <v>251</v>
      </c>
      <c r="B250" s="43"/>
      <c r="C250" s="81" t="s">
        <v>466</v>
      </c>
      <c r="D250" s="50" t="s">
        <v>266</v>
      </c>
      <c r="E250" s="46"/>
      <c r="F250" s="47">
        <f>0.255*29*1</f>
        <v>7.3950000000000005</v>
      </c>
      <c r="G250" s="95">
        <v>1</v>
      </c>
      <c r="H250" s="202"/>
      <c r="I250" s="187"/>
      <c r="AQ250" s="4"/>
    </row>
    <row r="251" spans="1:43" ht="15">
      <c r="A251" s="56" t="s">
        <v>467</v>
      </c>
      <c r="B251" s="43"/>
      <c r="C251" s="81" t="s">
        <v>468</v>
      </c>
      <c r="D251" s="50" t="s">
        <v>220</v>
      </c>
      <c r="E251" s="46"/>
      <c r="F251" s="47">
        <f>0.255*20*1</f>
        <v>5.1</v>
      </c>
      <c r="G251" s="95">
        <v>1</v>
      </c>
      <c r="H251" s="202"/>
      <c r="I251" s="187"/>
      <c r="AQ251" s="4"/>
    </row>
    <row r="252" spans="1:43" ht="15">
      <c r="A252" s="56" t="s">
        <v>469</v>
      </c>
      <c r="B252" s="43"/>
      <c r="C252" s="81" t="s">
        <v>470</v>
      </c>
      <c r="D252" s="50" t="s">
        <v>378</v>
      </c>
      <c r="E252" s="46"/>
      <c r="F252" s="47">
        <f>0.255*26*1</f>
        <v>6.63</v>
      </c>
      <c r="G252" s="95">
        <v>1</v>
      </c>
      <c r="H252" s="202"/>
      <c r="I252" s="187"/>
      <c r="AQ252" s="4"/>
    </row>
    <row r="253" spans="1:43" ht="15">
      <c r="A253" s="56" t="s">
        <v>471</v>
      </c>
      <c r="B253" s="43"/>
      <c r="C253" s="81" t="s">
        <v>472</v>
      </c>
      <c r="D253" s="50" t="s">
        <v>473</v>
      </c>
      <c r="E253" s="46"/>
      <c r="F253" s="47">
        <f>0.255*25*1</f>
        <v>6.375</v>
      </c>
      <c r="G253" s="95">
        <v>1</v>
      </c>
      <c r="H253" s="202"/>
      <c r="I253" s="187"/>
      <c r="AQ253" s="4"/>
    </row>
    <row r="254" spans="1:43" ht="15">
      <c r="A254" s="56" t="s">
        <v>242</v>
      </c>
      <c r="B254" s="43"/>
      <c r="C254" s="81" t="s">
        <v>474</v>
      </c>
      <c r="D254" s="50" t="s">
        <v>473</v>
      </c>
      <c r="E254" s="46"/>
      <c r="F254" s="47">
        <f>0.255*25*1</f>
        <v>6.375</v>
      </c>
      <c r="G254" s="95">
        <v>1</v>
      </c>
      <c r="H254" s="202"/>
      <c r="I254" s="187"/>
      <c r="AQ254" s="4"/>
    </row>
    <row r="255" spans="1:43" ht="15">
      <c r="A255" s="56" t="s">
        <v>240</v>
      </c>
      <c r="B255" s="43"/>
      <c r="C255" s="81" t="s">
        <v>475</v>
      </c>
      <c r="D255" s="50" t="s">
        <v>473</v>
      </c>
      <c r="E255" s="46"/>
      <c r="F255" s="47">
        <f>0.255*25*1</f>
        <v>6.375</v>
      </c>
      <c r="G255" s="95">
        <v>1</v>
      </c>
      <c r="H255" s="202"/>
      <c r="I255" s="187"/>
      <c r="AQ255" s="4"/>
    </row>
    <row r="256" spans="1:43" ht="15">
      <c r="A256" s="56" t="s">
        <v>237</v>
      </c>
      <c r="B256" s="43"/>
      <c r="C256" s="81"/>
      <c r="D256" s="50"/>
      <c r="E256" s="46"/>
      <c r="F256" s="47"/>
      <c r="G256" s="95"/>
      <c r="H256" s="202"/>
      <c r="I256" s="187"/>
      <c r="AQ256" s="4"/>
    </row>
    <row r="257" spans="1:43" ht="15">
      <c r="A257" s="56" t="s">
        <v>476</v>
      </c>
      <c r="B257" s="43"/>
      <c r="C257" s="81"/>
      <c r="D257" s="104" t="s">
        <v>477</v>
      </c>
      <c r="E257" s="46"/>
      <c r="F257" s="47"/>
      <c r="G257" s="95"/>
      <c r="H257" s="202"/>
      <c r="I257" s="187"/>
      <c r="AQ257" s="4"/>
    </row>
    <row r="258" spans="1:43" ht="15">
      <c r="A258" s="56" t="s">
        <v>478</v>
      </c>
      <c r="B258" s="43"/>
      <c r="C258" s="81"/>
      <c r="D258" s="107" t="s">
        <v>479</v>
      </c>
      <c r="E258" s="46"/>
      <c r="F258" s="95"/>
      <c r="G258" s="95"/>
      <c r="H258" s="202"/>
      <c r="I258" s="187"/>
      <c r="AQ258" s="4"/>
    </row>
    <row r="259" spans="1:43" ht="15">
      <c r="A259" s="56" t="s">
        <v>480</v>
      </c>
      <c r="B259" s="43"/>
      <c r="C259" s="106" t="s">
        <v>163</v>
      </c>
      <c r="D259" s="108" t="s">
        <v>481</v>
      </c>
      <c r="E259" s="46"/>
      <c r="F259" s="47"/>
      <c r="G259" s="95"/>
      <c r="H259" s="202"/>
      <c r="I259" s="187"/>
      <c r="AQ259" s="4"/>
    </row>
    <row r="260" spans="1:43" ht="15">
      <c r="A260" s="56" t="s">
        <v>482</v>
      </c>
      <c r="B260" s="43"/>
      <c r="C260" s="106" t="s">
        <v>163</v>
      </c>
      <c r="D260" s="108" t="s">
        <v>483</v>
      </c>
      <c r="E260" s="46"/>
      <c r="F260" s="47"/>
      <c r="G260" s="95"/>
      <c r="H260" s="202"/>
      <c r="I260" s="187"/>
      <c r="AQ260" s="4"/>
    </row>
    <row r="261" spans="1:43" ht="15">
      <c r="A261" s="56" t="s">
        <v>484</v>
      </c>
      <c r="B261" s="43"/>
      <c r="C261" s="81" t="s">
        <v>485</v>
      </c>
      <c r="D261" s="50" t="s">
        <v>201</v>
      </c>
      <c r="E261" s="46"/>
      <c r="F261" s="47">
        <f>0.255*17*1</f>
        <v>4.335</v>
      </c>
      <c r="G261" s="95">
        <v>1</v>
      </c>
      <c r="H261" s="202"/>
      <c r="I261" s="187"/>
      <c r="AQ261" s="4"/>
    </row>
    <row r="262" spans="1:43" ht="15">
      <c r="A262" s="56" t="s">
        <v>451</v>
      </c>
      <c r="B262" s="43"/>
      <c r="C262" s="81" t="s">
        <v>486</v>
      </c>
      <c r="D262" s="50" t="s">
        <v>217</v>
      </c>
      <c r="E262" s="46"/>
      <c r="F262" s="47">
        <f>0.255*14*1</f>
        <v>3.5700000000000003</v>
      </c>
      <c r="G262" s="95">
        <v>1</v>
      </c>
      <c r="H262" s="202"/>
      <c r="I262" s="187"/>
      <c r="AQ262" s="4"/>
    </row>
    <row r="263" spans="1:43" ht="15">
      <c r="A263" s="56" t="s">
        <v>487</v>
      </c>
      <c r="B263" s="43"/>
      <c r="C263" s="81" t="s">
        <v>171</v>
      </c>
      <c r="D263" s="50" t="s">
        <v>217</v>
      </c>
      <c r="E263" s="46"/>
      <c r="F263" s="47">
        <f>0.255*14*1</f>
        <v>3.5700000000000003</v>
      </c>
      <c r="G263" s="95">
        <v>1</v>
      </c>
      <c r="H263" s="202"/>
      <c r="I263" s="187"/>
      <c r="AQ263" s="4"/>
    </row>
    <row r="264" spans="1:43" ht="15">
      <c r="A264" s="56" t="s">
        <v>488</v>
      </c>
      <c r="B264" s="43"/>
      <c r="C264" s="81" t="s">
        <v>489</v>
      </c>
      <c r="D264" s="50" t="s">
        <v>217</v>
      </c>
      <c r="E264" s="46"/>
      <c r="F264" s="47">
        <f>0.255*14*1</f>
        <v>3.5700000000000003</v>
      </c>
      <c r="G264" s="95">
        <v>1</v>
      </c>
      <c r="H264" s="202"/>
      <c r="I264" s="187"/>
      <c r="AQ264" s="4"/>
    </row>
    <row r="265" spans="1:43" ht="15">
      <c r="A265" s="56" t="s">
        <v>455</v>
      </c>
      <c r="B265" s="43"/>
      <c r="C265" s="81" t="s">
        <v>490</v>
      </c>
      <c r="D265" s="50" t="s">
        <v>491</v>
      </c>
      <c r="E265" s="46"/>
      <c r="F265" s="47">
        <f>0.255*19*1</f>
        <v>4.845</v>
      </c>
      <c r="G265" s="95">
        <v>1</v>
      </c>
      <c r="H265" s="202"/>
      <c r="I265" s="187"/>
      <c r="AQ265" s="4"/>
    </row>
    <row r="266" spans="1:43" ht="15">
      <c r="A266" s="56" t="s">
        <v>492</v>
      </c>
      <c r="B266" s="43"/>
      <c r="C266" s="81" t="s">
        <v>493</v>
      </c>
      <c r="D266" s="50" t="s">
        <v>217</v>
      </c>
      <c r="E266" s="46"/>
      <c r="F266" s="47">
        <f>0.255*14*1</f>
        <v>3.5700000000000003</v>
      </c>
      <c r="G266" s="95">
        <v>1</v>
      </c>
      <c r="H266" s="202"/>
      <c r="I266" s="187"/>
      <c r="AQ266" s="4"/>
    </row>
    <row r="267" spans="1:43" ht="15">
      <c r="A267" s="56" t="s">
        <v>494</v>
      </c>
      <c r="B267" s="43"/>
      <c r="C267" s="81" t="s">
        <v>495</v>
      </c>
      <c r="D267" s="50" t="s">
        <v>217</v>
      </c>
      <c r="E267" s="46"/>
      <c r="F267" s="47">
        <f>0.255*14*1</f>
        <v>3.5700000000000003</v>
      </c>
      <c r="G267" s="95">
        <v>1</v>
      </c>
      <c r="H267" s="202"/>
      <c r="I267" s="187"/>
      <c r="AQ267" s="4"/>
    </row>
    <row r="268" spans="1:43" ht="15">
      <c r="A268" s="56" t="s">
        <v>496</v>
      </c>
      <c r="B268" s="43"/>
      <c r="C268" s="81" t="s">
        <v>497</v>
      </c>
      <c r="D268" s="50" t="s">
        <v>498</v>
      </c>
      <c r="E268" s="46"/>
      <c r="F268" s="47">
        <f>0.255*23*1</f>
        <v>5.865</v>
      </c>
      <c r="G268" s="95">
        <v>1</v>
      </c>
      <c r="H268" s="202"/>
      <c r="I268" s="187"/>
      <c r="AQ268" s="4"/>
    </row>
    <row r="269" spans="1:43" ht="15">
      <c r="A269" s="56" t="s">
        <v>499</v>
      </c>
      <c r="B269" s="43"/>
      <c r="C269" s="81" t="s">
        <v>500</v>
      </c>
      <c r="D269" s="50" t="s">
        <v>501</v>
      </c>
      <c r="E269" s="46"/>
      <c r="F269" s="47">
        <f>0.185*20*3</f>
        <v>11.100000000000001</v>
      </c>
      <c r="G269" s="95">
        <v>3</v>
      </c>
      <c r="H269" s="202"/>
      <c r="I269" s="187"/>
      <c r="AQ269" s="4"/>
    </row>
    <row r="270" spans="1:43" ht="15">
      <c r="A270" s="56" t="s">
        <v>502</v>
      </c>
      <c r="B270" s="43"/>
      <c r="C270" s="81" t="s">
        <v>500</v>
      </c>
      <c r="D270" s="53" t="s">
        <v>503</v>
      </c>
      <c r="E270" s="46"/>
      <c r="F270" s="47">
        <f>0.44*18*2</f>
        <v>15.84</v>
      </c>
      <c r="G270" s="95">
        <v>2</v>
      </c>
      <c r="H270" s="202"/>
      <c r="I270" s="187"/>
      <c r="AQ270" s="4"/>
    </row>
    <row r="271" spans="1:43" ht="15">
      <c r="A271" s="56" t="s">
        <v>504</v>
      </c>
      <c r="B271" s="43"/>
      <c r="C271" s="81"/>
      <c r="D271" s="50"/>
      <c r="E271" s="46"/>
      <c r="F271" s="47"/>
      <c r="G271" s="95"/>
      <c r="H271" s="202"/>
      <c r="I271" s="187"/>
      <c r="AQ271" s="4"/>
    </row>
    <row r="272" spans="1:43" ht="15">
      <c r="A272" s="56" t="s">
        <v>505</v>
      </c>
      <c r="B272" s="43"/>
      <c r="C272" s="106" t="s">
        <v>163</v>
      </c>
      <c r="D272" s="102" t="s">
        <v>506</v>
      </c>
      <c r="E272" s="46"/>
      <c r="F272" s="47"/>
      <c r="G272" s="95"/>
      <c r="H272" s="202"/>
      <c r="I272" s="187"/>
      <c r="AQ272" s="4"/>
    </row>
    <row r="273" spans="1:43" ht="15">
      <c r="A273" s="56" t="s">
        <v>507</v>
      </c>
      <c r="B273" s="43"/>
      <c r="C273" s="81" t="s">
        <v>508</v>
      </c>
      <c r="D273" s="50" t="s">
        <v>491</v>
      </c>
      <c r="E273" s="46"/>
      <c r="F273" s="47">
        <f>0.255*19*1</f>
        <v>4.845</v>
      </c>
      <c r="G273" s="95">
        <v>1</v>
      </c>
      <c r="H273" s="202"/>
      <c r="I273" s="187"/>
      <c r="AQ273" s="4"/>
    </row>
    <row r="274" spans="1:43" ht="15">
      <c r="A274" s="56" t="s">
        <v>509</v>
      </c>
      <c r="B274" s="43"/>
      <c r="C274" s="81" t="s">
        <v>510</v>
      </c>
      <c r="D274" s="50" t="s">
        <v>247</v>
      </c>
      <c r="E274" s="46"/>
      <c r="F274" s="47">
        <f>0.255*16*1</f>
        <v>4.08</v>
      </c>
      <c r="G274" s="95">
        <v>1</v>
      </c>
      <c r="H274" s="202"/>
      <c r="I274" s="187"/>
      <c r="AQ274" s="4"/>
    </row>
    <row r="275" spans="1:43" ht="15">
      <c r="A275" s="56" t="s">
        <v>511</v>
      </c>
      <c r="B275" s="43"/>
      <c r="C275" s="81" t="s">
        <v>512</v>
      </c>
      <c r="D275" s="50" t="s">
        <v>247</v>
      </c>
      <c r="E275" s="46"/>
      <c r="F275" s="47">
        <f>0.255*16*1</f>
        <v>4.08</v>
      </c>
      <c r="G275" s="95">
        <v>1</v>
      </c>
      <c r="H275" s="202"/>
      <c r="I275" s="187"/>
      <c r="AQ275" s="4"/>
    </row>
    <row r="276" spans="1:43" ht="15">
      <c r="A276" s="56" t="s">
        <v>513</v>
      </c>
      <c r="B276" s="43"/>
      <c r="C276" s="81" t="s">
        <v>514</v>
      </c>
      <c r="D276" s="50" t="s">
        <v>247</v>
      </c>
      <c r="E276" s="46"/>
      <c r="F276" s="47">
        <f>0.255*16*1</f>
        <v>4.08</v>
      </c>
      <c r="G276" s="95">
        <v>1</v>
      </c>
      <c r="H276" s="202"/>
      <c r="I276" s="187"/>
      <c r="AQ276" s="4"/>
    </row>
    <row r="277" spans="1:43" ht="15">
      <c r="A277" s="56" t="s">
        <v>515</v>
      </c>
      <c r="B277" s="43"/>
      <c r="C277" s="81" t="s">
        <v>516</v>
      </c>
      <c r="D277" s="50" t="s">
        <v>247</v>
      </c>
      <c r="E277" s="46"/>
      <c r="F277" s="47">
        <f aca="true" t="shared" si="7" ref="F277:F279">0.255*16*1</f>
        <v>4.08</v>
      </c>
      <c r="G277" s="95">
        <v>1</v>
      </c>
      <c r="H277" s="202"/>
      <c r="I277" s="187"/>
      <c r="AQ277" s="4"/>
    </row>
    <row r="278" spans="1:43" ht="15">
      <c r="A278" s="56" t="s">
        <v>517</v>
      </c>
      <c r="B278" s="43"/>
      <c r="C278" s="81" t="s">
        <v>518</v>
      </c>
      <c r="D278" s="50" t="s">
        <v>247</v>
      </c>
      <c r="E278" s="46"/>
      <c r="F278" s="47">
        <f t="shared" si="7"/>
        <v>4.08</v>
      </c>
      <c r="G278" s="95">
        <v>1</v>
      </c>
      <c r="H278" s="202"/>
      <c r="I278" s="187"/>
      <c r="AQ278" s="4"/>
    </row>
    <row r="279" spans="1:43" ht="15">
      <c r="A279" s="56" t="s">
        <v>519</v>
      </c>
      <c r="B279" s="43"/>
      <c r="C279" s="81" t="s">
        <v>520</v>
      </c>
      <c r="D279" s="50" t="s">
        <v>247</v>
      </c>
      <c r="E279" s="46"/>
      <c r="F279" s="47">
        <f t="shared" si="7"/>
        <v>4.08</v>
      </c>
      <c r="G279" s="95">
        <v>1</v>
      </c>
      <c r="H279" s="202"/>
      <c r="I279" s="187"/>
      <c r="AQ279" s="4"/>
    </row>
    <row r="280" spans="1:43" ht="15">
      <c r="A280" s="56" t="s">
        <v>521</v>
      </c>
      <c r="B280" s="43"/>
      <c r="C280" s="81" t="s">
        <v>522</v>
      </c>
      <c r="D280" s="50" t="s">
        <v>523</v>
      </c>
      <c r="E280" s="46"/>
      <c r="F280" s="47">
        <f>0.255*21*1</f>
        <v>5.355</v>
      </c>
      <c r="G280" s="95">
        <v>1</v>
      </c>
      <c r="H280" s="202"/>
      <c r="I280" s="187"/>
      <c r="AQ280" s="4"/>
    </row>
    <row r="281" spans="1:43" ht="15">
      <c r="A281" s="56" t="s">
        <v>524</v>
      </c>
      <c r="B281" s="43"/>
      <c r="C281" s="81" t="s">
        <v>525</v>
      </c>
      <c r="D281" s="50" t="s">
        <v>271</v>
      </c>
      <c r="E281" s="46"/>
      <c r="F281" s="47">
        <f>0.255*20*1</f>
        <v>5.1</v>
      </c>
      <c r="G281" s="95">
        <v>1</v>
      </c>
      <c r="H281" s="202"/>
      <c r="I281" s="187"/>
      <c r="AQ281" s="4"/>
    </row>
    <row r="282" spans="1:43" ht="15">
      <c r="A282" s="56" t="s">
        <v>526</v>
      </c>
      <c r="B282" s="43"/>
      <c r="C282" s="81" t="s">
        <v>332</v>
      </c>
      <c r="D282" s="50" t="s">
        <v>271</v>
      </c>
      <c r="E282" s="46"/>
      <c r="F282" s="47">
        <f>0.255*20*1</f>
        <v>5.1</v>
      </c>
      <c r="G282" s="95">
        <v>1</v>
      </c>
      <c r="H282" s="202"/>
      <c r="I282" s="187"/>
      <c r="AQ282" s="4"/>
    </row>
    <row r="283" spans="1:43" ht="15">
      <c r="A283" s="56" t="s">
        <v>527</v>
      </c>
      <c r="B283" s="43"/>
      <c r="C283" s="81" t="s">
        <v>334</v>
      </c>
      <c r="D283" s="50" t="s">
        <v>271</v>
      </c>
      <c r="E283" s="46"/>
      <c r="F283" s="47">
        <f>0.255*20*1</f>
        <v>5.1</v>
      </c>
      <c r="G283" s="95">
        <v>1</v>
      </c>
      <c r="H283" s="202"/>
      <c r="I283" s="187"/>
      <c r="AQ283" s="4"/>
    </row>
    <row r="284" spans="1:43" ht="15">
      <c r="A284" s="56" t="s">
        <v>528</v>
      </c>
      <c r="B284" s="43"/>
      <c r="C284" s="81"/>
      <c r="D284" s="50"/>
      <c r="E284" s="46"/>
      <c r="F284" s="47"/>
      <c r="G284" s="95"/>
      <c r="H284" s="202"/>
      <c r="I284" s="187"/>
      <c r="AQ284" s="4"/>
    </row>
    <row r="285" spans="1:43" ht="15">
      <c r="A285" s="56" t="s">
        <v>529</v>
      </c>
      <c r="B285" s="43"/>
      <c r="C285" s="106" t="s">
        <v>163</v>
      </c>
      <c r="D285" s="108" t="s">
        <v>530</v>
      </c>
      <c r="E285" s="46"/>
      <c r="F285" s="47"/>
      <c r="G285" s="95"/>
      <c r="H285" s="202"/>
      <c r="I285" s="187"/>
      <c r="AQ285" s="4"/>
    </row>
    <row r="286" spans="1:43" ht="15">
      <c r="A286" s="56" t="s">
        <v>531</v>
      </c>
      <c r="B286" s="43"/>
      <c r="C286" s="81" t="s">
        <v>532</v>
      </c>
      <c r="D286" s="50" t="s">
        <v>247</v>
      </c>
      <c r="E286" s="46"/>
      <c r="F286" s="47">
        <f aca="true" t="shared" si="8" ref="F286:F292">0.255*16*1</f>
        <v>4.08</v>
      </c>
      <c r="G286" s="95">
        <v>1</v>
      </c>
      <c r="H286" s="202"/>
      <c r="I286" s="187"/>
      <c r="AQ286" s="4"/>
    </row>
    <row r="287" spans="1:43" ht="15">
      <c r="A287" s="56" t="s">
        <v>533</v>
      </c>
      <c r="B287" s="43"/>
      <c r="C287" s="81" t="s">
        <v>534</v>
      </c>
      <c r="D287" s="50" t="s">
        <v>247</v>
      </c>
      <c r="E287" s="46"/>
      <c r="F287" s="47">
        <f t="shared" si="8"/>
        <v>4.08</v>
      </c>
      <c r="G287" s="95">
        <v>1</v>
      </c>
      <c r="H287" s="202"/>
      <c r="I287" s="187"/>
      <c r="AQ287" s="4"/>
    </row>
    <row r="288" spans="1:43" ht="15">
      <c r="A288" s="56" t="s">
        <v>535</v>
      </c>
      <c r="B288" s="43"/>
      <c r="C288" s="81" t="s">
        <v>536</v>
      </c>
      <c r="D288" s="50" t="s">
        <v>247</v>
      </c>
      <c r="E288" s="46"/>
      <c r="F288" s="47">
        <f t="shared" si="8"/>
        <v>4.08</v>
      </c>
      <c r="G288" s="95">
        <v>1</v>
      </c>
      <c r="H288" s="202"/>
      <c r="I288" s="187"/>
      <c r="AQ288" s="4"/>
    </row>
    <row r="289" spans="1:43" ht="15">
      <c r="A289" s="56" t="s">
        <v>537</v>
      </c>
      <c r="B289" s="43"/>
      <c r="C289" s="81" t="s">
        <v>538</v>
      </c>
      <c r="D289" s="50" t="s">
        <v>247</v>
      </c>
      <c r="E289" s="46"/>
      <c r="F289" s="47">
        <f t="shared" si="8"/>
        <v>4.08</v>
      </c>
      <c r="G289" s="95">
        <v>1</v>
      </c>
      <c r="H289" s="202"/>
      <c r="I289" s="187"/>
      <c r="AQ289" s="4"/>
    </row>
    <row r="290" spans="1:43" ht="15">
      <c r="A290" s="56" t="s">
        <v>539</v>
      </c>
      <c r="B290" s="43"/>
      <c r="C290" s="81" t="s">
        <v>540</v>
      </c>
      <c r="D290" s="50" t="s">
        <v>247</v>
      </c>
      <c r="E290" s="46"/>
      <c r="F290" s="47">
        <f t="shared" si="8"/>
        <v>4.08</v>
      </c>
      <c r="G290" s="95">
        <v>1</v>
      </c>
      <c r="H290" s="202"/>
      <c r="I290" s="187"/>
      <c r="AQ290" s="4"/>
    </row>
    <row r="291" spans="1:43" ht="15">
      <c r="A291" s="56" t="s">
        <v>541</v>
      </c>
      <c r="B291" s="43"/>
      <c r="C291" s="81" t="s">
        <v>542</v>
      </c>
      <c r="D291" s="50" t="s">
        <v>247</v>
      </c>
      <c r="E291" s="46"/>
      <c r="F291" s="47">
        <f t="shared" si="8"/>
        <v>4.08</v>
      </c>
      <c r="G291" s="95">
        <v>1</v>
      </c>
      <c r="H291" s="202"/>
      <c r="I291" s="187"/>
      <c r="AQ291" s="4"/>
    </row>
    <row r="292" spans="1:43" ht="15">
      <c r="A292" s="56" t="s">
        <v>543</v>
      </c>
      <c r="B292" s="43"/>
      <c r="C292" s="81" t="s">
        <v>544</v>
      </c>
      <c r="D292" s="50" t="s">
        <v>247</v>
      </c>
      <c r="E292" s="46"/>
      <c r="F292" s="47">
        <f t="shared" si="8"/>
        <v>4.08</v>
      </c>
      <c r="G292" s="95">
        <v>1</v>
      </c>
      <c r="H292" s="202"/>
      <c r="I292" s="187"/>
      <c r="AQ292" s="4"/>
    </row>
    <row r="293" spans="1:43" ht="15">
      <c r="A293" s="56" t="s">
        <v>545</v>
      </c>
      <c r="B293" s="43"/>
      <c r="C293" s="81" t="s">
        <v>515</v>
      </c>
      <c r="D293" s="112" t="s">
        <v>491</v>
      </c>
      <c r="E293" s="46"/>
      <c r="F293" s="47">
        <f>0.255*19*1</f>
        <v>4.845</v>
      </c>
      <c r="G293" s="95">
        <v>1</v>
      </c>
      <c r="H293" s="202"/>
      <c r="I293" s="187"/>
      <c r="AQ293" s="4"/>
    </row>
    <row r="294" spans="1:43" ht="15">
      <c r="A294" s="56" t="s">
        <v>546</v>
      </c>
      <c r="B294" s="43"/>
      <c r="C294" s="81" t="s">
        <v>517</v>
      </c>
      <c r="D294" s="112" t="s">
        <v>230</v>
      </c>
      <c r="E294" s="46"/>
      <c r="F294" s="47">
        <f>0.255*18*1</f>
        <v>4.59</v>
      </c>
      <c r="G294" s="95">
        <v>1</v>
      </c>
      <c r="H294" s="202"/>
      <c r="I294" s="187"/>
      <c r="AQ294" s="4"/>
    </row>
    <row r="295" spans="1:43" ht="15">
      <c r="A295" s="56" t="s">
        <v>547</v>
      </c>
      <c r="B295" s="43"/>
      <c r="C295" s="81" t="s">
        <v>519</v>
      </c>
      <c r="D295" s="50" t="s">
        <v>548</v>
      </c>
      <c r="E295" s="46"/>
      <c r="F295" s="47">
        <f>0.255*20*2</f>
        <v>10.2</v>
      </c>
      <c r="G295" s="95">
        <v>2</v>
      </c>
      <c r="H295" s="202"/>
      <c r="I295" s="187"/>
      <c r="AQ295" s="4"/>
    </row>
    <row r="296" spans="1:43" ht="15">
      <c r="A296" s="56" t="s">
        <v>549</v>
      </c>
      <c r="B296" s="43"/>
      <c r="C296" s="81"/>
      <c r="D296" s="50"/>
      <c r="E296" s="46"/>
      <c r="F296" s="47"/>
      <c r="G296" s="95"/>
      <c r="H296" s="202"/>
      <c r="I296" s="187"/>
      <c r="AQ296" s="4"/>
    </row>
    <row r="297" spans="1:43" ht="15">
      <c r="A297" s="56" t="s">
        <v>550</v>
      </c>
      <c r="B297" s="43"/>
      <c r="C297" s="106" t="s">
        <v>163</v>
      </c>
      <c r="D297" s="108" t="s">
        <v>551</v>
      </c>
      <c r="E297" s="46"/>
      <c r="F297" s="47"/>
      <c r="G297" s="95"/>
      <c r="H297" s="202"/>
      <c r="I297" s="187"/>
      <c r="AQ297" s="4"/>
    </row>
    <row r="298" spans="1:43" ht="15">
      <c r="A298" s="56" t="s">
        <v>552</v>
      </c>
      <c r="B298" s="43"/>
      <c r="C298" s="81" t="s">
        <v>553</v>
      </c>
      <c r="D298" s="50" t="s">
        <v>554</v>
      </c>
      <c r="E298" s="46"/>
      <c r="F298" s="47">
        <f>0.255*25*1</f>
        <v>6.375</v>
      </c>
      <c r="G298" s="95">
        <v>1</v>
      </c>
      <c r="H298" s="202"/>
      <c r="I298" s="187"/>
      <c r="AQ298" s="4"/>
    </row>
    <row r="299" spans="1:43" ht="15">
      <c r="A299" s="56" t="s">
        <v>555</v>
      </c>
      <c r="B299" s="43"/>
      <c r="C299" s="81" t="s">
        <v>556</v>
      </c>
      <c r="D299" s="50" t="s">
        <v>554</v>
      </c>
      <c r="E299" s="46"/>
      <c r="F299" s="47">
        <f>0.255*25*1</f>
        <v>6.375</v>
      </c>
      <c r="G299" s="95">
        <v>1</v>
      </c>
      <c r="H299" s="202"/>
      <c r="I299" s="187"/>
      <c r="AQ299" s="4"/>
    </row>
    <row r="300" spans="1:43" ht="15">
      <c r="A300" s="56" t="s">
        <v>557</v>
      </c>
      <c r="B300" s="43"/>
      <c r="C300" s="81" t="s">
        <v>558</v>
      </c>
      <c r="D300" s="50" t="s">
        <v>554</v>
      </c>
      <c r="E300" s="46"/>
      <c r="F300" s="47">
        <f>0.255*25*1</f>
        <v>6.375</v>
      </c>
      <c r="G300" s="95">
        <v>1</v>
      </c>
      <c r="H300" s="202"/>
      <c r="I300" s="187"/>
      <c r="AQ300" s="4"/>
    </row>
    <row r="301" spans="1:43" ht="15">
      <c r="A301" s="56" t="s">
        <v>559</v>
      </c>
      <c r="B301" s="43"/>
      <c r="C301" s="81" t="s">
        <v>558</v>
      </c>
      <c r="D301" s="50" t="s">
        <v>560</v>
      </c>
      <c r="E301" s="46"/>
      <c r="F301" s="47">
        <f>0.255*23*1</f>
        <v>5.865</v>
      </c>
      <c r="G301" s="95">
        <v>1</v>
      </c>
      <c r="H301" s="202"/>
      <c r="I301" s="187"/>
      <c r="AQ301" s="4"/>
    </row>
    <row r="302" spans="1:43" ht="15">
      <c r="A302" s="56" t="s">
        <v>561</v>
      </c>
      <c r="B302" s="43"/>
      <c r="C302" s="81" t="s">
        <v>562</v>
      </c>
      <c r="D302" s="50" t="s">
        <v>563</v>
      </c>
      <c r="E302" s="46"/>
      <c r="F302" s="47">
        <f>0.255*23*2</f>
        <v>11.73</v>
      </c>
      <c r="G302" s="95">
        <v>2</v>
      </c>
      <c r="H302" s="202"/>
      <c r="I302" s="187"/>
      <c r="AQ302" s="4"/>
    </row>
    <row r="303" spans="1:43" ht="15">
      <c r="A303" s="56" t="s">
        <v>564</v>
      </c>
      <c r="B303" s="43"/>
      <c r="C303" s="81" t="s">
        <v>565</v>
      </c>
      <c r="D303" s="50" t="s">
        <v>566</v>
      </c>
      <c r="E303" s="46"/>
      <c r="F303" s="47">
        <f>0.255*26*2</f>
        <v>13.26</v>
      </c>
      <c r="G303" s="95">
        <v>2</v>
      </c>
      <c r="H303" s="202"/>
      <c r="I303" s="187"/>
      <c r="AQ303" s="4"/>
    </row>
    <row r="304" spans="1:43" ht="15">
      <c r="A304" s="56" t="s">
        <v>567</v>
      </c>
      <c r="B304" s="43"/>
      <c r="C304" s="81" t="s">
        <v>568</v>
      </c>
      <c r="D304" s="50" t="s">
        <v>563</v>
      </c>
      <c r="E304" s="46"/>
      <c r="F304" s="47">
        <f>0.255*23*2</f>
        <v>11.73</v>
      </c>
      <c r="G304" s="95">
        <v>2</v>
      </c>
      <c r="H304" s="202"/>
      <c r="I304" s="187"/>
      <c r="AQ304" s="4"/>
    </row>
    <row r="305" spans="1:43" ht="15">
      <c r="A305" s="56" t="s">
        <v>569</v>
      </c>
      <c r="B305" s="43"/>
      <c r="C305" s="81" t="s">
        <v>570</v>
      </c>
      <c r="D305" s="50" t="s">
        <v>571</v>
      </c>
      <c r="E305" s="46"/>
      <c r="F305" s="47">
        <f>0.255*28*1</f>
        <v>7.140000000000001</v>
      </c>
      <c r="G305" s="95">
        <v>1</v>
      </c>
      <c r="H305" s="202"/>
      <c r="I305" s="187"/>
      <c r="AQ305" s="4"/>
    </row>
    <row r="306" spans="1:43" ht="15">
      <c r="A306" s="56" t="s">
        <v>572</v>
      </c>
      <c r="B306" s="43"/>
      <c r="C306" s="81" t="s">
        <v>570</v>
      </c>
      <c r="D306" s="50" t="s">
        <v>573</v>
      </c>
      <c r="E306" s="46"/>
      <c r="F306" s="47">
        <f>0.255*11*1</f>
        <v>2.805</v>
      </c>
      <c r="G306" s="95">
        <v>1</v>
      </c>
      <c r="H306" s="202"/>
      <c r="I306" s="187"/>
      <c r="AQ306" s="4"/>
    </row>
    <row r="307" spans="1:43" ht="15">
      <c r="A307" s="56" t="s">
        <v>574</v>
      </c>
      <c r="B307" s="43"/>
      <c r="C307" s="81"/>
      <c r="D307" s="50"/>
      <c r="E307" s="46"/>
      <c r="F307" s="47"/>
      <c r="G307" s="95"/>
      <c r="H307" s="202"/>
      <c r="I307" s="187"/>
      <c r="AQ307" s="4"/>
    </row>
    <row r="308" spans="1:43" ht="15">
      <c r="A308" s="56" t="s">
        <v>575</v>
      </c>
      <c r="B308" s="43"/>
      <c r="C308" s="81"/>
      <c r="D308" s="104" t="s">
        <v>576</v>
      </c>
      <c r="E308" s="46"/>
      <c r="F308" s="47"/>
      <c r="G308" s="95"/>
      <c r="H308" s="202"/>
      <c r="I308" s="187"/>
      <c r="AQ308" s="4"/>
    </row>
    <row r="309" spans="1:43" ht="15">
      <c r="A309" s="56" t="s">
        <v>577</v>
      </c>
      <c r="B309" s="43"/>
      <c r="C309" s="81"/>
      <c r="D309" s="107" t="s">
        <v>578</v>
      </c>
      <c r="E309" s="46" t="s">
        <v>55</v>
      </c>
      <c r="F309" s="95">
        <f>SUM(F311:F339)</f>
        <v>174.25</v>
      </c>
      <c r="G309" s="95"/>
      <c r="H309" s="202"/>
      <c r="I309" s="187"/>
      <c r="AQ309" s="4"/>
    </row>
    <row r="310" spans="1:43" ht="15">
      <c r="A310" s="56" t="s">
        <v>579</v>
      </c>
      <c r="B310" s="43"/>
      <c r="C310" s="106" t="s">
        <v>163</v>
      </c>
      <c r="D310" s="108" t="s">
        <v>580</v>
      </c>
      <c r="E310" s="46"/>
      <c r="F310" s="47"/>
      <c r="G310" s="95"/>
      <c r="H310" s="202"/>
      <c r="I310" s="187"/>
      <c r="AQ310" s="4"/>
    </row>
    <row r="311" spans="1:43" ht="15">
      <c r="A311" s="56" t="s">
        <v>581</v>
      </c>
      <c r="B311" s="43"/>
      <c r="C311" s="81" t="s">
        <v>582</v>
      </c>
      <c r="D311" s="50" t="s">
        <v>583</v>
      </c>
      <c r="E311" s="46"/>
      <c r="F311" s="47">
        <f>0.205*13*1</f>
        <v>2.665</v>
      </c>
      <c r="G311" s="95">
        <v>1</v>
      </c>
      <c r="H311" s="202"/>
      <c r="I311" s="187"/>
      <c r="AQ311" s="4"/>
    </row>
    <row r="312" spans="1:43" ht="15">
      <c r="A312" s="56" t="s">
        <v>584</v>
      </c>
      <c r="B312" s="43"/>
      <c r="C312" s="81" t="s">
        <v>200</v>
      </c>
      <c r="D312" s="50" t="s">
        <v>585</v>
      </c>
      <c r="E312" s="46"/>
      <c r="F312" s="47">
        <f>0.205*12*1</f>
        <v>2.46</v>
      </c>
      <c r="G312" s="95">
        <v>1</v>
      </c>
      <c r="H312" s="202"/>
      <c r="I312" s="187"/>
      <c r="AQ312" s="4"/>
    </row>
    <row r="313" spans="1:43" ht="15">
      <c r="A313" s="56" t="s">
        <v>586</v>
      </c>
      <c r="B313" s="43"/>
      <c r="C313" s="81" t="s">
        <v>587</v>
      </c>
      <c r="D313" s="50" t="s">
        <v>588</v>
      </c>
      <c r="E313" s="46"/>
      <c r="F313" s="47">
        <f>0.205*8*1</f>
        <v>1.64</v>
      </c>
      <c r="G313" s="95">
        <v>1</v>
      </c>
      <c r="H313" s="202"/>
      <c r="I313" s="187"/>
      <c r="AQ313" s="4"/>
    </row>
    <row r="314" spans="1:43" ht="15">
      <c r="A314" s="56" t="s">
        <v>589</v>
      </c>
      <c r="B314" s="43"/>
      <c r="C314" s="81" t="s">
        <v>272</v>
      </c>
      <c r="D314" s="50" t="s">
        <v>590</v>
      </c>
      <c r="E314" s="46"/>
      <c r="F314" s="47">
        <f>0.205*5*1</f>
        <v>1.025</v>
      </c>
      <c r="G314" s="95">
        <v>1</v>
      </c>
      <c r="H314" s="202"/>
      <c r="I314" s="187"/>
      <c r="AQ314" s="4"/>
    </row>
    <row r="315" spans="1:43" ht="15">
      <c r="A315" s="56" t="s">
        <v>591</v>
      </c>
      <c r="B315" s="43"/>
      <c r="C315" s="81" t="s">
        <v>224</v>
      </c>
      <c r="D315" s="50" t="s">
        <v>590</v>
      </c>
      <c r="E315" s="46"/>
      <c r="F315" s="47">
        <f>0.205*5*1</f>
        <v>1.025</v>
      </c>
      <c r="G315" s="95">
        <v>1</v>
      </c>
      <c r="H315" s="202"/>
      <c r="I315" s="187"/>
      <c r="AQ315" s="4"/>
    </row>
    <row r="316" spans="1:43" ht="15">
      <c r="A316" s="56" t="s">
        <v>592</v>
      </c>
      <c r="B316" s="43"/>
      <c r="C316" s="81" t="s">
        <v>593</v>
      </c>
      <c r="D316" s="50" t="s">
        <v>588</v>
      </c>
      <c r="E316" s="46"/>
      <c r="F316" s="47">
        <f>0.205*8*1</f>
        <v>1.64</v>
      </c>
      <c r="G316" s="95">
        <v>1</v>
      </c>
      <c r="H316" s="202"/>
      <c r="I316" s="187"/>
      <c r="AQ316" s="4"/>
    </row>
    <row r="317" spans="1:43" ht="15">
      <c r="A317" s="56" t="s">
        <v>594</v>
      </c>
      <c r="B317" s="43"/>
      <c r="C317" s="81"/>
      <c r="D317" s="50"/>
      <c r="E317" s="46"/>
      <c r="F317" s="47"/>
      <c r="G317" s="95"/>
      <c r="H317" s="202"/>
      <c r="I317" s="187"/>
      <c r="AQ317" s="4"/>
    </row>
    <row r="318" spans="1:43" ht="15">
      <c r="A318" s="56" t="s">
        <v>595</v>
      </c>
      <c r="B318" s="43"/>
      <c r="C318" s="106" t="s">
        <v>163</v>
      </c>
      <c r="D318" s="108" t="s">
        <v>596</v>
      </c>
      <c r="E318" s="46"/>
      <c r="F318" s="47"/>
      <c r="G318" s="95"/>
      <c r="H318" s="202"/>
      <c r="I318" s="187"/>
      <c r="AQ318" s="4"/>
    </row>
    <row r="319" spans="1:43" ht="15">
      <c r="A319" s="56" t="s">
        <v>597</v>
      </c>
      <c r="B319" s="43"/>
      <c r="C319" s="81" t="s">
        <v>325</v>
      </c>
      <c r="D319" s="53" t="s">
        <v>598</v>
      </c>
      <c r="E319" s="46"/>
      <c r="F319" s="47">
        <f>0.44*18*1</f>
        <v>7.92</v>
      </c>
      <c r="G319" s="95">
        <v>1</v>
      </c>
      <c r="H319" s="202"/>
      <c r="I319" s="187"/>
      <c r="AQ319" s="4"/>
    </row>
    <row r="320" spans="1:43" ht="15">
      <c r="A320" s="56" t="s">
        <v>599</v>
      </c>
      <c r="B320" s="43"/>
      <c r="C320" s="81" t="s">
        <v>600</v>
      </c>
      <c r="D320" s="53" t="s">
        <v>601</v>
      </c>
      <c r="E320" s="46"/>
      <c r="F320" s="47">
        <f>0.44*19*1</f>
        <v>8.36</v>
      </c>
      <c r="G320" s="95">
        <v>1</v>
      </c>
      <c r="H320" s="202"/>
      <c r="I320" s="187"/>
      <c r="AQ320" s="4"/>
    </row>
    <row r="321" spans="1:43" ht="15">
      <c r="A321" s="56" t="s">
        <v>602</v>
      </c>
      <c r="B321" s="43"/>
      <c r="C321" s="81" t="s">
        <v>603</v>
      </c>
      <c r="D321" s="50" t="s">
        <v>271</v>
      </c>
      <c r="E321" s="46"/>
      <c r="F321" s="47">
        <f>0.255*20*1</f>
        <v>5.1</v>
      </c>
      <c r="G321" s="95">
        <v>1</v>
      </c>
      <c r="H321" s="202"/>
      <c r="I321" s="187"/>
      <c r="AQ321" s="4"/>
    </row>
    <row r="322" spans="1:43" ht="15">
      <c r="A322" s="56" t="s">
        <v>604</v>
      </c>
      <c r="B322" s="43"/>
      <c r="C322" s="81" t="s">
        <v>603</v>
      </c>
      <c r="D322" s="50" t="s">
        <v>605</v>
      </c>
      <c r="E322" s="46"/>
      <c r="F322" s="47"/>
      <c r="G322" s="95"/>
      <c r="H322" s="202"/>
      <c r="I322" s="187"/>
      <c r="AQ322" s="4"/>
    </row>
    <row r="323" spans="1:43" ht="15">
      <c r="A323" s="56" t="s">
        <v>606</v>
      </c>
      <c r="B323" s="43"/>
      <c r="C323" s="81"/>
      <c r="D323" s="50"/>
      <c r="E323" s="46"/>
      <c r="F323" s="47"/>
      <c r="G323" s="95"/>
      <c r="H323" s="202"/>
      <c r="I323" s="187"/>
      <c r="AQ323" s="4"/>
    </row>
    <row r="324" spans="1:43" ht="15">
      <c r="A324" s="56" t="s">
        <v>607</v>
      </c>
      <c r="B324" s="43"/>
      <c r="C324" s="106" t="s">
        <v>163</v>
      </c>
      <c r="D324" s="108" t="s">
        <v>608</v>
      </c>
      <c r="E324" s="46"/>
      <c r="F324" s="47"/>
      <c r="G324" s="95"/>
      <c r="H324" s="202"/>
      <c r="I324" s="187"/>
      <c r="AQ324" s="4"/>
    </row>
    <row r="325" spans="1:43" ht="15">
      <c r="A325" s="56" t="s">
        <v>609</v>
      </c>
      <c r="B325" s="43"/>
      <c r="C325" s="81" t="s">
        <v>346</v>
      </c>
      <c r="D325" s="50" t="s">
        <v>280</v>
      </c>
      <c r="E325" s="46"/>
      <c r="F325" s="47">
        <f>0.255*22*1</f>
        <v>5.61</v>
      </c>
      <c r="G325" s="95">
        <v>1</v>
      </c>
      <c r="H325" s="202"/>
      <c r="I325" s="187"/>
      <c r="AQ325" s="4"/>
    </row>
    <row r="326" spans="1:43" ht="15">
      <c r="A326" s="56" t="s">
        <v>610</v>
      </c>
      <c r="B326" s="43"/>
      <c r="C326" s="81"/>
      <c r="D326" s="53" t="s">
        <v>611</v>
      </c>
      <c r="E326" s="46"/>
      <c r="F326" s="47">
        <f>0.44*25*1</f>
        <v>11</v>
      </c>
      <c r="G326" s="95">
        <v>1</v>
      </c>
      <c r="H326" s="202"/>
      <c r="I326" s="187"/>
      <c r="AQ326" s="4"/>
    </row>
    <row r="327" spans="1:43" ht="15">
      <c r="A327" s="56" t="s">
        <v>612</v>
      </c>
      <c r="B327" s="43"/>
      <c r="C327" s="81"/>
      <c r="D327" s="53" t="s">
        <v>613</v>
      </c>
      <c r="E327" s="46"/>
      <c r="F327" s="47">
        <f>0.44*20*4</f>
        <v>35.2</v>
      </c>
      <c r="G327" s="95">
        <v>4</v>
      </c>
      <c r="H327" s="202"/>
      <c r="I327" s="187"/>
      <c r="AQ327" s="4"/>
    </row>
    <row r="328" spans="1:43" ht="15">
      <c r="A328" s="56" t="s">
        <v>614</v>
      </c>
      <c r="B328" s="43"/>
      <c r="C328" s="81"/>
      <c r="D328" s="50"/>
      <c r="E328" s="46"/>
      <c r="F328" s="47"/>
      <c r="G328" s="95"/>
      <c r="H328" s="202"/>
      <c r="I328" s="187"/>
      <c r="AQ328" s="4"/>
    </row>
    <row r="329" spans="1:43" ht="15">
      <c r="A329" s="56" t="s">
        <v>615</v>
      </c>
      <c r="B329" s="43"/>
      <c r="C329" s="106" t="s">
        <v>163</v>
      </c>
      <c r="D329" s="108" t="s">
        <v>616</v>
      </c>
      <c r="E329" s="46"/>
      <c r="F329" s="47"/>
      <c r="G329" s="95"/>
      <c r="H329" s="202"/>
      <c r="I329" s="187"/>
      <c r="AQ329" s="4"/>
    </row>
    <row r="330" spans="1:43" ht="15">
      <c r="A330" s="56" t="s">
        <v>617</v>
      </c>
      <c r="B330" s="43"/>
      <c r="C330" s="81" t="s">
        <v>618</v>
      </c>
      <c r="D330" s="50" t="s">
        <v>619</v>
      </c>
      <c r="E330" s="46"/>
      <c r="F330" s="47">
        <f>0.255*14*1</f>
        <v>3.5700000000000003</v>
      </c>
      <c r="G330" s="95">
        <v>1</v>
      </c>
      <c r="H330" s="202"/>
      <c r="I330" s="187"/>
      <c r="AQ330" s="4"/>
    </row>
    <row r="331" spans="1:43" ht="15">
      <c r="A331" s="56" t="s">
        <v>620</v>
      </c>
      <c r="B331" s="43"/>
      <c r="C331" s="81" t="s">
        <v>618</v>
      </c>
      <c r="D331" s="53" t="s">
        <v>298</v>
      </c>
      <c r="E331" s="46"/>
      <c r="F331" s="47">
        <f>0.44*10*1</f>
        <v>4.4</v>
      </c>
      <c r="G331" s="95">
        <v>1</v>
      </c>
      <c r="H331" s="202"/>
      <c r="I331" s="187"/>
      <c r="AQ331" s="4"/>
    </row>
    <row r="332" spans="1:43" ht="15">
      <c r="A332" s="56" t="s">
        <v>621</v>
      </c>
      <c r="B332" s="43"/>
      <c r="C332" s="81"/>
      <c r="D332" s="50"/>
      <c r="E332" s="46"/>
      <c r="F332" s="47"/>
      <c r="G332" s="95"/>
      <c r="H332" s="202"/>
      <c r="I332" s="187"/>
      <c r="AQ332" s="4"/>
    </row>
    <row r="333" spans="1:43" ht="15">
      <c r="A333" s="56" t="s">
        <v>622</v>
      </c>
      <c r="B333" s="43"/>
      <c r="C333" s="106" t="s">
        <v>163</v>
      </c>
      <c r="D333" s="108" t="s">
        <v>623</v>
      </c>
      <c r="E333" s="46"/>
      <c r="F333" s="47"/>
      <c r="G333" s="95"/>
      <c r="H333" s="202"/>
      <c r="I333" s="187"/>
      <c r="AQ333" s="4"/>
    </row>
    <row r="334" spans="1:43" ht="15">
      <c r="A334" s="56" t="s">
        <v>624</v>
      </c>
      <c r="B334" s="43"/>
      <c r="C334" s="81" t="s">
        <v>625</v>
      </c>
      <c r="D334" s="50" t="s">
        <v>271</v>
      </c>
      <c r="E334" s="46"/>
      <c r="F334" s="47">
        <f>0.255*20*1</f>
        <v>5.1</v>
      </c>
      <c r="G334" s="95">
        <v>1</v>
      </c>
      <c r="H334" s="202"/>
      <c r="I334" s="187"/>
      <c r="AQ334" s="4"/>
    </row>
    <row r="335" spans="1:43" ht="15">
      <c r="A335" s="56" t="s">
        <v>626</v>
      </c>
      <c r="B335" s="43"/>
      <c r="C335" s="81" t="s">
        <v>627</v>
      </c>
      <c r="D335" s="50" t="s">
        <v>227</v>
      </c>
      <c r="E335" s="46"/>
      <c r="F335" s="47">
        <f>0.255*17*1</f>
        <v>4.335</v>
      </c>
      <c r="G335" s="95">
        <v>1</v>
      </c>
      <c r="H335" s="202"/>
      <c r="I335" s="187"/>
      <c r="AQ335" s="4"/>
    </row>
    <row r="336" spans="1:43" ht="15">
      <c r="A336" s="56" t="s">
        <v>628</v>
      </c>
      <c r="B336" s="43"/>
      <c r="C336" s="81" t="s">
        <v>629</v>
      </c>
      <c r="D336" s="50" t="s">
        <v>271</v>
      </c>
      <c r="E336" s="46"/>
      <c r="F336" s="47">
        <f>0.255*20*1</f>
        <v>5.1</v>
      </c>
      <c r="G336" s="95">
        <v>1</v>
      </c>
      <c r="H336" s="202"/>
      <c r="I336" s="187"/>
      <c r="AQ336" s="4"/>
    </row>
    <row r="337" spans="1:43" ht="15">
      <c r="A337" s="56" t="s">
        <v>627</v>
      </c>
      <c r="B337" s="43"/>
      <c r="C337" s="81" t="s">
        <v>628</v>
      </c>
      <c r="D337" s="53" t="s">
        <v>630</v>
      </c>
      <c r="E337" s="46"/>
      <c r="F337" s="47">
        <f>0.44*20*3</f>
        <v>26.400000000000002</v>
      </c>
      <c r="G337" s="95">
        <v>3</v>
      </c>
      <c r="H337" s="202"/>
      <c r="I337" s="187"/>
      <c r="AQ337" s="4"/>
    </row>
    <row r="338" spans="1:43" ht="15">
      <c r="A338" s="56" t="s">
        <v>629</v>
      </c>
      <c r="B338" s="43"/>
      <c r="C338" s="81" t="s">
        <v>629</v>
      </c>
      <c r="D338" s="50" t="s">
        <v>631</v>
      </c>
      <c r="E338" s="46"/>
      <c r="F338" s="47">
        <f>0.255*20*3</f>
        <v>15.299999999999999</v>
      </c>
      <c r="G338" s="95">
        <v>3</v>
      </c>
      <c r="H338" s="202"/>
      <c r="I338" s="187"/>
      <c r="AQ338" s="4"/>
    </row>
    <row r="339" spans="1:43" ht="15">
      <c r="A339" s="56" t="s">
        <v>391</v>
      </c>
      <c r="B339" s="43"/>
      <c r="C339" s="81" t="s">
        <v>629</v>
      </c>
      <c r="D339" s="50" t="s">
        <v>632</v>
      </c>
      <c r="E339" s="46"/>
      <c r="F339" s="47">
        <f>0.44*20*G339</f>
        <v>26.400000000000002</v>
      </c>
      <c r="G339" s="95">
        <v>3</v>
      </c>
      <c r="H339" s="202"/>
      <c r="I339" s="187"/>
      <c r="AQ339" s="4"/>
    </row>
    <row r="340" spans="1:43" ht="15">
      <c r="A340" s="56" t="s">
        <v>388</v>
      </c>
      <c r="B340" s="43"/>
      <c r="C340" s="81"/>
      <c r="D340" s="50"/>
      <c r="E340" s="46"/>
      <c r="F340" s="47"/>
      <c r="G340" s="95"/>
      <c r="H340" s="202"/>
      <c r="I340" s="187"/>
      <c r="AQ340" s="4"/>
    </row>
    <row r="341" spans="1:43" ht="15">
      <c r="A341" s="56" t="s">
        <v>386</v>
      </c>
      <c r="B341" s="43"/>
      <c r="C341" s="81"/>
      <c r="D341" s="104" t="s">
        <v>633</v>
      </c>
      <c r="E341" s="46"/>
      <c r="F341" s="47"/>
      <c r="G341" s="95"/>
      <c r="H341" s="202"/>
      <c r="I341" s="187"/>
      <c r="AQ341" s="4"/>
    </row>
    <row r="342" spans="1:43" ht="15">
      <c r="A342" s="56" t="s">
        <v>634</v>
      </c>
      <c r="B342" s="43"/>
      <c r="C342" s="81"/>
      <c r="D342" s="107" t="s">
        <v>635</v>
      </c>
      <c r="E342" s="46" t="s">
        <v>55</v>
      </c>
      <c r="F342" s="95">
        <f>SUM(F344:F369)</f>
        <v>124.43000000000002</v>
      </c>
      <c r="G342" s="95"/>
      <c r="H342" s="202"/>
      <c r="I342" s="187"/>
      <c r="AQ342" s="4"/>
    </row>
    <row r="343" spans="1:43" ht="15">
      <c r="A343" s="56" t="s">
        <v>636</v>
      </c>
      <c r="B343" s="43"/>
      <c r="C343" s="106" t="s">
        <v>163</v>
      </c>
      <c r="D343" s="108" t="s">
        <v>637</v>
      </c>
      <c r="E343" s="46"/>
      <c r="F343" s="47"/>
      <c r="G343" s="95"/>
      <c r="H343" s="202"/>
      <c r="I343" s="187"/>
      <c r="AQ343" s="4"/>
    </row>
    <row r="344" spans="1:43" ht="15">
      <c r="A344" s="56" t="s">
        <v>638</v>
      </c>
      <c r="B344" s="43"/>
      <c r="C344" s="81" t="s">
        <v>253</v>
      </c>
      <c r="D344" s="50" t="s">
        <v>177</v>
      </c>
      <c r="E344" s="46"/>
      <c r="F344" s="47">
        <f>0.255*15*1</f>
        <v>3.825</v>
      </c>
      <c r="G344" s="95">
        <v>1</v>
      </c>
      <c r="H344" s="202"/>
      <c r="I344" s="187"/>
      <c r="AQ344" s="4"/>
    </row>
    <row r="345" spans="1:43" ht="15">
      <c r="A345" s="56" t="s">
        <v>639</v>
      </c>
      <c r="B345" s="43"/>
      <c r="C345" s="81" t="s">
        <v>253</v>
      </c>
      <c r="D345" s="53" t="s">
        <v>598</v>
      </c>
      <c r="E345" s="46"/>
      <c r="F345" s="47">
        <f>0.44*18*1</f>
        <v>7.92</v>
      </c>
      <c r="G345" s="95">
        <v>1</v>
      </c>
      <c r="H345" s="202"/>
      <c r="I345" s="187"/>
      <c r="AQ345" s="4"/>
    </row>
    <row r="346" spans="1:43" ht="15">
      <c r="A346" s="56" t="s">
        <v>640</v>
      </c>
      <c r="B346" s="43"/>
      <c r="C346" s="81" t="s">
        <v>267</v>
      </c>
      <c r="D346" s="50" t="s">
        <v>590</v>
      </c>
      <c r="E346" s="46"/>
      <c r="F346" s="47">
        <f>0.205*5*1</f>
        <v>1.025</v>
      </c>
      <c r="G346" s="95">
        <v>1</v>
      </c>
      <c r="H346" s="202"/>
      <c r="I346" s="187"/>
      <c r="AQ346" s="4"/>
    </row>
    <row r="347" spans="1:43" ht="15">
      <c r="A347" s="56" t="s">
        <v>641</v>
      </c>
      <c r="B347" s="43"/>
      <c r="C347" s="81" t="s">
        <v>264</v>
      </c>
      <c r="D347" s="50" t="s">
        <v>590</v>
      </c>
      <c r="E347" s="46"/>
      <c r="F347" s="47">
        <f>0.205*5*1</f>
        <v>1.025</v>
      </c>
      <c r="G347" s="95">
        <v>1</v>
      </c>
      <c r="H347" s="202"/>
      <c r="I347" s="187"/>
      <c r="AQ347" s="4"/>
    </row>
    <row r="348" spans="1:43" ht="15">
      <c r="A348" s="56" t="s">
        <v>642</v>
      </c>
      <c r="B348" s="43"/>
      <c r="C348" s="81" t="s">
        <v>643</v>
      </c>
      <c r="D348" s="50" t="s">
        <v>644</v>
      </c>
      <c r="E348" s="46"/>
      <c r="F348" s="47">
        <f>0.255*10*1</f>
        <v>2.55</v>
      </c>
      <c r="G348" s="95">
        <v>1</v>
      </c>
      <c r="H348" s="202"/>
      <c r="I348" s="187"/>
      <c r="AQ348" s="4"/>
    </row>
    <row r="349" spans="1:43" ht="15">
      <c r="A349" s="56" t="s">
        <v>275</v>
      </c>
      <c r="B349" s="43"/>
      <c r="C349" s="81" t="s">
        <v>343</v>
      </c>
      <c r="D349" s="50" t="s">
        <v>605</v>
      </c>
      <c r="E349" s="46"/>
      <c r="F349" s="47"/>
      <c r="G349" s="95"/>
      <c r="H349" s="202"/>
      <c r="I349" s="187"/>
      <c r="AQ349" s="4"/>
    </row>
    <row r="350" spans="1:43" ht="15">
      <c r="A350" s="56" t="s">
        <v>274</v>
      </c>
      <c r="B350" s="43"/>
      <c r="C350" s="81"/>
      <c r="D350" s="50"/>
      <c r="E350" s="46"/>
      <c r="F350" s="47"/>
      <c r="G350" s="95"/>
      <c r="H350" s="202"/>
      <c r="I350" s="187"/>
      <c r="AQ350" s="4"/>
    </row>
    <row r="351" spans="1:43" ht="15">
      <c r="A351" s="56" t="s">
        <v>273</v>
      </c>
      <c r="B351" s="43"/>
      <c r="C351" s="106" t="s">
        <v>163</v>
      </c>
      <c r="D351" s="113" t="s">
        <v>645</v>
      </c>
      <c r="E351" s="46"/>
      <c r="F351" s="47"/>
      <c r="G351" s="95"/>
      <c r="H351" s="202"/>
      <c r="I351" s="187"/>
      <c r="AQ351" s="4"/>
    </row>
    <row r="352" spans="1:43" ht="15">
      <c r="A352" s="56" t="s">
        <v>270</v>
      </c>
      <c r="B352" s="43"/>
      <c r="C352" s="81" t="s">
        <v>646</v>
      </c>
      <c r="D352" s="53" t="s">
        <v>647</v>
      </c>
      <c r="E352" s="46"/>
      <c r="F352" s="47">
        <f>0.44*18*3</f>
        <v>23.759999999999998</v>
      </c>
      <c r="G352" s="95">
        <v>3</v>
      </c>
      <c r="H352" s="202"/>
      <c r="I352" s="187"/>
      <c r="AQ352" s="4"/>
    </row>
    <row r="353" spans="1:43" ht="15">
      <c r="A353" s="56" t="s">
        <v>268</v>
      </c>
      <c r="B353" s="43"/>
      <c r="C353" s="81" t="s">
        <v>648</v>
      </c>
      <c r="D353" s="53" t="s">
        <v>601</v>
      </c>
      <c r="E353" s="46"/>
      <c r="F353" s="47">
        <f>0.44*19*1</f>
        <v>8.36</v>
      </c>
      <c r="G353" s="95">
        <v>1</v>
      </c>
      <c r="H353" s="202"/>
      <c r="I353" s="187"/>
      <c r="AQ353" s="4"/>
    </row>
    <row r="354" spans="1:43" ht="15">
      <c r="A354" s="56" t="s">
        <v>265</v>
      </c>
      <c r="B354" s="43"/>
      <c r="C354" s="81" t="s">
        <v>646</v>
      </c>
      <c r="D354" s="53" t="s">
        <v>598</v>
      </c>
      <c r="E354" s="46"/>
      <c r="F354" s="47">
        <f>0.44*18*1</f>
        <v>7.92</v>
      </c>
      <c r="G354" s="95">
        <v>1</v>
      </c>
      <c r="H354" s="202"/>
      <c r="I354" s="187"/>
      <c r="AQ354" s="4"/>
    </row>
    <row r="355" spans="1:43" ht="15">
      <c r="A355" s="56" t="s">
        <v>260</v>
      </c>
      <c r="B355" s="43"/>
      <c r="C355" s="81" t="s">
        <v>500</v>
      </c>
      <c r="D355" s="53" t="s">
        <v>598</v>
      </c>
      <c r="E355" s="46"/>
      <c r="F355" s="47">
        <f>0.44*18*1</f>
        <v>7.92</v>
      </c>
      <c r="G355" s="95">
        <v>1</v>
      </c>
      <c r="H355" s="202"/>
      <c r="I355" s="187"/>
      <c r="AQ355" s="4"/>
    </row>
    <row r="356" spans="1:43" ht="15">
      <c r="A356" s="56" t="s">
        <v>649</v>
      </c>
      <c r="B356" s="43"/>
      <c r="C356" s="81" t="s">
        <v>650</v>
      </c>
      <c r="D356" s="53" t="s">
        <v>651</v>
      </c>
      <c r="E356" s="46"/>
      <c r="F356" s="47">
        <f>0.185*23*2</f>
        <v>8.51</v>
      </c>
      <c r="G356" s="95">
        <v>2</v>
      </c>
      <c r="H356" s="202"/>
      <c r="I356" s="187"/>
      <c r="AQ356" s="4"/>
    </row>
    <row r="357" spans="1:43" ht="15">
      <c r="A357" s="56" t="s">
        <v>652</v>
      </c>
      <c r="B357" s="43"/>
      <c r="C357" s="81"/>
      <c r="D357" s="53"/>
      <c r="E357" s="46"/>
      <c r="F357" s="47"/>
      <c r="G357" s="95"/>
      <c r="H357" s="202"/>
      <c r="I357" s="187"/>
      <c r="AQ357" s="4"/>
    </row>
    <row r="358" spans="1:43" ht="15">
      <c r="A358" s="56" t="s">
        <v>653</v>
      </c>
      <c r="B358" s="43"/>
      <c r="C358" s="106" t="s">
        <v>163</v>
      </c>
      <c r="D358" s="114" t="s">
        <v>654</v>
      </c>
      <c r="E358" s="46"/>
      <c r="F358" s="47"/>
      <c r="G358" s="95"/>
      <c r="H358" s="202"/>
      <c r="I358" s="187"/>
      <c r="AQ358" s="4"/>
    </row>
    <row r="359" spans="1:43" ht="15">
      <c r="A359" s="56" t="s">
        <v>655</v>
      </c>
      <c r="B359" s="43"/>
      <c r="C359" s="81" t="s">
        <v>350</v>
      </c>
      <c r="D359" s="50" t="s">
        <v>172</v>
      </c>
      <c r="E359" s="46"/>
      <c r="F359" s="47">
        <f>0.255*22*1</f>
        <v>5.61</v>
      </c>
      <c r="G359" s="95">
        <v>1</v>
      </c>
      <c r="H359" s="202"/>
      <c r="I359" s="187"/>
      <c r="AQ359" s="4"/>
    </row>
    <row r="360" spans="1:43" ht="15">
      <c r="A360" s="56" t="s">
        <v>656</v>
      </c>
      <c r="B360" s="43"/>
      <c r="C360" s="81" t="s">
        <v>257</v>
      </c>
      <c r="D360" s="53" t="s">
        <v>611</v>
      </c>
      <c r="E360" s="46"/>
      <c r="F360" s="47">
        <f>0.44*25*1</f>
        <v>11</v>
      </c>
      <c r="G360" s="95">
        <v>1</v>
      </c>
      <c r="H360" s="202"/>
      <c r="I360" s="187"/>
      <c r="AQ360" s="4"/>
    </row>
    <row r="361" spans="1:43" ht="15">
      <c r="A361" s="56" t="s">
        <v>657</v>
      </c>
      <c r="B361" s="43"/>
      <c r="C361" s="81"/>
      <c r="D361" s="53"/>
      <c r="E361" s="46"/>
      <c r="F361" s="47"/>
      <c r="G361" s="95"/>
      <c r="H361" s="202"/>
      <c r="I361" s="187"/>
      <c r="AQ361" s="4"/>
    </row>
    <row r="362" spans="1:43" ht="15">
      <c r="A362" s="56" t="s">
        <v>658</v>
      </c>
      <c r="B362" s="43"/>
      <c r="C362" s="106" t="s">
        <v>163</v>
      </c>
      <c r="D362" s="114" t="s">
        <v>659</v>
      </c>
      <c r="E362" s="46"/>
      <c r="F362" s="47"/>
      <c r="G362" s="95"/>
      <c r="H362" s="202"/>
      <c r="I362" s="187"/>
      <c r="AQ362" s="4"/>
    </row>
    <row r="363" spans="1:43" ht="15">
      <c r="A363" s="56" t="s">
        <v>660</v>
      </c>
      <c r="B363" s="43"/>
      <c r="C363" s="81" t="s">
        <v>661</v>
      </c>
      <c r="D363" s="50" t="s">
        <v>662</v>
      </c>
      <c r="E363" s="46"/>
      <c r="F363" s="47">
        <f>0.255*11*1</f>
        <v>2.805</v>
      </c>
      <c r="G363" s="95">
        <v>1</v>
      </c>
      <c r="H363" s="202"/>
      <c r="I363" s="187"/>
      <c r="AQ363" s="4"/>
    </row>
    <row r="364" spans="1:43" ht="15">
      <c r="A364" s="56" t="s">
        <v>663</v>
      </c>
      <c r="B364" s="43"/>
      <c r="C364" s="81" t="s">
        <v>661</v>
      </c>
      <c r="D364" s="53" t="s">
        <v>298</v>
      </c>
      <c r="E364" s="46"/>
      <c r="F364" s="47">
        <f>0.44*10*1</f>
        <v>4.4</v>
      </c>
      <c r="G364" s="95">
        <v>1</v>
      </c>
      <c r="H364" s="202"/>
      <c r="I364" s="187"/>
      <c r="AQ364" s="4"/>
    </row>
    <row r="365" spans="1:43" ht="15">
      <c r="A365" s="56" t="s">
        <v>664</v>
      </c>
      <c r="B365" s="43"/>
      <c r="C365" s="81"/>
      <c r="D365" s="53"/>
      <c r="E365" s="46"/>
      <c r="F365" s="47"/>
      <c r="G365" s="95"/>
      <c r="H365" s="202"/>
      <c r="I365" s="187"/>
      <c r="AQ365" s="4"/>
    </row>
    <row r="366" spans="1:43" ht="15">
      <c r="A366" s="56" t="s">
        <v>665</v>
      </c>
      <c r="B366" s="43"/>
      <c r="C366" s="106" t="s">
        <v>163</v>
      </c>
      <c r="D366" s="114" t="s">
        <v>666</v>
      </c>
      <c r="E366" s="46"/>
      <c r="F366" s="47"/>
      <c r="G366" s="95"/>
      <c r="H366" s="202"/>
      <c r="I366" s="187"/>
      <c r="AQ366" s="4"/>
    </row>
    <row r="367" spans="1:43" ht="15">
      <c r="A367" s="56" t="s">
        <v>667</v>
      </c>
      <c r="B367" s="43"/>
      <c r="C367" s="81" t="s">
        <v>628</v>
      </c>
      <c r="D367" s="53" t="s">
        <v>668</v>
      </c>
      <c r="E367" s="46"/>
      <c r="F367" s="47">
        <f>0.44*20*2</f>
        <v>17.6</v>
      </c>
      <c r="G367" s="95">
        <v>2</v>
      </c>
      <c r="H367" s="202"/>
      <c r="I367" s="187"/>
      <c r="AQ367" s="4"/>
    </row>
    <row r="368" spans="1:43" ht="15">
      <c r="A368" s="56" t="s">
        <v>669</v>
      </c>
      <c r="B368" s="43"/>
      <c r="C368" s="81" t="s">
        <v>670</v>
      </c>
      <c r="D368" s="50" t="s">
        <v>177</v>
      </c>
      <c r="E368" s="46"/>
      <c r="F368" s="47">
        <f>0.255*15*1</f>
        <v>3.825</v>
      </c>
      <c r="G368" s="95">
        <v>1</v>
      </c>
      <c r="H368" s="202"/>
      <c r="I368" s="187"/>
      <c r="AQ368" s="4"/>
    </row>
    <row r="369" spans="1:43" ht="15">
      <c r="A369" s="56" t="s">
        <v>671</v>
      </c>
      <c r="B369" s="43"/>
      <c r="C369" s="81" t="s">
        <v>628</v>
      </c>
      <c r="D369" s="50" t="s">
        <v>473</v>
      </c>
      <c r="E369" s="46"/>
      <c r="F369" s="47">
        <f>0.255*25*1</f>
        <v>6.375</v>
      </c>
      <c r="G369" s="95">
        <v>1</v>
      </c>
      <c r="H369" s="202"/>
      <c r="I369" s="187"/>
      <c r="AQ369" s="4"/>
    </row>
    <row r="370" spans="1:43" ht="15">
      <c r="A370" s="56" t="s">
        <v>463</v>
      </c>
      <c r="B370" s="43"/>
      <c r="C370" s="81"/>
      <c r="D370" s="50"/>
      <c r="E370" s="46"/>
      <c r="F370" s="47"/>
      <c r="G370" s="95"/>
      <c r="H370" s="202"/>
      <c r="I370" s="187"/>
      <c r="AQ370" s="4"/>
    </row>
    <row r="371" spans="1:43" ht="15">
      <c r="A371" s="56" t="s">
        <v>464</v>
      </c>
      <c r="B371" s="43"/>
      <c r="C371" s="81"/>
      <c r="D371" s="104" t="s">
        <v>672</v>
      </c>
      <c r="E371" s="46"/>
      <c r="F371" s="47"/>
      <c r="G371" s="95"/>
      <c r="H371" s="202"/>
      <c r="I371" s="187"/>
      <c r="AQ371" s="4"/>
    </row>
    <row r="372" spans="1:43" ht="15">
      <c r="A372" s="56" t="s">
        <v>673</v>
      </c>
      <c r="B372" s="43"/>
      <c r="C372" s="81"/>
      <c r="D372" s="107" t="s">
        <v>674</v>
      </c>
      <c r="E372" s="46" t="s">
        <v>55</v>
      </c>
      <c r="F372" s="95">
        <f>SUM(F374:F415)</f>
        <v>223.32500000000005</v>
      </c>
      <c r="G372" s="95"/>
      <c r="H372" s="202"/>
      <c r="I372" s="187"/>
      <c r="AQ372" s="4"/>
    </row>
    <row r="373" spans="1:43" ht="15">
      <c r="A373" s="56" t="s">
        <v>675</v>
      </c>
      <c r="B373" s="43"/>
      <c r="C373" s="106" t="s">
        <v>163</v>
      </c>
      <c r="D373" s="108" t="s">
        <v>676</v>
      </c>
      <c r="E373" s="46"/>
      <c r="F373" s="47"/>
      <c r="G373" s="95"/>
      <c r="H373" s="202"/>
      <c r="I373" s="187"/>
      <c r="AQ373" s="4"/>
    </row>
    <row r="374" spans="1:43" ht="15">
      <c r="A374" s="56" t="s">
        <v>470</v>
      </c>
      <c r="B374" s="43"/>
      <c r="C374" s="115" t="s">
        <v>182</v>
      </c>
      <c r="D374" s="50" t="s">
        <v>217</v>
      </c>
      <c r="E374" s="46"/>
      <c r="F374" s="47">
        <f>0.255*14*1</f>
        <v>3.5700000000000003</v>
      </c>
      <c r="G374" s="95">
        <v>1</v>
      </c>
      <c r="H374" s="202"/>
      <c r="I374" s="187"/>
      <c r="AQ374" s="4"/>
    </row>
    <row r="375" spans="1:43" ht="15">
      <c r="A375" s="56" t="s">
        <v>677</v>
      </c>
      <c r="B375" s="43"/>
      <c r="C375" s="115" t="s">
        <v>678</v>
      </c>
      <c r="D375" s="53" t="s">
        <v>298</v>
      </c>
      <c r="E375" s="46"/>
      <c r="F375" s="47">
        <f>0.44*10*1</f>
        <v>4.4</v>
      </c>
      <c r="G375" s="95">
        <v>1</v>
      </c>
      <c r="H375" s="202"/>
      <c r="I375" s="187"/>
      <c r="AQ375" s="4"/>
    </row>
    <row r="376" spans="1:43" ht="15">
      <c r="A376" s="56" t="s">
        <v>679</v>
      </c>
      <c r="B376" s="43"/>
      <c r="C376" s="115" t="s">
        <v>174</v>
      </c>
      <c r="D376" s="53" t="s">
        <v>680</v>
      </c>
      <c r="E376" s="46"/>
      <c r="F376" s="47">
        <f>0.44*9*1</f>
        <v>3.96</v>
      </c>
      <c r="G376" s="95">
        <v>1</v>
      </c>
      <c r="H376" s="202"/>
      <c r="I376" s="187"/>
      <c r="AQ376" s="4"/>
    </row>
    <row r="377" spans="1:43" ht="15">
      <c r="A377" s="56" t="s">
        <v>681</v>
      </c>
      <c r="B377" s="43"/>
      <c r="C377" s="81"/>
      <c r="D377" s="50"/>
      <c r="E377" s="46"/>
      <c r="F377" s="47"/>
      <c r="G377" s="95"/>
      <c r="H377" s="202"/>
      <c r="I377" s="187"/>
      <c r="AQ377" s="4"/>
    </row>
    <row r="378" spans="1:43" ht="15">
      <c r="A378" s="56" t="s">
        <v>553</v>
      </c>
      <c r="B378" s="43"/>
      <c r="C378" s="106" t="s">
        <v>163</v>
      </c>
      <c r="D378" s="108" t="s">
        <v>682</v>
      </c>
      <c r="E378" s="46"/>
      <c r="F378" s="47"/>
      <c r="G378" s="95"/>
      <c r="H378" s="202"/>
      <c r="I378" s="187"/>
      <c r="AQ378" s="4"/>
    </row>
    <row r="379" spans="1:43" ht="15">
      <c r="A379" s="56" t="s">
        <v>556</v>
      </c>
      <c r="B379" s="43"/>
      <c r="C379" s="115" t="s">
        <v>683</v>
      </c>
      <c r="D379" s="50" t="s">
        <v>408</v>
      </c>
      <c r="E379" s="46"/>
      <c r="F379" s="47">
        <f>0.255*18*2</f>
        <v>9.18</v>
      </c>
      <c r="G379" s="95">
        <v>2</v>
      </c>
      <c r="H379" s="202"/>
      <c r="I379" s="187"/>
      <c r="AQ379" s="4"/>
    </row>
    <row r="380" spans="1:43" ht="15">
      <c r="A380" s="56" t="s">
        <v>558</v>
      </c>
      <c r="B380" s="43"/>
      <c r="C380" s="115" t="s">
        <v>684</v>
      </c>
      <c r="D380" s="50" t="s">
        <v>685</v>
      </c>
      <c r="E380" s="46"/>
      <c r="F380" s="47">
        <f>0.255*19*2</f>
        <v>9.69</v>
      </c>
      <c r="G380" s="95">
        <v>2</v>
      </c>
      <c r="H380" s="202"/>
      <c r="I380" s="187"/>
      <c r="AQ380" s="4"/>
    </row>
    <row r="381" spans="1:43" ht="15">
      <c r="A381" s="56" t="s">
        <v>562</v>
      </c>
      <c r="B381" s="43"/>
      <c r="C381" s="115" t="s">
        <v>686</v>
      </c>
      <c r="D381" s="50" t="s">
        <v>217</v>
      </c>
      <c r="E381" s="46"/>
      <c r="F381" s="47">
        <f>0.255*14*1</f>
        <v>3.5700000000000003</v>
      </c>
      <c r="G381" s="95">
        <v>1</v>
      </c>
      <c r="H381" s="202"/>
      <c r="I381" s="187"/>
      <c r="AQ381" s="4"/>
    </row>
    <row r="382" spans="1:43" ht="15">
      <c r="A382" s="56" t="s">
        <v>565</v>
      </c>
      <c r="B382" s="43"/>
      <c r="C382" s="115" t="s">
        <v>687</v>
      </c>
      <c r="D382" s="50" t="s">
        <v>201</v>
      </c>
      <c r="E382" s="46"/>
      <c r="F382" s="47">
        <f>0.255*17*1</f>
        <v>4.335</v>
      </c>
      <c r="G382" s="95">
        <v>1</v>
      </c>
      <c r="H382" s="202"/>
      <c r="I382" s="187"/>
      <c r="AQ382" s="4"/>
    </row>
    <row r="383" spans="1:43" ht="15">
      <c r="A383" s="56" t="s">
        <v>568</v>
      </c>
      <c r="B383" s="43"/>
      <c r="C383" s="115" t="s">
        <v>603</v>
      </c>
      <c r="D383" s="50" t="s">
        <v>177</v>
      </c>
      <c r="E383" s="46"/>
      <c r="F383" s="47">
        <f>0.255*15*1</f>
        <v>3.825</v>
      </c>
      <c r="G383" s="95">
        <v>1</v>
      </c>
      <c r="H383" s="202"/>
      <c r="I383" s="187"/>
      <c r="AQ383" s="4"/>
    </row>
    <row r="384" spans="1:43" ht="15">
      <c r="A384" s="56" t="s">
        <v>570</v>
      </c>
      <c r="B384" s="43"/>
      <c r="C384" s="115" t="s">
        <v>688</v>
      </c>
      <c r="D384" s="50" t="s">
        <v>408</v>
      </c>
      <c r="E384" s="46"/>
      <c r="F384" s="47">
        <f>0.255*18*2</f>
        <v>9.18</v>
      </c>
      <c r="G384" s="95">
        <v>2</v>
      </c>
      <c r="H384" s="202"/>
      <c r="I384" s="187"/>
      <c r="AQ384" s="4"/>
    </row>
    <row r="385" spans="1:43" ht="15">
      <c r="A385" s="56" t="s">
        <v>670</v>
      </c>
      <c r="B385" s="43"/>
      <c r="C385" s="81"/>
      <c r="D385" s="50"/>
      <c r="E385" s="46"/>
      <c r="F385" s="47"/>
      <c r="G385" s="95"/>
      <c r="H385" s="202"/>
      <c r="I385" s="187"/>
      <c r="AQ385" s="4"/>
    </row>
    <row r="386" spans="1:43" ht="15">
      <c r="A386" s="56" t="s">
        <v>689</v>
      </c>
      <c r="B386" s="43"/>
      <c r="C386" s="106" t="s">
        <v>163</v>
      </c>
      <c r="D386" s="108" t="s">
        <v>690</v>
      </c>
      <c r="E386" s="46"/>
      <c r="F386" s="47"/>
      <c r="G386" s="95"/>
      <c r="H386" s="202"/>
      <c r="I386" s="187"/>
      <c r="AQ386" s="4"/>
    </row>
    <row r="387" spans="1:43" ht="15">
      <c r="A387" s="56" t="s">
        <v>691</v>
      </c>
      <c r="B387" s="43"/>
      <c r="C387" s="115" t="s">
        <v>692</v>
      </c>
      <c r="D387" s="50" t="s">
        <v>220</v>
      </c>
      <c r="E387" s="46"/>
      <c r="F387" s="47">
        <f>0.255*20*1</f>
        <v>5.1</v>
      </c>
      <c r="G387" s="95">
        <v>1</v>
      </c>
      <c r="H387" s="202"/>
      <c r="I387" s="187"/>
      <c r="AQ387" s="4"/>
    </row>
    <row r="388" spans="1:43" ht="15">
      <c r="A388" s="56" t="s">
        <v>693</v>
      </c>
      <c r="B388" s="43"/>
      <c r="C388" s="115" t="s">
        <v>694</v>
      </c>
      <c r="D388" s="50" t="s">
        <v>177</v>
      </c>
      <c r="E388" s="46"/>
      <c r="F388" s="47">
        <f>0.255*15*1</f>
        <v>3.825</v>
      </c>
      <c r="G388" s="95">
        <v>1</v>
      </c>
      <c r="H388" s="202"/>
      <c r="I388" s="187"/>
      <c r="AQ388" s="4"/>
    </row>
    <row r="389" spans="1:43" ht="15">
      <c r="A389" s="56" t="s">
        <v>695</v>
      </c>
      <c r="B389" s="43"/>
      <c r="C389" s="115" t="s">
        <v>696</v>
      </c>
      <c r="D389" s="50" t="s">
        <v>697</v>
      </c>
      <c r="E389" s="46"/>
      <c r="F389" s="47">
        <f>0.255*25*5</f>
        <v>31.875</v>
      </c>
      <c r="G389" s="95">
        <v>5</v>
      </c>
      <c r="H389" s="202"/>
      <c r="I389" s="187"/>
      <c r="AQ389" s="4"/>
    </row>
    <row r="390" spans="1:43" ht="15">
      <c r="A390" s="56" t="s">
        <v>698</v>
      </c>
      <c r="B390" s="43"/>
      <c r="C390" s="115" t="s">
        <v>699</v>
      </c>
      <c r="D390" s="50" t="s">
        <v>177</v>
      </c>
      <c r="E390" s="46"/>
      <c r="F390" s="47">
        <f>0.255*15*1</f>
        <v>3.825</v>
      </c>
      <c r="G390" s="95">
        <v>1</v>
      </c>
      <c r="H390" s="202"/>
      <c r="I390" s="187"/>
      <c r="AQ390" s="4"/>
    </row>
    <row r="391" spans="1:43" ht="15">
      <c r="A391" s="56" t="s">
        <v>700</v>
      </c>
      <c r="B391" s="43"/>
      <c r="C391" s="115" t="s">
        <v>699</v>
      </c>
      <c r="D391" s="50" t="s">
        <v>180</v>
      </c>
      <c r="E391" s="46"/>
      <c r="F391" s="47">
        <f>0.255*16*1</f>
        <v>4.08</v>
      </c>
      <c r="G391" s="95">
        <v>1</v>
      </c>
      <c r="H391" s="202"/>
      <c r="I391" s="187"/>
      <c r="AQ391" s="4"/>
    </row>
    <row r="392" spans="1:43" ht="15">
      <c r="A392" s="56" t="s">
        <v>701</v>
      </c>
      <c r="B392" s="43"/>
      <c r="C392" s="81"/>
      <c r="D392" s="50"/>
      <c r="E392" s="46"/>
      <c r="F392" s="47"/>
      <c r="G392" s="95"/>
      <c r="H392" s="202"/>
      <c r="I392" s="187"/>
      <c r="AQ392" s="4"/>
    </row>
    <row r="393" spans="1:43" ht="15">
      <c r="A393" s="56" t="s">
        <v>702</v>
      </c>
      <c r="B393" s="43"/>
      <c r="C393" s="106" t="s">
        <v>163</v>
      </c>
      <c r="D393" s="108" t="s">
        <v>703</v>
      </c>
      <c r="E393" s="46"/>
      <c r="F393" s="47"/>
      <c r="G393" s="95"/>
      <c r="H393" s="202"/>
      <c r="I393" s="187"/>
      <c r="AQ393" s="4"/>
    </row>
    <row r="394" spans="1:43" ht="15">
      <c r="A394" s="56" t="s">
        <v>704</v>
      </c>
      <c r="B394" s="43"/>
      <c r="C394" s="115" t="s">
        <v>705</v>
      </c>
      <c r="D394" s="50" t="s">
        <v>220</v>
      </c>
      <c r="E394" s="46"/>
      <c r="F394" s="47">
        <f>0.255*20*1</f>
        <v>5.1</v>
      </c>
      <c r="G394" s="95">
        <v>1</v>
      </c>
      <c r="H394" s="202"/>
      <c r="I394" s="187"/>
      <c r="AQ394" s="4"/>
    </row>
    <row r="395" spans="1:43" ht="15">
      <c r="A395" s="56" t="s">
        <v>706</v>
      </c>
      <c r="B395" s="43"/>
      <c r="C395" s="115" t="s">
        <v>287</v>
      </c>
      <c r="D395" s="50" t="s">
        <v>177</v>
      </c>
      <c r="E395" s="46"/>
      <c r="F395" s="47">
        <f>0.255*15*1</f>
        <v>3.825</v>
      </c>
      <c r="G395" s="95">
        <v>1</v>
      </c>
      <c r="H395" s="202"/>
      <c r="I395" s="187"/>
      <c r="AQ395" s="4"/>
    </row>
    <row r="396" spans="1:43" ht="15">
      <c r="A396" s="56" t="s">
        <v>707</v>
      </c>
      <c r="B396" s="43"/>
      <c r="C396" s="115" t="s">
        <v>289</v>
      </c>
      <c r="D396" s="50" t="s">
        <v>697</v>
      </c>
      <c r="E396" s="46"/>
      <c r="F396" s="47">
        <f>0.255*25*5</f>
        <v>31.875</v>
      </c>
      <c r="G396" s="95">
        <v>5</v>
      </c>
      <c r="H396" s="202"/>
      <c r="I396" s="187"/>
      <c r="AQ396" s="4"/>
    </row>
    <row r="397" spans="1:43" ht="15">
      <c r="A397" s="56" t="s">
        <v>708</v>
      </c>
      <c r="B397" s="43"/>
      <c r="C397" s="115" t="s">
        <v>709</v>
      </c>
      <c r="D397" s="50" t="s">
        <v>710</v>
      </c>
      <c r="E397" s="46"/>
      <c r="F397" s="47">
        <f>0.255*18*1</f>
        <v>4.59</v>
      </c>
      <c r="G397" s="95">
        <v>1</v>
      </c>
      <c r="H397" s="202"/>
      <c r="I397" s="187"/>
      <c r="AQ397" s="4"/>
    </row>
    <row r="398" spans="1:43" ht="15">
      <c r="A398" s="56" t="s">
        <v>625</v>
      </c>
      <c r="B398" s="43"/>
      <c r="C398" s="115" t="s">
        <v>287</v>
      </c>
      <c r="D398" s="50" t="s">
        <v>711</v>
      </c>
      <c r="E398" s="46"/>
      <c r="F398" s="47">
        <f>0.255*16*1</f>
        <v>4.08</v>
      </c>
      <c r="G398" s="95">
        <v>1</v>
      </c>
      <c r="H398" s="202"/>
      <c r="I398" s="187"/>
      <c r="AQ398" s="4"/>
    </row>
    <row r="399" spans="1:43" ht="15">
      <c r="A399" s="56" t="s">
        <v>712</v>
      </c>
      <c r="B399" s="43"/>
      <c r="C399" s="81"/>
      <c r="D399" s="50"/>
      <c r="E399" s="46"/>
      <c r="F399" s="47"/>
      <c r="G399" s="95"/>
      <c r="H399" s="202"/>
      <c r="I399" s="187"/>
      <c r="AQ399" s="4"/>
    </row>
    <row r="400" spans="1:43" ht="15">
      <c r="A400" s="56" t="s">
        <v>713</v>
      </c>
      <c r="B400" s="43"/>
      <c r="C400" s="106" t="s">
        <v>163</v>
      </c>
      <c r="D400" s="108" t="s">
        <v>714</v>
      </c>
      <c r="E400" s="46"/>
      <c r="F400" s="47"/>
      <c r="G400" s="95"/>
      <c r="H400" s="202"/>
      <c r="I400" s="187"/>
      <c r="AQ400" s="4"/>
    </row>
    <row r="401" spans="1:43" ht="15">
      <c r="A401" s="56" t="s">
        <v>715</v>
      </c>
      <c r="B401" s="43"/>
      <c r="C401" s="115" t="s">
        <v>484</v>
      </c>
      <c r="D401" s="50" t="s">
        <v>711</v>
      </c>
      <c r="E401" s="46"/>
      <c r="F401" s="47">
        <f>0.255*16*1</f>
        <v>4.08</v>
      </c>
      <c r="G401" s="95">
        <v>1</v>
      </c>
      <c r="H401" s="202"/>
      <c r="I401" s="187"/>
      <c r="AQ401" s="4"/>
    </row>
    <row r="402" spans="1:43" ht="15">
      <c r="A402" s="56" t="s">
        <v>716</v>
      </c>
      <c r="B402" s="43"/>
      <c r="C402" s="115" t="s">
        <v>451</v>
      </c>
      <c r="D402" s="50" t="s">
        <v>711</v>
      </c>
      <c r="E402" s="46"/>
      <c r="F402" s="47">
        <f>0.255*16*1</f>
        <v>4.08</v>
      </c>
      <c r="G402" s="95">
        <v>1</v>
      </c>
      <c r="H402" s="202"/>
      <c r="I402" s="187"/>
      <c r="AQ402" s="4"/>
    </row>
    <row r="403" spans="1:43" ht="15">
      <c r="A403" s="56" t="s">
        <v>717</v>
      </c>
      <c r="B403" s="43"/>
      <c r="C403" s="115" t="s">
        <v>478</v>
      </c>
      <c r="D403" s="50" t="s">
        <v>711</v>
      </c>
      <c r="E403" s="46"/>
      <c r="F403" s="47">
        <f>0.255*16*1</f>
        <v>4.08</v>
      </c>
      <c r="G403" s="95">
        <v>1</v>
      </c>
      <c r="H403" s="202"/>
      <c r="I403" s="187"/>
      <c r="AQ403" s="4"/>
    </row>
    <row r="404" spans="1:43" ht="15">
      <c r="A404" s="56" t="s">
        <v>718</v>
      </c>
      <c r="B404" s="43"/>
      <c r="C404" s="115" t="s">
        <v>476</v>
      </c>
      <c r="D404" s="50" t="s">
        <v>719</v>
      </c>
      <c r="E404" s="46"/>
      <c r="F404" s="47">
        <f>0.255*15*1</f>
        <v>3.825</v>
      </c>
      <c r="G404" s="95">
        <v>1</v>
      </c>
      <c r="H404" s="202"/>
      <c r="I404" s="187"/>
      <c r="AQ404" s="4"/>
    </row>
    <row r="405" spans="1:43" ht="15">
      <c r="A405" s="56" t="s">
        <v>720</v>
      </c>
      <c r="B405" s="43"/>
      <c r="C405" s="81"/>
      <c r="D405" s="50"/>
      <c r="E405" s="46"/>
      <c r="F405" s="47"/>
      <c r="G405" s="95"/>
      <c r="H405" s="202"/>
      <c r="I405" s="187"/>
      <c r="AQ405" s="4"/>
    </row>
    <row r="406" spans="1:43" ht="15">
      <c r="A406" s="56" t="s">
        <v>375</v>
      </c>
      <c r="B406" s="43"/>
      <c r="C406" s="106" t="s">
        <v>163</v>
      </c>
      <c r="D406" s="108" t="s">
        <v>721</v>
      </c>
      <c r="E406" s="46"/>
      <c r="F406" s="47"/>
      <c r="G406" s="95"/>
      <c r="H406" s="202"/>
      <c r="I406" s="187"/>
      <c r="AQ406" s="4"/>
    </row>
    <row r="407" spans="1:43" ht="15">
      <c r="A407" s="56" t="s">
        <v>722</v>
      </c>
      <c r="B407" s="43"/>
      <c r="C407" s="115" t="s">
        <v>723</v>
      </c>
      <c r="D407" s="50" t="s">
        <v>473</v>
      </c>
      <c r="E407" s="46"/>
      <c r="F407" s="47">
        <f>0.255*25*1</f>
        <v>6.375</v>
      </c>
      <c r="G407" s="95">
        <v>1</v>
      </c>
      <c r="H407" s="202"/>
      <c r="I407" s="187"/>
      <c r="AQ407" s="4"/>
    </row>
    <row r="408" spans="1:43" ht="15">
      <c r="A408" s="56" t="s">
        <v>724</v>
      </c>
      <c r="B408" s="43"/>
      <c r="C408" s="115" t="s">
        <v>470</v>
      </c>
      <c r="D408" s="50" t="s">
        <v>473</v>
      </c>
      <c r="E408" s="46"/>
      <c r="F408" s="47">
        <f>0.255*25*1</f>
        <v>6.375</v>
      </c>
      <c r="G408" s="95">
        <v>1</v>
      </c>
      <c r="H408" s="202"/>
      <c r="I408" s="187"/>
      <c r="AQ408" s="4"/>
    </row>
    <row r="409" spans="1:43" ht="15">
      <c r="A409" s="56" t="s">
        <v>725</v>
      </c>
      <c r="B409" s="43"/>
      <c r="C409" s="115" t="s">
        <v>658</v>
      </c>
      <c r="D409" s="50" t="s">
        <v>473</v>
      </c>
      <c r="E409" s="46"/>
      <c r="F409" s="47">
        <f aca="true" t="shared" si="9" ref="F409:F415">0.255*25*1</f>
        <v>6.375</v>
      </c>
      <c r="G409" s="95">
        <v>1</v>
      </c>
      <c r="H409" s="202"/>
      <c r="I409" s="187"/>
      <c r="AQ409" s="4"/>
    </row>
    <row r="410" spans="1:43" ht="15">
      <c r="A410" s="56" t="s">
        <v>726</v>
      </c>
      <c r="B410" s="43"/>
      <c r="C410" s="115" t="s">
        <v>657</v>
      </c>
      <c r="D410" s="50" t="s">
        <v>473</v>
      </c>
      <c r="E410" s="46"/>
      <c r="F410" s="47">
        <f t="shared" si="9"/>
        <v>6.375</v>
      </c>
      <c r="G410" s="95">
        <v>1</v>
      </c>
      <c r="H410" s="202"/>
      <c r="I410" s="187"/>
      <c r="AQ410" s="4"/>
    </row>
    <row r="411" spans="1:43" ht="15">
      <c r="A411" s="56" t="s">
        <v>727</v>
      </c>
      <c r="B411" s="43"/>
      <c r="C411" s="115" t="s">
        <v>656</v>
      </c>
      <c r="D411" s="50" t="s">
        <v>473</v>
      </c>
      <c r="E411" s="46"/>
      <c r="F411" s="47">
        <f t="shared" si="9"/>
        <v>6.375</v>
      </c>
      <c r="G411" s="95">
        <v>1</v>
      </c>
      <c r="H411" s="202"/>
      <c r="I411" s="187"/>
      <c r="AQ411" s="4"/>
    </row>
    <row r="412" spans="1:43" ht="15">
      <c r="A412" s="56" t="s">
        <v>728</v>
      </c>
      <c r="B412" s="43"/>
      <c r="C412" s="115" t="s">
        <v>655</v>
      </c>
      <c r="D412" s="50" t="s">
        <v>473</v>
      </c>
      <c r="E412" s="46"/>
      <c r="F412" s="47">
        <f t="shared" si="9"/>
        <v>6.375</v>
      </c>
      <c r="G412" s="95">
        <v>1</v>
      </c>
      <c r="H412" s="202"/>
      <c r="I412" s="187"/>
      <c r="AQ412" s="4"/>
    </row>
    <row r="413" spans="1:43" ht="15">
      <c r="A413" s="56" t="s">
        <v>729</v>
      </c>
      <c r="B413" s="43"/>
      <c r="C413" s="115" t="s">
        <v>653</v>
      </c>
      <c r="D413" s="50" t="s">
        <v>473</v>
      </c>
      <c r="E413" s="46"/>
      <c r="F413" s="47">
        <f t="shared" si="9"/>
        <v>6.375</v>
      </c>
      <c r="G413" s="95">
        <v>1</v>
      </c>
      <c r="H413" s="202"/>
      <c r="I413" s="187"/>
      <c r="AQ413" s="4"/>
    </row>
    <row r="414" spans="1:43" ht="15">
      <c r="A414" s="56" t="s">
        <v>730</v>
      </c>
      <c r="B414" s="43"/>
      <c r="C414" s="115" t="s">
        <v>652</v>
      </c>
      <c r="D414" s="50" t="s">
        <v>473</v>
      </c>
      <c r="E414" s="46"/>
      <c r="F414" s="47">
        <f t="shared" si="9"/>
        <v>6.375</v>
      </c>
      <c r="G414" s="95">
        <v>1</v>
      </c>
      <c r="H414" s="202"/>
      <c r="I414" s="187"/>
      <c r="AQ414" s="4"/>
    </row>
    <row r="415" spans="1:43" ht="15">
      <c r="A415" s="56" t="s">
        <v>731</v>
      </c>
      <c r="B415" s="43"/>
      <c r="C415" s="115" t="s">
        <v>732</v>
      </c>
      <c r="D415" s="50" t="s">
        <v>473</v>
      </c>
      <c r="E415" s="46"/>
      <c r="F415" s="47">
        <f t="shared" si="9"/>
        <v>6.375</v>
      </c>
      <c r="G415" s="95">
        <v>1</v>
      </c>
      <c r="H415" s="202"/>
      <c r="I415" s="187"/>
      <c r="AQ415" s="4"/>
    </row>
    <row r="416" spans="1:43" ht="15">
      <c r="A416" s="56" t="s">
        <v>733</v>
      </c>
      <c r="B416" s="43"/>
      <c r="C416" s="81"/>
      <c r="D416" s="50"/>
      <c r="E416" s="46"/>
      <c r="F416" s="47"/>
      <c r="G416" s="95"/>
      <c r="H416" s="202"/>
      <c r="I416" s="187"/>
      <c r="AQ416" s="4"/>
    </row>
    <row r="417" spans="1:43" ht="15">
      <c r="A417" s="56" t="s">
        <v>734</v>
      </c>
      <c r="B417" s="43"/>
      <c r="C417" s="81"/>
      <c r="D417" s="104" t="s">
        <v>735</v>
      </c>
      <c r="E417" s="46"/>
      <c r="F417" s="47"/>
      <c r="G417" s="95"/>
      <c r="H417" s="202"/>
      <c r="I417" s="187"/>
      <c r="AQ417" s="4"/>
    </row>
    <row r="418" spans="1:43" ht="15">
      <c r="A418" s="56" t="s">
        <v>736</v>
      </c>
      <c r="B418" s="43"/>
      <c r="C418" s="81"/>
      <c r="D418" s="107" t="s">
        <v>737</v>
      </c>
      <c r="E418" s="46" t="s">
        <v>55</v>
      </c>
      <c r="F418" s="95">
        <f>SUM(F420:F479)</f>
        <v>174.63499999999996</v>
      </c>
      <c r="G418" s="95"/>
      <c r="H418" s="202"/>
      <c r="I418" s="187"/>
      <c r="AQ418" s="4"/>
    </row>
    <row r="419" spans="1:43" ht="15">
      <c r="A419" s="56" t="s">
        <v>738</v>
      </c>
      <c r="B419" s="43"/>
      <c r="C419" s="110" t="s">
        <v>163</v>
      </c>
      <c r="D419" s="108" t="s">
        <v>739</v>
      </c>
      <c r="E419" s="46"/>
      <c r="F419" s="47"/>
      <c r="G419" s="95"/>
      <c r="H419" s="202"/>
      <c r="I419" s="187"/>
      <c r="AQ419" s="4"/>
    </row>
    <row r="420" spans="1:43" ht="15">
      <c r="A420" s="56" t="s">
        <v>740</v>
      </c>
      <c r="B420" s="43"/>
      <c r="C420" s="115" t="s">
        <v>646</v>
      </c>
      <c r="D420" s="50" t="s">
        <v>217</v>
      </c>
      <c r="E420" s="46"/>
      <c r="F420" s="47">
        <f>0.255*14*1</f>
        <v>3.5700000000000003</v>
      </c>
      <c r="G420" s="95">
        <v>1</v>
      </c>
      <c r="H420" s="202"/>
      <c r="I420" s="187"/>
      <c r="AQ420" s="4"/>
    </row>
    <row r="421" spans="1:43" ht="15">
      <c r="A421" s="56" t="s">
        <v>741</v>
      </c>
      <c r="B421" s="43"/>
      <c r="C421" s="115" t="s">
        <v>500</v>
      </c>
      <c r="D421" s="53" t="s">
        <v>742</v>
      </c>
      <c r="E421" s="46"/>
      <c r="F421" s="47">
        <f>0.44*10*1</f>
        <v>4.4</v>
      </c>
      <c r="G421" s="95">
        <v>1</v>
      </c>
      <c r="H421" s="202"/>
      <c r="I421" s="187"/>
      <c r="AQ421" s="4"/>
    </row>
    <row r="422" spans="1:43" ht="15">
      <c r="A422" s="56" t="s">
        <v>743</v>
      </c>
      <c r="B422" s="43"/>
      <c r="C422" s="115" t="s">
        <v>744</v>
      </c>
      <c r="D422" s="50" t="s">
        <v>644</v>
      </c>
      <c r="E422" s="46"/>
      <c r="F422" s="47">
        <f aca="true" t="shared" si="10" ref="F422">0.255*10*1</f>
        <v>2.55</v>
      </c>
      <c r="G422" s="95">
        <v>1</v>
      </c>
      <c r="H422" s="202"/>
      <c r="I422" s="187"/>
      <c r="AQ422" s="4"/>
    </row>
    <row r="423" spans="1:43" ht="15">
      <c r="A423" s="56" t="s">
        <v>745</v>
      </c>
      <c r="B423" s="43"/>
      <c r="C423" s="115" t="s">
        <v>646</v>
      </c>
      <c r="D423" s="50" t="s">
        <v>177</v>
      </c>
      <c r="E423" s="46"/>
      <c r="F423" s="47">
        <f>0.255*15*1</f>
        <v>3.825</v>
      </c>
      <c r="G423" s="95">
        <v>1</v>
      </c>
      <c r="H423" s="202"/>
      <c r="I423" s="187"/>
      <c r="AQ423" s="4"/>
    </row>
    <row r="424" spans="1:43" ht="15">
      <c r="A424" s="56" t="s">
        <v>746</v>
      </c>
      <c r="B424" s="43"/>
      <c r="C424" s="81"/>
      <c r="D424" s="50"/>
      <c r="E424" s="46"/>
      <c r="F424" s="47"/>
      <c r="G424" s="95"/>
      <c r="H424" s="202"/>
      <c r="I424" s="187"/>
      <c r="AQ424" s="4"/>
    </row>
    <row r="425" spans="1:43" ht="15">
      <c r="A425" s="56" t="s">
        <v>747</v>
      </c>
      <c r="B425" s="43"/>
      <c r="C425" s="110" t="s">
        <v>163</v>
      </c>
      <c r="D425" s="108" t="s">
        <v>748</v>
      </c>
      <c r="E425" s="46"/>
      <c r="F425" s="47"/>
      <c r="G425" s="95"/>
      <c r="H425" s="202"/>
      <c r="I425" s="187"/>
      <c r="AQ425" s="4"/>
    </row>
    <row r="426" spans="1:43" ht="15">
      <c r="A426" s="56" t="s">
        <v>749</v>
      </c>
      <c r="B426" s="43"/>
      <c r="C426" s="115" t="s">
        <v>314</v>
      </c>
      <c r="D426" s="50" t="s">
        <v>177</v>
      </c>
      <c r="E426" s="46"/>
      <c r="F426" s="47">
        <f aca="true" t="shared" si="11" ref="F426">0.255*15*1</f>
        <v>3.825</v>
      </c>
      <c r="G426" s="95">
        <v>1</v>
      </c>
      <c r="H426" s="202"/>
      <c r="I426" s="187"/>
      <c r="AQ426" s="4"/>
    </row>
    <row r="427" spans="1:43" ht="15">
      <c r="A427" s="56" t="s">
        <v>750</v>
      </c>
      <c r="B427" s="43"/>
      <c r="C427" s="115" t="s">
        <v>312</v>
      </c>
      <c r="D427" s="50" t="s">
        <v>220</v>
      </c>
      <c r="E427" s="46"/>
      <c r="F427" s="47">
        <f>0.255*20*1</f>
        <v>5.1</v>
      </c>
      <c r="G427" s="95">
        <v>1</v>
      </c>
      <c r="H427" s="202"/>
      <c r="I427" s="187"/>
      <c r="AQ427" s="4"/>
    </row>
    <row r="428" spans="1:43" ht="15">
      <c r="A428" s="56" t="s">
        <v>751</v>
      </c>
      <c r="B428" s="43"/>
      <c r="C428" s="115" t="s">
        <v>307</v>
      </c>
      <c r="D428" s="50" t="s">
        <v>644</v>
      </c>
      <c r="E428" s="46"/>
      <c r="F428" s="47">
        <f>0.255*10*1</f>
        <v>2.55</v>
      </c>
      <c r="G428" s="95">
        <v>1</v>
      </c>
      <c r="H428" s="202"/>
      <c r="I428" s="187"/>
      <c r="AQ428" s="4"/>
    </row>
    <row r="429" spans="1:43" ht="15">
      <c r="A429" s="56" t="s">
        <v>752</v>
      </c>
      <c r="B429" s="43"/>
      <c r="C429" s="115" t="s">
        <v>310</v>
      </c>
      <c r="D429" s="53" t="s">
        <v>753</v>
      </c>
      <c r="E429" s="46"/>
      <c r="F429" s="47">
        <f>0.44*6*1</f>
        <v>2.64</v>
      </c>
      <c r="G429" s="95">
        <v>1</v>
      </c>
      <c r="H429" s="202"/>
      <c r="I429" s="187"/>
      <c r="AQ429" s="4"/>
    </row>
    <row r="430" spans="1:43" ht="15">
      <c r="A430" s="56" t="s">
        <v>754</v>
      </c>
      <c r="B430" s="43"/>
      <c r="C430" s="115" t="s">
        <v>310</v>
      </c>
      <c r="D430" s="50" t="s">
        <v>755</v>
      </c>
      <c r="E430" s="46"/>
      <c r="F430" s="47">
        <f>0.255*8*1</f>
        <v>2.04</v>
      </c>
      <c r="G430" s="95">
        <v>1</v>
      </c>
      <c r="H430" s="202"/>
      <c r="I430" s="187"/>
      <c r="AQ430" s="4"/>
    </row>
    <row r="431" spans="1:43" ht="15">
      <c r="A431" s="56" t="s">
        <v>756</v>
      </c>
      <c r="B431" s="43"/>
      <c r="C431" s="115" t="s">
        <v>303</v>
      </c>
      <c r="D431" s="50" t="s">
        <v>217</v>
      </c>
      <c r="E431" s="46"/>
      <c r="F431" s="47">
        <f>0.255*14*1</f>
        <v>3.5700000000000003</v>
      </c>
      <c r="G431" s="95">
        <v>1</v>
      </c>
      <c r="H431" s="202"/>
      <c r="I431" s="187"/>
      <c r="AQ431" s="4"/>
    </row>
    <row r="432" spans="1:43" ht="15">
      <c r="A432" s="56" t="s">
        <v>757</v>
      </c>
      <c r="B432" s="43"/>
      <c r="C432" s="115" t="s">
        <v>302</v>
      </c>
      <c r="D432" s="50" t="s">
        <v>217</v>
      </c>
      <c r="E432" s="46"/>
      <c r="F432" s="47">
        <f>0.255*14*1</f>
        <v>3.5700000000000003</v>
      </c>
      <c r="G432" s="95">
        <v>1</v>
      </c>
      <c r="H432" s="202"/>
      <c r="I432" s="187"/>
      <c r="AQ432" s="4"/>
    </row>
    <row r="433" spans="1:43" ht="15">
      <c r="A433" s="56" t="s">
        <v>758</v>
      </c>
      <c r="B433" s="43"/>
      <c r="C433" s="115" t="s">
        <v>301</v>
      </c>
      <c r="D433" s="50" t="s">
        <v>759</v>
      </c>
      <c r="E433" s="46"/>
      <c r="F433" s="47">
        <f>0.255*21*1</f>
        <v>5.355</v>
      </c>
      <c r="G433" s="95">
        <v>1</v>
      </c>
      <c r="H433" s="202"/>
      <c r="I433" s="187"/>
      <c r="AQ433" s="4"/>
    </row>
    <row r="434" spans="1:43" ht="15">
      <c r="A434" s="56" t="s">
        <v>760</v>
      </c>
      <c r="B434" s="43"/>
      <c r="C434" s="115" t="s">
        <v>296</v>
      </c>
      <c r="D434" s="50" t="s">
        <v>177</v>
      </c>
      <c r="E434" s="46"/>
      <c r="F434" s="47">
        <f aca="true" t="shared" si="12" ref="F434:F435">0.255*15*1</f>
        <v>3.825</v>
      </c>
      <c r="G434" s="95">
        <v>1</v>
      </c>
      <c r="H434" s="202"/>
      <c r="I434" s="187"/>
      <c r="AQ434" s="4"/>
    </row>
    <row r="435" spans="1:43" ht="15">
      <c r="A435" s="56" t="s">
        <v>761</v>
      </c>
      <c r="B435" s="43"/>
      <c r="C435" s="115" t="s">
        <v>301</v>
      </c>
      <c r="D435" s="50" t="s">
        <v>177</v>
      </c>
      <c r="E435" s="46"/>
      <c r="F435" s="47">
        <f t="shared" si="12"/>
        <v>3.825</v>
      </c>
      <c r="G435" s="95">
        <v>1</v>
      </c>
      <c r="H435" s="202"/>
      <c r="I435" s="187"/>
      <c r="AQ435" s="4"/>
    </row>
    <row r="436" spans="1:43" ht="15">
      <c r="A436" s="56" t="s">
        <v>762</v>
      </c>
      <c r="B436" s="43"/>
      <c r="C436" s="115" t="s">
        <v>293</v>
      </c>
      <c r="D436" s="53" t="s">
        <v>763</v>
      </c>
      <c r="E436" s="46"/>
      <c r="F436" s="47">
        <f>0.44*5*1</f>
        <v>2.2</v>
      </c>
      <c r="G436" s="95">
        <v>1</v>
      </c>
      <c r="H436" s="202"/>
      <c r="I436" s="187"/>
      <c r="AQ436" s="4"/>
    </row>
    <row r="437" spans="1:43" ht="15">
      <c r="A437" s="56" t="s">
        <v>764</v>
      </c>
      <c r="B437" s="43"/>
      <c r="C437" s="115" t="s">
        <v>292</v>
      </c>
      <c r="D437" s="50" t="s">
        <v>765</v>
      </c>
      <c r="E437" s="46"/>
      <c r="F437" s="47">
        <f>0.205*9*1</f>
        <v>1.845</v>
      </c>
      <c r="G437" s="95">
        <v>1</v>
      </c>
      <c r="H437" s="202"/>
      <c r="I437" s="187"/>
      <c r="AQ437" s="4"/>
    </row>
    <row r="438" spans="1:43" ht="15">
      <c r="A438" s="56" t="s">
        <v>766</v>
      </c>
      <c r="B438" s="43"/>
      <c r="C438" s="81"/>
      <c r="D438" s="50"/>
      <c r="E438" s="46"/>
      <c r="F438" s="47"/>
      <c r="G438" s="95"/>
      <c r="H438" s="202"/>
      <c r="I438" s="187"/>
      <c r="AQ438" s="4"/>
    </row>
    <row r="439" spans="1:43" ht="15">
      <c r="A439" s="56" t="s">
        <v>767</v>
      </c>
      <c r="B439" s="43"/>
      <c r="C439" s="110" t="s">
        <v>163</v>
      </c>
      <c r="D439" s="108" t="s">
        <v>768</v>
      </c>
      <c r="E439" s="46"/>
      <c r="F439" s="47"/>
      <c r="G439" s="95"/>
      <c r="H439" s="202"/>
      <c r="I439" s="187"/>
      <c r="AQ439" s="4"/>
    </row>
    <row r="440" spans="1:43" ht="15">
      <c r="A440" s="56" t="s">
        <v>769</v>
      </c>
      <c r="B440" s="43"/>
      <c r="C440" s="115" t="s">
        <v>770</v>
      </c>
      <c r="D440" s="50" t="s">
        <v>644</v>
      </c>
      <c r="E440" s="46"/>
      <c r="F440" s="47">
        <f>0.255*10*1</f>
        <v>2.55</v>
      </c>
      <c r="G440" s="95">
        <v>1</v>
      </c>
      <c r="H440" s="196"/>
      <c r="I440" s="187"/>
      <c r="AQ440" s="4"/>
    </row>
    <row r="441" spans="1:43" ht="15">
      <c r="A441" s="56" t="s">
        <v>771</v>
      </c>
      <c r="B441" s="43"/>
      <c r="C441" s="115" t="s">
        <v>772</v>
      </c>
      <c r="D441" s="50" t="s">
        <v>644</v>
      </c>
      <c r="E441" s="46"/>
      <c r="F441" s="47">
        <f aca="true" t="shared" si="13" ref="F441:F443">0.255*10*1</f>
        <v>2.55</v>
      </c>
      <c r="G441" s="95">
        <v>1</v>
      </c>
      <c r="H441" s="196"/>
      <c r="I441" s="187"/>
      <c r="AQ441" s="4"/>
    </row>
    <row r="442" spans="1:43" ht="15">
      <c r="A442" s="56" t="s">
        <v>773</v>
      </c>
      <c r="B442" s="43"/>
      <c r="C442" s="115" t="s">
        <v>772</v>
      </c>
      <c r="D442" s="50" t="s">
        <v>774</v>
      </c>
      <c r="E442" s="46"/>
      <c r="F442" s="47">
        <f t="shared" si="13"/>
        <v>2.55</v>
      </c>
      <c r="G442" s="95">
        <v>1</v>
      </c>
      <c r="H442" s="196"/>
      <c r="I442" s="187"/>
      <c r="AQ442" s="4"/>
    </row>
    <row r="443" spans="1:43" ht="15">
      <c r="A443" s="56" t="s">
        <v>775</v>
      </c>
      <c r="B443" s="43"/>
      <c r="C443" s="115" t="s">
        <v>744</v>
      </c>
      <c r="D443" s="50" t="s">
        <v>644</v>
      </c>
      <c r="E443" s="46"/>
      <c r="F443" s="47">
        <f t="shared" si="13"/>
        <v>2.55</v>
      </c>
      <c r="G443" s="95">
        <v>1</v>
      </c>
      <c r="H443" s="196"/>
      <c r="I443" s="187"/>
      <c r="AQ443" s="4"/>
    </row>
    <row r="444" spans="1:43" ht="15">
      <c r="A444" s="56" t="s">
        <v>776</v>
      </c>
      <c r="B444" s="43"/>
      <c r="C444" s="115" t="s">
        <v>744</v>
      </c>
      <c r="D444" s="50" t="s">
        <v>217</v>
      </c>
      <c r="E444" s="46"/>
      <c r="F444" s="47">
        <f>0.255*14*1</f>
        <v>3.5700000000000003</v>
      </c>
      <c r="G444" s="95">
        <v>1</v>
      </c>
      <c r="H444" s="196"/>
      <c r="I444" s="187"/>
      <c r="AQ444" s="4"/>
    </row>
    <row r="445" spans="1:43" ht="15">
      <c r="A445" s="56" t="s">
        <v>777</v>
      </c>
      <c r="B445" s="43"/>
      <c r="C445" s="115" t="s">
        <v>778</v>
      </c>
      <c r="D445" s="50" t="s">
        <v>217</v>
      </c>
      <c r="E445" s="46"/>
      <c r="F445" s="47">
        <f>0.255*14*1</f>
        <v>3.5700000000000003</v>
      </c>
      <c r="G445" s="95">
        <v>1</v>
      </c>
      <c r="H445" s="196"/>
      <c r="I445" s="187"/>
      <c r="AQ445" s="4"/>
    </row>
    <row r="446" spans="1:43" ht="15">
      <c r="A446" s="56" t="s">
        <v>779</v>
      </c>
      <c r="B446" s="43"/>
      <c r="C446" s="115" t="s">
        <v>780</v>
      </c>
      <c r="D446" s="50" t="s">
        <v>781</v>
      </c>
      <c r="E446" s="46"/>
      <c r="F446" s="47"/>
      <c r="G446" s="95"/>
      <c r="H446" s="196"/>
      <c r="I446" s="187"/>
      <c r="AQ446" s="4"/>
    </row>
    <row r="447" spans="1:43" ht="15">
      <c r="A447" s="56" t="s">
        <v>782</v>
      </c>
      <c r="B447" s="43"/>
      <c r="C447" s="115" t="s">
        <v>780</v>
      </c>
      <c r="D447" s="50" t="s">
        <v>175</v>
      </c>
      <c r="E447" s="46"/>
      <c r="F447" s="47">
        <f>0.255*20*2</f>
        <v>10.2</v>
      </c>
      <c r="G447" s="95">
        <v>2</v>
      </c>
      <c r="H447" s="196"/>
      <c r="I447" s="187"/>
      <c r="AQ447" s="4"/>
    </row>
    <row r="448" spans="1:43" ht="15">
      <c r="A448" s="56" t="s">
        <v>783</v>
      </c>
      <c r="B448" s="43"/>
      <c r="C448" s="115" t="s">
        <v>784</v>
      </c>
      <c r="D448" s="50" t="s">
        <v>217</v>
      </c>
      <c r="E448" s="46"/>
      <c r="F448" s="47">
        <f>0.255*14*1</f>
        <v>3.5700000000000003</v>
      </c>
      <c r="G448" s="95">
        <v>1</v>
      </c>
      <c r="H448" s="196"/>
      <c r="I448" s="187"/>
      <c r="AQ448" s="4"/>
    </row>
    <row r="449" spans="1:43" ht="15">
      <c r="A449" s="56" t="s">
        <v>785</v>
      </c>
      <c r="B449" s="43"/>
      <c r="C449" s="115" t="s">
        <v>786</v>
      </c>
      <c r="D449" s="50" t="s">
        <v>787</v>
      </c>
      <c r="E449" s="46"/>
      <c r="F449" s="47">
        <f>0.205*10*1</f>
        <v>2.05</v>
      </c>
      <c r="G449" s="95">
        <v>1</v>
      </c>
      <c r="H449" s="196"/>
      <c r="I449" s="187"/>
      <c r="AQ449" s="4"/>
    </row>
    <row r="450" spans="1:43" ht="15">
      <c r="A450" s="56" t="s">
        <v>788</v>
      </c>
      <c r="B450" s="43"/>
      <c r="C450" s="115" t="s">
        <v>784</v>
      </c>
      <c r="D450" s="116" t="s">
        <v>789</v>
      </c>
      <c r="E450" s="46"/>
      <c r="F450" s="47"/>
      <c r="G450" s="95"/>
      <c r="H450" s="196"/>
      <c r="I450" s="187"/>
      <c r="AQ450" s="4"/>
    </row>
    <row r="451" spans="1:43" ht="15">
      <c r="A451" s="56" t="s">
        <v>790</v>
      </c>
      <c r="B451" s="43"/>
      <c r="C451" s="81"/>
      <c r="D451" s="116"/>
      <c r="E451" s="46"/>
      <c r="F451" s="47"/>
      <c r="G451" s="95"/>
      <c r="H451" s="196"/>
      <c r="I451" s="187"/>
      <c r="AQ451" s="4"/>
    </row>
    <row r="452" spans="1:43" ht="15">
      <c r="A452" s="56" t="s">
        <v>791</v>
      </c>
      <c r="B452" s="43"/>
      <c r="C452" s="110" t="s">
        <v>163</v>
      </c>
      <c r="D452" s="108" t="s">
        <v>792</v>
      </c>
      <c r="E452" s="46"/>
      <c r="F452" s="47"/>
      <c r="G452" s="95"/>
      <c r="H452" s="196"/>
      <c r="I452" s="187"/>
      <c r="AQ452" s="4"/>
    </row>
    <row r="453" spans="1:43" ht="15">
      <c r="A453" s="56" t="s">
        <v>793</v>
      </c>
      <c r="B453" s="43"/>
      <c r="C453" s="115" t="s">
        <v>350</v>
      </c>
      <c r="D453" s="50" t="s">
        <v>177</v>
      </c>
      <c r="E453" s="46"/>
      <c r="F453" s="47">
        <f>0.255*15*1</f>
        <v>3.825</v>
      </c>
      <c r="G453" s="95">
        <v>1</v>
      </c>
      <c r="H453" s="196"/>
      <c r="I453" s="187"/>
      <c r="AQ453" s="4"/>
    </row>
    <row r="454" spans="1:43" ht="15">
      <c r="A454" s="56" t="s">
        <v>794</v>
      </c>
      <c r="B454" s="43"/>
      <c r="C454" s="115" t="s">
        <v>348</v>
      </c>
      <c r="D454" s="50" t="s">
        <v>177</v>
      </c>
      <c r="E454" s="46"/>
      <c r="F454" s="47">
        <f aca="true" t="shared" si="14" ref="F454:F455">0.255*15*1</f>
        <v>3.825</v>
      </c>
      <c r="G454" s="95">
        <v>1</v>
      </c>
      <c r="H454" s="196"/>
      <c r="I454" s="187"/>
      <c r="AQ454" s="4"/>
    </row>
    <row r="455" spans="1:43" ht="15">
      <c r="A455" s="56" t="s">
        <v>795</v>
      </c>
      <c r="B455" s="43"/>
      <c r="C455" s="115" t="s">
        <v>360</v>
      </c>
      <c r="D455" s="50" t="s">
        <v>177</v>
      </c>
      <c r="E455" s="46"/>
      <c r="F455" s="47">
        <f t="shared" si="14"/>
        <v>3.825</v>
      </c>
      <c r="G455" s="95">
        <v>1</v>
      </c>
      <c r="H455" s="196"/>
      <c r="I455" s="187"/>
      <c r="AQ455" s="4"/>
    </row>
    <row r="456" spans="1:43" ht="15">
      <c r="A456" s="56" t="s">
        <v>796</v>
      </c>
      <c r="B456" s="43"/>
      <c r="C456" s="115" t="s">
        <v>403</v>
      </c>
      <c r="D456" s="50" t="s">
        <v>180</v>
      </c>
      <c r="E456" s="46"/>
      <c r="F456" s="47">
        <f>0.255*16*1</f>
        <v>4.08</v>
      </c>
      <c r="G456" s="95">
        <v>1</v>
      </c>
      <c r="H456" s="196"/>
      <c r="I456" s="187"/>
      <c r="AQ456" s="4"/>
    </row>
    <row r="457" spans="1:43" ht="15">
      <c r="A457" s="56" t="s">
        <v>797</v>
      </c>
      <c r="B457" s="43"/>
      <c r="C457" s="115" t="s">
        <v>305</v>
      </c>
      <c r="D457" s="53" t="s">
        <v>798</v>
      </c>
      <c r="E457" s="46"/>
      <c r="F457" s="47">
        <f>0.44*15*1</f>
        <v>6.6</v>
      </c>
      <c r="G457" s="95">
        <v>1</v>
      </c>
      <c r="H457" s="196"/>
      <c r="I457" s="187"/>
      <c r="AQ457" s="4"/>
    </row>
    <row r="458" spans="1:43" ht="15">
      <c r="A458" s="56" t="s">
        <v>799</v>
      </c>
      <c r="B458" s="43"/>
      <c r="C458" s="115" t="s">
        <v>362</v>
      </c>
      <c r="D458" s="50" t="s">
        <v>295</v>
      </c>
      <c r="E458" s="46"/>
      <c r="F458" s="47">
        <f>0.205*10*1</f>
        <v>2.05</v>
      </c>
      <c r="G458" s="95">
        <v>1</v>
      </c>
      <c r="H458" s="196"/>
      <c r="I458" s="187"/>
      <c r="AQ458" s="4"/>
    </row>
    <row r="459" spans="1:43" ht="15">
      <c r="A459" s="56" t="s">
        <v>800</v>
      </c>
      <c r="B459" s="43"/>
      <c r="C459" s="115" t="s">
        <v>292</v>
      </c>
      <c r="D459" s="50" t="s">
        <v>177</v>
      </c>
      <c r="E459" s="46"/>
      <c r="F459" s="47">
        <f aca="true" t="shared" si="15" ref="F459">0.255*15*1</f>
        <v>3.825</v>
      </c>
      <c r="G459" s="95">
        <v>1</v>
      </c>
      <c r="H459" s="196"/>
      <c r="I459" s="187"/>
      <c r="AQ459" s="4"/>
    </row>
    <row r="460" spans="1:43" ht="15">
      <c r="A460" s="56" t="s">
        <v>801</v>
      </c>
      <c r="B460" s="43"/>
      <c r="C460" s="115" t="s">
        <v>352</v>
      </c>
      <c r="D460" s="53" t="s">
        <v>798</v>
      </c>
      <c r="E460" s="46"/>
      <c r="F460" s="47">
        <f>0.44*15*1</f>
        <v>6.6</v>
      </c>
      <c r="G460" s="95">
        <v>1</v>
      </c>
      <c r="H460" s="196"/>
      <c r="I460" s="187"/>
      <c r="AQ460" s="4"/>
    </row>
    <row r="461" spans="1:43" ht="15">
      <c r="A461" s="56" t="s">
        <v>802</v>
      </c>
      <c r="B461" s="43"/>
      <c r="C461" s="81"/>
      <c r="D461" s="116"/>
      <c r="E461" s="46"/>
      <c r="F461" s="47"/>
      <c r="G461" s="95"/>
      <c r="H461" s="196"/>
      <c r="I461" s="187"/>
      <c r="AQ461" s="4"/>
    </row>
    <row r="462" spans="1:43" ht="15">
      <c r="A462" s="56" t="s">
        <v>803</v>
      </c>
      <c r="B462" s="43"/>
      <c r="C462" s="110" t="s">
        <v>163</v>
      </c>
      <c r="D462" s="108" t="s">
        <v>804</v>
      </c>
      <c r="E462" s="46"/>
      <c r="F462" s="47"/>
      <c r="G462" s="95"/>
      <c r="H462" s="196"/>
      <c r="I462" s="187"/>
      <c r="AQ462" s="4"/>
    </row>
    <row r="463" spans="1:43" ht="15">
      <c r="A463" s="56" t="s">
        <v>805</v>
      </c>
      <c r="B463" s="43"/>
      <c r="C463" s="115" t="s">
        <v>482</v>
      </c>
      <c r="D463" s="50" t="s">
        <v>644</v>
      </c>
      <c r="E463" s="46"/>
      <c r="F463" s="47">
        <f>0.255*10*1</f>
        <v>2.55</v>
      </c>
      <c r="G463" s="95">
        <v>1</v>
      </c>
      <c r="H463" s="196"/>
      <c r="I463" s="187"/>
      <c r="AQ463" s="4"/>
    </row>
    <row r="464" spans="1:43" ht="15">
      <c r="A464" s="56" t="s">
        <v>806</v>
      </c>
      <c r="B464" s="43"/>
      <c r="C464" s="115" t="s">
        <v>807</v>
      </c>
      <c r="D464" s="50" t="s">
        <v>808</v>
      </c>
      <c r="E464" s="46"/>
      <c r="F464" s="47">
        <f>0.255*12*1</f>
        <v>3.06</v>
      </c>
      <c r="G464" s="95">
        <v>1</v>
      </c>
      <c r="H464" s="196"/>
      <c r="I464" s="187"/>
      <c r="AQ464" s="4"/>
    </row>
    <row r="465" spans="1:43" ht="15">
      <c r="A465" s="56" t="s">
        <v>809</v>
      </c>
      <c r="B465" s="43"/>
      <c r="C465" s="115" t="s">
        <v>807</v>
      </c>
      <c r="D465" s="50" t="s">
        <v>498</v>
      </c>
      <c r="E465" s="46"/>
      <c r="F465" s="47">
        <f>0.255*23*1</f>
        <v>5.865</v>
      </c>
      <c r="G465" s="95">
        <v>1</v>
      </c>
      <c r="H465" s="196"/>
      <c r="I465" s="187"/>
      <c r="AQ465" s="4"/>
    </row>
    <row r="466" spans="1:43" ht="15">
      <c r="A466" s="56" t="s">
        <v>810</v>
      </c>
      <c r="B466" s="43"/>
      <c r="C466" s="115" t="s">
        <v>545</v>
      </c>
      <c r="D466" s="50" t="s">
        <v>755</v>
      </c>
      <c r="E466" s="46"/>
      <c r="F466" s="47">
        <f>0.255*8*1</f>
        <v>2.04</v>
      </c>
      <c r="G466" s="95">
        <v>1</v>
      </c>
      <c r="H466" s="196"/>
      <c r="I466" s="187"/>
      <c r="AQ466" s="4"/>
    </row>
    <row r="467" spans="1:43" ht="15">
      <c r="A467" s="56" t="s">
        <v>811</v>
      </c>
      <c r="B467" s="43"/>
      <c r="C467" s="115" t="s">
        <v>545</v>
      </c>
      <c r="D467" s="50" t="s">
        <v>644</v>
      </c>
      <c r="E467" s="46"/>
      <c r="F467" s="47">
        <f>0.255*10*1</f>
        <v>2.55</v>
      </c>
      <c r="G467" s="95">
        <v>1</v>
      </c>
      <c r="H467" s="196"/>
      <c r="I467" s="187"/>
      <c r="AQ467" s="4"/>
    </row>
    <row r="468" spans="1:43" ht="15">
      <c r="A468" s="56" t="s">
        <v>812</v>
      </c>
      <c r="B468" s="43"/>
      <c r="C468" s="115" t="s">
        <v>546</v>
      </c>
      <c r="D468" s="50" t="s">
        <v>813</v>
      </c>
      <c r="E468" s="46"/>
      <c r="F468" s="47">
        <f>0.205*11*1</f>
        <v>2.255</v>
      </c>
      <c r="G468" s="95">
        <v>1</v>
      </c>
      <c r="H468" s="196"/>
      <c r="I468" s="187"/>
      <c r="AQ468" s="4"/>
    </row>
    <row r="469" spans="1:43" ht="15">
      <c r="A469" s="56" t="s">
        <v>814</v>
      </c>
      <c r="B469" s="43"/>
      <c r="C469" s="115" t="s">
        <v>543</v>
      </c>
      <c r="D469" s="53" t="s">
        <v>815</v>
      </c>
      <c r="E469" s="46"/>
      <c r="F469" s="47">
        <f>0.44*21*1</f>
        <v>9.24</v>
      </c>
      <c r="G469" s="95">
        <v>1</v>
      </c>
      <c r="H469" s="202"/>
      <c r="I469" s="187"/>
      <c r="AQ469" s="4"/>
    </row>
    <row r="470" spans="1:43" ht="15">
      <c r="A470" s="56" t="s">
        <v>816</v>
      </c>
      <c r="B470" s="43"/>
      <c r="C470" s="115" t="s">
        <v>541</v>
      </c>
      <c r="D470" s="50" t="s">
        <v>817</v>
      </c>
      <c r="E470" s="46"/>
      <c r="F470" s="47">
        <f>0.205*6*1</f>
        <v>1.23</v>
      </c>
      <c r="G470" s="95">
        <v>1</v>
      </c>
      <c r="H470" s="202"/>
      <c r="I470" s="187"/>
      <c r="AQ470" s="4"/>
    </row>
    <row r="471" spans="1:43" ht="15">
      <c r="A471" s="56" t="s">
        <v>818</v>
      </c>
      <c r="B471" s="43"/>
      <c r="C471" s="115" t="s">
        <v>541</v>
      </c>
      <c r="D471" s="50" t="s">
        <v>819</v>
      </c>
      <c r="E471" s="46"/>
      <c r="F471" s="47">
        <f>0.205*7*1</f>
        <v>1.4349999999999998</v>
      </c>
      <c r="G471" s="95">
        <v>1</v>
      </c>
      <c r="H471" s="202"/>
      <c r="I471" s="187"/>
      <c r="AQ471" s="4"/>
    </row>
    <row r="472" spans="1:43" ht="15">
      <c r="A472" s="56" t="s">
        <v>820</v>
      </c>
      <c r="B472" s="43"/>
      <c r="C472" s="81"/>
      <c r="D472" s="50"/>
      <c r="E472" s="46"/>
      <c r="F472" s="47"/>
      <c r="G472" s="95"/>
      <c r="H472" s="202"/>
      <c r="I472" s="187"/>
      <c r="AQ472" s="4"/>
    </row>
    <row r="473" spans="1:43" ht="15">
      <c r="A473" s="56" t="s">
        <v>821</v>
      </c>
      <c r="B473" s="43"/>
      <c r="C473" s="110" t="s">
        <v>163</v>
      </c>
      <c r="D473" s="108" t="s">
        <v>822</v>
      </c>
      <c r="E473" s="46"/>
      <c r="F473" s="47"/>
      <c r="G473" s="95"/>
      <c r="H473" s="202"/>
      <c r="I473" s="187"/>
      <c r="AQ473" s="4"/>
    </row>
    <row r="474" spans="1:43" ht="15">
      <c r="A474" s="56" t="s">
        <v>823</v>
      </c>
      <c r="B474" s="43"/>
      <c r="C474" s="81" t="s">
        <v>669</v>
      </c>
      <c r="D474" s="50" t="s">
        <v>195</v>
      </c>
      <c r="E474" s="46"/>
      <c r="F474" s="47">
        <f>0.255*18*1</f>
        <v>4.59</v>
      </c>
      <c r="G474" s="95">
        <v>1</v>
      </c>
      <c r="H474" s="202"/>
      <c r="I474" s="187"/>
      <c r="AQ474" s="4"/>
    </row>
    <row r="475" spans="1:43" ht="15">
      <c r="A475" s="56" t="s">
        <v>824</v>
      </c>
      <c r="B475" s="43"/>
      <c r="C475" s="81" t="s">
        <v>625</v>
      </c>
      <c r="D475" s="50" t="s">
        <v>808</v>
      </c>
      <c r="E475" s="46"/>
      <c r="F475" s="47">
        <f>0.255*12*1</f>
        <v>3.06</v>
      </c>
      <c r="G475" s="95">
        <v>1</v>
      </c>
      <c r="H475" s="202"/>
      <c r="I475" s="187"/>
      <c r="AQ475" s="4"/>
    </row>
    <row r="476" spans="1:43" ht="15">
      <c r="A476" s="56" t="s">
        <v>825</v>
      </c>
      <c r="B476" s="43"/>
      <c r="C476" s="81" t="s">
        <v>625</v>
      </c>
      <c r="D476" s="50" t="s">
        <v>217</v>
      </c>
      <c r="E476" s="46"/>
      <c r="F476" s="47">
        <f>0.255*14*1</f>
        <v>3.5700000000000003</v>
      </c>
      <c r="G476" s="95">
        <v>1</v>
      </c>
      <c r="H476" s="202"/>
      <c r="I476" s="187"/>
      <c r="AQ476" s="4"/>
    </row>
    <row r="477" spans="1:43" ht="15">
      <c r="A477" s="56" t="s">
        <v>826</v>
      </c>
      <c r="B477" s="43"/>
      <c r="C477" s="81" t="s">
        <v>712</v>
      </c>
      <c r="D477" s="50" t="s">
        <v>827</v>
      </c>
      <c r="E477" s="46"/>
      <c r="F477" s="47">
        <f>0.255*9*1</f>
        <v>2.295</v>
      </c>
      <c r="G477" s="95">
        <v>1</v>
      </c>
      <c r="H477" s="202"/>
      <c r="I477" s="187"/>
      <c r="AQ477" s="4"/>
    </row>
    <row r="478" spans="1:43" ht="15">
      <c r="A478" s="56" t="s">
        <v>828</v>
      </c>
      <c r="B478" s="43"/>
      <c r="C478" s="81" t="s">
        <v>712</v>
      </c>
      <c r="D478" s="50" t="s">
        <v>309</v>
      </c>
      <c r="E478" s="46"/>
      <c r="F478" s="47">
        <f>0.255*19*1</f>
        <v>4.845</v>
      </c>
      <c r="G478" s="95">
        <v>1</v>
      </c>
      <c r="H478" s="202"/>
      <c r="I478" s="187"/>
      <c r="AQ478" s="4"/>
    </row>
    <row r="479" spans="1:43" ht="15">
      <c r="A479" s="56" t="s">
        <v>829</v>
      </c>
      <c r="B479" s="43"/>
      <c r="C479" s="81" t="s">
        <v>636</v>
      </c>
      <c r="D479" s="50" t="s">
        <v>217</v>
      </c>
      <c r="E479" s="46"/>
      <c r="F479" s="47">
        <f>0.255*14*1</f>
        <v>3.5700000000000003</v>
      </c>
      <c r="G479" s="95">
        <v>1</v>
      </c>
      <c r="H479" s="202"/>
      <c r="I479" s="187"/>
      <c r="AQ479" s="4"/>
    </row>
    <row r="480" spans="1:43" ht="15">
      <c r="A480" s="56" t="s">
        <v>830</v>
      </c>
      <c r="B480" s="43"/>
      <c r="C480" s="81"/>
      <c r="D480" s="50"/>
      <c r="E480" s="46"/>
      <c r="F480" s="47"/>
      <c r="G480" s="95"/>
      <c r="H480" s="202"/>
      <c r="I480" s="187"/>
      <c r="AQ480" s="4"/>
    </row>
    <row r="481" spans="1:43" ht="15">
      <c r="A481" s="56" t="s">
        <v>831</v>
      </c>
      <c r="B481" s="43"/>
      <c r="C481" s="81"/>
      <c r="D481" s="104" t="s">
        <v>832</v>
      </c>
      <c r="E481" s="46"/>
      <c r="F481" s="47"/>
      <c r="G481" s="95"/>
      <c r="H481" s="202"/>
      <c r="I481" s="187"/>
      <c r="AQ481" s="4"/>
    </row>
    <row r="482" spans="1:43" ht="15">
      <c r="A482" s="56" t="s">
        <v>833</v>
      </c>
      <c r="B482" s="43"/>
      <c r="C482" s="81"/>
      <c r="D482" s="107" t="s">
        <v>834</v>
      </c>
      <c r="E482" s="46" t="s">
        <v>55</v>
      </c>
      <c r="F482" s="95">
        <f>SUM(F484:F516)</f>
        <v>135.53500000000003</v>
      </c>
      <c r="G482" s="95"/>
      <c r="H482" s="202"/>
      <c r="I482" s="187"/>
      <c r="AQ482" s="4"/>
    </row>
    <row r="483" spans="1:43" ht="15">
      <c r="A483" s="56" t="s">
        <v>835</v>
      </c>
      <c r="B483" s="43"/>
      <c r="C483" s="106" t="s">
        <v>163</v>
      </c>
      <c r="D483" s="102" t="s">
        <v>836</v>
      </c>
      <c r="E483" s="46"/>
      <c r="F483" s="47"/>
      <c r="G483" s="95"/>
      <c r="H483" s="202"/>
      <c r="I483" s="187"/>
      <c r="AQ483" s="4"/>
    </row>
    <row r="484" spans="1:43" ht="15">
      <c r="A484" s="56" t="s">
        <v>837</v>
      </c>
      <c r="B484" s="43"/>
      <c r="C484" s="115" t="s">
        <v>838</v>
      </c>
      <c r="D484" s="50" t="s">
        <v>177</v>
      </c>
      <c r="E484" s="46"/>
      <c r="F484" s="47">
        <f>0.255*15*1</f>
        <v>3.825</v>
      </c>
      <c r="G484" s="95">
        <v>1</v>
      </c>
      <c r="H484" s="202"/>
      <c r="I484" s="187"/>
      <c r="AQ484" s="4"/>
    </row>
    <row r="485" spans="1:43" ht="15">
      <c r="A485" s="56" t="s">
        <v>839</v>
      </c>
      <c r="B485" s="43"/>
      <c r="C485" s="115" t="s">
        <v>838</v>
      </c>
      <c r="D485" s="50" t="s">
        <v>644</v>
      </c>
      <c r="E485" s="46"/>
      <c r="F485" s="47">
        <f>0.255*10*1</f>
        <v>2.55</v>
      </c>
      <c r="G485" s="95">
        <v>1</v>
      </c>
      <c r="H485" s="202"/>
      <c r="I485" s="187"/>
      <c r="AQ485" s="4"/>
    </row>
    <row r="486" spans="1:43" ht="15">
      <c r="A486" s="56" t="s">
        <v>840</v>
      </c>
      <c r="B486" s="43"/>
      <c r="C486" s="115" t="s">
        <v>287</v>
      </c>
      <c r="D486" s="50" t="s">
        <v>841</v>
      </c>
      <c r="E486" s="46"/>
      <c r="F486" s="47">
        <f>0.255*10*2</f>
        <v>5.1</v>
      </c>
      <c r="G486" s="95">
        <v>2</v>
      </c>
      <c r="H486" s="202"/>
      <c r="I486" s="187"/>
      <c r="AQ486" s="4"/>
    </row>
    <row r="487" spans="1:43" ht="15">
      <c r="A487" s="56" t="s">
        <v>842</v>
      </c>
      <c r="B487" s="43"/>
      <c r="C487" s="115" t="s">
        <v>843</v>
      </c>
      <c r="D487" s="50" t="s">
        <v>844</v>
      </c>
      <c r="E487" s="46"/>
      <c r="F487" s="47">
        <f>0.255*10*3</f>
        <v>7.6499999999999995</v>
      </c>
      <c r="G487" s="95">
        <v>3</v>
      </c>
      <c r="H487" s="202"/>
      <c r="I487" s="187"/>
      <c r="AQ487" s="4"/>
    </row>
    <row r="488" spans="1:43" ht="15">
      <c r="A488" s="56" t="s">
        <v>845</v>
      </c>
      <c r="B488" s="43"/>
      <c r="C488" s="115" t="s">
        <v>843</v>
      </c>
      <c r="D488" s="50" t="s">
        <v>220</v>
      </c>
      <c r="E488" s="46"/>
      <c r="F488" s="47">
        <f>0.255*20*1</f>
        <v>5.1</v>
      </c>
      <c r="G488" s="95">
        <v>1</v>
      </c>
      <c r="H488" s="202"/>
      <c r="I488" s="187"/>
      <c r="AQ488" s="4"/>
    </row>
    <row r="489" spans="1:43" ht="15">
      <c r="A489" s="56" t="s">
        <v>846</v>
      </c>
      <c r="B489" s="43"/>
      <c r="C489" s="81"/>
      <c r="D489" s="50"/>
      <c r="E489" s="46"/>
      <c r="F489" s="47"/>
      <c r="G489" s="95"/>
      <c r="H489" s="202"/>
      <c r="I489" s="187"/>
      <c r="AQ489" s="4"/>
    </row>
    <row r="490" spans="1:43" ht="15">
      <c r="A490" s="56" t="s">
        <v>847</v>
      </c>
      <c r="B490" s="43"/>
      <c r="C490" s="106" t="s">
        <v>163</v>
      </c>
      <c r="D490" s="102" t="s">
        <v>848</v>
      </c>
      <c r="E490" s="46"/>
      <c r="F490" s="47"/>
      <c r="G490" s="95"/>
      <c r="H490" s="202"/>
      <c r="I490" s="187"/>
      <c r="AQ490" s="4"/>
    </row>
    <row r="491" spans="1:43" ht="15">
      <c r="A491" s="56" t="s">
        <v>849</v>
      </c>
      <c r="B491" s="43"/>
      <c r="C491" s="115" t="s">
        <v>850</v>
      </c>
      <c r="D491" s="50" t="s">
        <v>841</v>
      </c>
      <c r="E491" s="46"/>
      <c r="F491" s="47">
        <f>0.255*10*2</f>
        <v>5.1</v>
      </c>
      <c r="G491" s="95">
        <v>2</v>
      </c>
      <c r="H491" s="202"/>
      <c r="I491" s="187"/>
      <c r="AQ491" s="4"/>
    </row>
    <row r="492" spans="1:43" ht="15">
      <c r="A492" s="56" t="s">
        <v>851</v>
      </c>
      <c r="B492" s="43"/>
      <c r="C492" s="115" t="s">
        <v>699</v>
      </c>
      <c r="D492" s="50" t="s">
        <v>852</v>
      </c>
      <c r="E492" s="46"/>
      <c r="F492" s="47">
        <f>0.255*10*4</f>
        <v>10.2</v>
      </c>
      <c r="G492" s="95">
        <v>4</v>
      </c>
      <c r="H492" s="202"/>
      <c r="I492" s="187"/>
      <c r="AQ492" s="4"/>
    </row>
    <row r="493" spans="1:43" ht="15">
      <c r="A493" s="56" t="s">
        <v>853</v>
      </c>
      <c r="B493" s="43"/>
      <c r="C493" s="115" t="s">
        <v>699</v>
      </c>
      <c r="D493" s="50" t="s">
        <v>662</v>
      </c>
      <c r="E493" s="46"/>
      <c r="F493" s="47">
        <f>0.255*11*1</f>
        <v>2.805</v>
      </c>
      <c r="G493" s="95">
        <v>1</v>
      </c>
      <c r="H493" s="202"/>
      <c r="I493" s="187"/>
      <c r="AQ493" s="4"/>
    </row>
    <row r="494" spans="1:43" ht="15">
      <c r="A494" s="56" t="s">
        <v>854</v>
      </c>
      <c r="B494" s="43"/>
      <c r="C494" s="115"/>
      <c r="D494" s="50"/>
      <c r="E494" s="46"/>
      <c r="F494" s="47"/>
      <c r="G494" s="95"/>
      <c r="H494" s="202"/>
      <c r="I494" s="187"/>
      <c r="AQ494" s="4"/>
    </row>
    <row r="495" spans="1:43" ht="15">
      <c r="A495" s="56" t="s">
        <v>855</v>
      </c>
      <c r="B495" s="43"/>
      <c r="C495" s="106" t="s">
        <v>163</v>
      </c>
      <c r="D495" s="102" t="s">
        <v>856</v>
      </c>
      <c r="E495" s="46"/>
      <c r="F495" s="47"/>
      <c r="G495" s="95"/>
      <c r="H495" s="202"/>
      <c r="I495" s="187"/>
      <c r="AQ495" s="4"/>
    </row>
    <row r="496" spans="1:43" ht="15">
      <c r="A496" s="56" t="s">
        <v>857</v>
      </c>
      <c r="B496" s="43"/>
      <c r="C496" s="115" t="s">
        <v>352</v>
      </c>
      <c r="D496" s="50" t="s">
        <v>220</v>
      </c>
      <c r="E496" s="46"/>
      <c r="F496" s="47">
        <f>0.255*20*1</f>
        <v>5.1</v>
      </c>
      <c r="G496" s="95">
        <v>1</v>
      </c>
      <c r="H496" s="202"/>
      <c r="I496" s="187"/>
      <c r="AQ496" s="4"/>
    </row>
    <row r="497" spans="1:43" ht="15">
      <c r="A497" s="56" t="s">
        <v>858</v>
      </c>
      <c r="B497" s="43"/>
      <c r="C497" s="115" t="s">
        <v>352</v>
      </c>
      <c r="D497" s="50" t="s">
        <v>827</v>
      </c>
      <c r="E497" s="46"/>
      <c r="F497" s="47">
        <f>0.255*9*1</f>
        <v>2.295</v>
      </c>
      <c r="G497" s="95">
        <v>1</v>
      </c>
      <c r="H497" s="202"/>
      <c r="I497" s="187"/>
      <c r="AQ497" s="4"/>
    </row>
    <row r="498" spans="1:43" ht="15">
      <c r="A498" s="56" t="s">
        <v>859</v>
      </c>
      <c r="B498" s="43"/>
      <c r="C498" s="115" t="s">
        <v>350</v>
      </c>
      <c r="D498" s="50" t="s">
        <v>852</v>
      </c>
      <c r="E498" s="46"/>
      <c r="F498" s="47">
        <f>0.255*10*4</f>
        <v>10.2</v>
      </c>
      <c r="G498" s="95">
        <v>4</v>
      </c>
      <c r="H498" s="202"/>
      <c r="I498" s="187"/>
      <c r="AQ498" s="4"/>
    </row>
    <row r="499" spans="1:43" ht="15">
      <c r="A499" s="56" t="s">
        <v>860</v>
      </c>
      <c r="B499" s="43"/>
      <c r="C499" s="115" t="s">
        <v>289</v>
      </c>
      <c r="D499" s="50" t="s">
        <v>465</v>
      </c>
      <c r="E499" s="46"/>
      <c r="F499" s="47">
        <f>0.255*25*2</f>
        <v>12.75</v>
      </c>
      <c r="G499" s="95">
        <v>2</v>
      </c>
      <c r="H499" s="202"/>
      <c r="I499" s="187"/>
      <c r="AQ499" s="4"/>
    </row>
    <row r="500" spans="1:43" ht="15">
      <c r="A500" s="56" t="s">
        <v>861</v>
      </c>
      <c r="B500" s="43"/>
      <c r="C500" s="81"/>
      <c r="D500" s="50"/>
      <c r="E500" s="46"/>
      <c r="F500" s="47"/>
      <c r="G500" s="95"/>
      <c r="H500" s="202"/>
      <c r="I500" s="187"/>
      <c r="AQ500" s="4"/>
    </row>
    <row r="501" spans="1:43" ht="15">
      <c r="A501" s="56" t="s">
        <v>862</v>
      </c>
      <c r="B501" s="43"/>
      <c r="C501" s="106" t="s">
        <v>163</v>
      </c>
      <c r="D501" s="102" t="s">
        <v>863</v>
      </c>
      <c r="E501" s="46"/>
      <c r="F501" s="47"/>
      <c r="G501" s="95"/>
      <c r="H501" s="202"/>
      <c r="I501" s="187"/>
      <c r="AQ501" s="4"/>
    </row>
    <row r="502" spans="1:43" ht="15">
      <c r="A502" s="56" t="s">
        <v>864</v>
      </c>
      <c r="B502" s="43"/>
      <c r="C502" s="115" t="s">
        <v>539</v>
      </c>
      <c r="D502" s="50" t="s">
        <v>865</v>
      </c>
      <c r="E502" s="46"/>
      <c r="F502" s="47">
        <f>0.255*11*2</f>
        <v>5.61</v>
      </c>
      <c r="G502" s="95">
        <v>2</v>
      </c>
      <c r="H502" s="202"/>
      <c r="I502" s="187"/>
      <c r="AQ502" s="4"/>
    </row>
    <row r="503" spans="1:43" ht="15">
      <c r="A503" s="56" t="s">
        <v>866</v>
      </c>
      <c r="B503" s="43"/>
      <c r="C503" s="115" t="s">
        <v>531</v>
      </c>
      <c r="D503" s="50" t="s">
        <v>865</v>
      </c>
      <c r="E503" s="46"/>
      <c r="F503" s="47">
        <f>0.255*11*2</f>
        <v>5.61</v>
      </c>
      <c r="G503" s="95">
        <v>2</v>
      </c>
      <c r="H503" s="202"/>
      <c r="I503" s="187"/>
      <c r="AQ503" s="4"/>
    </row>
    <row r="504" spans="1:43" ht="15">
      <c r="A504" s="56" t="s">
        <v>867</v>
      </c>
      <c r="B504" s="43"/>
      <c r="C504" s="115" t="s">
        <v>537</v>
      </c>
      <c r="D504" s="50" t="s">
        <v>841</v>
      </c>
      <c r="E504" s="46"/>
      <c r="F504" s="47">
        <f>0.255*10*2</f>
        <v>5.1</v>
      </c>
      <c r="G504" s="95">
        <v>2</v>
      </c>
      <c r="H504" s="202"/>
      <c r="I504" s="187"/>
      <c r="AQ504" s="4"/>
    </row>
    <row r="505" spans="1:43" ht="15">
      <c r="A505" s="56" t="s">
        <v>868</v>
      </c>
      <c r="B505" s="43"/>
      <c r="C505" s="115" t="s">
        <v>480</v>
      </c>
      <c r="D505" s="53" t="s">
        <v>869</v>
      </c>
      <c r="E505" s="46"/>
      <c r="F505" s="47">
        <f>0.185*20*1</f>
        <v>3.7</v>
      </c>
      <c r="G505" s="95">
        <v>1</v>
      </c>
      <c r="H505" s="202"/>
      <c r="I505" s="187"/>
      <c r="AQ505" s="4"/>
    </row>
    <row r="506" spans="1:43" ht="15">
      <c r="A506" s="56" t="s">
        <v>870</v>
      </c>
      <c r="B506" s="43"/>
      <c r="C506" s="81"/>
      <c r="D506" s="50"/>
      <c r="E506" s="46"/>
      <c r="F506" s="47"/>
      <c r="G506" s="95"/>
      <c r="H506" s="202"/>
      <c r="I506" s="187"/>
      <c r="AQ506" s="4"/>
    </row>
    <row r="507" spans="1:43" ht="15">
      <c r="A507" s="56" t="s">
        <v>871</v>
      </c>
      <c r="B507" s="43"/>
      <c r="C507" s="106" t="s">
        <v>163</v>
      </c>
      <c r="D507" s="102" t="s">
        <v>872</v>
      </c>
      <c r="E507" s="46"/>
      <c r="F507" s="47"/>
      <c r="G507" s="95"/>
      <c r="H507" s="202"/>
      <c r="I507" s="187"/>
      <c r="AQ507" s="4"/>
    </row>
    <row r="508" spans="1:43" ht="15">
      <c r="A508" s="56" t="s">
        <v>873</v>
      </c>
      <c r="B508" s="43"/>
      <c r="C508" s="115" t="s">
        <v>712</v>
      </c>
      <c r="D508" s="50" t="s">
        <v>220</v>
      </c>
      <c r="E508" s="46"/>
      <c r="F508" s="47">
        <f>0.255*20*1</f>
        <v>5.1</v>
      </c>
      <c r="G508" s="95">
        <v>1</v>
      </c>
      <c r="H508" s="202"/>
      <c r="I508" s="187"/>
      <c r="AQ508" s="4"/>
    </row>
    <row r="509" spans="1:43" ht="15">
      <c r="A509" s="56" t="s">
        <v>874</v>
      </c>
      <c r="B509" s="43"/>
      <c r="C509" s="115" t="s">
        <v>712</v>
      </c>
      <c r="D509" s="50" t="s">
        <v>177</v>
      </c>
      <c r="E509" s="46"/>
      <c r="F509" s="47">
        <f>0.255*15*1</f>
        <v>3.825</v>
      </c>
      <c r="G509" s="95">
        <v>1</v>
      </c>
      <c r="H509" s="202"/>
      <c r="I509" s="187"/>
      <c r="AQ509" s="4"/>
    </row>
    <row r="510" spans="1:43" ht="15">
      <c r="A510" s="56" t="s">
        <v>875</v>
      </c>
      <c r="B510" s="43"/>
      <c r="C510" s="115" t="s">
        <v>625</v>
      </c>
      <c r="D510" s="50" t="s">
        <v>644</v>
      </c>
      <c r="E510" s="46"/>
      <c r="F510" s="47">
        <f>0.255*10*1</f>
        <v>2.55</v>
      </c>
      <c r="G510" s="95">
        <v>1</v>
      </c>
      <c r="H510" s="202"/>
      <c r="I510" s="187"/>
      <c r="AQ510" s="4"/>
    </row>
    <row r="511" spans="1:43" ht="15">
      <c r="A511" s="56" t="s">
        <v>876</v>
      </c>
      <c r="B511" s="43"/>
      <c r="C511" s="115" t="s">
        <v>625</v>
      </c>
      <c r="D511" s="50" t="s">
        <v>877</v>
      </c>
      <c r="E511" s="46"/>
      <c r="F511" s="47">
        <f>0.255*14*3</f>
        <v>10.71</v>
      </c>
      <c r="G511" s="95">
        <v>3</v>
      </c>
      <c r="H511" s="202"/>
      <c r="I511" s="187"/>
      <c r="AQ511" s="4"/>
    </row>
    <row r="512" spans="1:43" ht="15">
      <c r="A512" s="56" t="s">
        <v>878</v>
      </c>
      <c r="B512" s="43"/>
      <c r="C512" s="115" t="s">
        <v>667</v>
      </c>
      <c r="D512" s="50" t="s">
        <v>177</v>
      </c>
      <c r="E512" s="46"/>
      <c r="F512" s="47">
        <f>0.255*15*1</f>
        <v>3.825</v>
      </c>
      <c r="G512" s="95">
        <v>1</v>
      </c>
      <c r="H512" s="202"/>
      <c r="I512" s="187"/>
      <c r="AQ512" s="4"/>
    </row>
    <row r="513" spans="1:43" ht="15">
      <c r="A513" s="56" t="s">
        <v>879</v>
      </c>
      <c r="B513" s="43"/>
      <c r="C513" s="115" t="s">
        <v>665</v>
      </c>
      <c r="D513" s="50" t="s">
        <v>195</v>
      </c>
      <c r="E513" s="46"/>
      <c r="F513" s="47">
        <f>0.255*18*1</f>
        <v>4.59</v>
      </c>
      <c r="G513" s="95">
        <v>1</v>
      </c>
      <c r="H513" s="202"/>
      <c r="I513" s="187"/>
      <c r="AQ513" s="4"/>
    </row>
    <row r="514" spans="1:43" ht="15">
      <c r="A514" s="56" t="s">
        <v>880</v>
      </c>
      <c r="B514" s="43"/>
      <c r="C514" s="115" t="s">
        <v>664</v>
      </c>
      <c r="D514" s="50" t="s">
        <v>195</v>
      </c>
      <c r="E514" s="46"/>
      <c r="F514" s="47">
        <f>0.255*18*1</f>
        <v>4.59</v>
      </c>
      <c r="G514" s="95">
        <v>1</v>
      </c>
      <c r="H514" s="202"/>
      <c r="I514" s="187"/>
      <c r="AQ514" s="4"/>
    </row>
    <row r="515" spans="1:43" ht="15">
      <c r="A515" s="56" t="s">
        <v>881</v>
      </c>
      <c r="B515" s="43"/>
      <c r="C515" s="115" t="s">
        <v>663</v>
      </c>
      <c r="D515" s="50" t="s">
        <v>841</v>
      </c>
      <c r="E515" s="46"/>
      <c r="F515" s="47">
        <f>0.255*10*2</f>
        <v>5.1</v>
      </c>
      <c r="G515" s="95">
        <v>2</v>
      </c>
      <c r="H515" s="202"/>
      <c r="I515" s="187"/>
      <c r="AQ515" s="4"/>
    </row>
    <row r="516" spans="1:43" ht="15">
      <c r="A516" s="56" t="s">
        <v>882</v>
      </c>
      <c r="B516" s="43"/>
      <c r="C516" s="115" t="s">
        <v>660</v>
      </c>
      <c r="D516" s="50" t="s">
        <v>644</v>
      </c>
      <c r="E516" s="46"/>
      <c r="F516" s="47">
        <f>0.255*10*1</f>
        <v>2.55</v>
      </c>
      <c r="G516" s="95">
        <v>1</v>
      </c>
      <c r="H516" s="202"/>
      <c r="I516" s="187"/>
      <c r="AQ516" s="4"/>
    </row>
    <row r="517" spans="1:43" ht="15">
      <c r="A517" s="56" t="s">
        <v>883</v>
      </c>
      <c r="B517" s="43"/>
      <c r="C517" s="81"/>
      <c r="D517" s="50"/>
      <c r="E517" s="46"/>
      <c r="F517" s="47"/>
      <c r="G517" s="95"/>
      <c r="H517" s="202"/>
      <c r="I517" s="187"/>
      <c r="AQ517" s="4"/>
    </row>
    <row r="518" spans="1:43" ht="15">
      <c r="A518" s="56" t="s">
        <v>884</v>
      </c>
      <c r="B518" s="43"/>
      <c r="C518" s="81"/>
      <c r="D518" s="104" t="s">
        <v>885</v>
      </c>
      <c r="E518" s="46"/>
      <c r="F518" s="47"/>
      <c r="G518" s="95"/>
      <c r="H518" s="202"/>
      <c r="I518" s="187"/>
      <c r="AQ518" s="4"/>
    </row>
    <row r="519" spans="1:43" ht="15">
      <c r="A519" s="56" t="s">
        <v>886</v>
      </c>
      <c r="B519" s="43"/>
      <c r="C519" s="81"/>
      <c r="D519" s="107" t="s">
        <v>887</v>
      </c>
      <c r="E519" s="46" t="s">
        <v>55</v>
      </c>
      <c r="F519" s="85">
        <f>SUM(F520:F546)</f>
        <v>70.655</v>
      </c>
      <c r="G519" s="95"/>
      <c r="H519" s="202"/>
      <c r="I519" s="187"/>
      <c r="AQ519" s="4"/>
    </row>
    <row r="520" spans="1:43" ht="15">
      <c r="A520" s="56" t="s">
        <v>888</v>
      </c>
      <c r="B520" s="43"/>
      <c r="C520" s="110" t="s">
        <v>163</v>
      </c>
      <c r="D520" s="108" t="s">
        <v>889</v>
      </c>
      <c r="E520" s="46"/>
      <c r="F520" s="47"/>
      <c r="G520" s="95"/>
      <c r="H520" s="202"/>
      <c r="I520" s="187"/>
      <c r="AQ520" s="4"/>
    </row>
    <row r="521" spans="1:43" ht="15">
      <c r="A521" s="56" t="s">
        <v>890</v>
      </c>
      <c r="B521" s="43"/>
      <c r="C521" s="115" t="s">
        <v>891</v>
      </c>
      <c r="D521" s="53" t="s">
        <v>220</v>
      </c>
      <c r="E521" s="46"/>
      <c r="F521" s="47">
        <f>0.255*20*1</f>
        <v>5.1</v>
      </c>
      <c r="G521" s="95">
        <v>1</v>
      </c>
      <c r="H521" s="202"/>
      <c r="I521" s="187"/>
      <c r="AQ521" s="4"/>
    </row>
    <row r="522" spans="1:43" ht="15">
      <c r="A522" s="56" t="s">
        <v>892</v>
      </c>
      <c r="B522" s="43"/>
      <c r="C522" s="115" t="s">
        <v>893</v>
      </c>
      <c r="D522" s="53" t="s">
        <v>217</v>
      </c>
      <c r="E522" s="46"/>
      <c r="F522" s="47">
        <f>0.255*14*1</f>
        <v>3.5700000000000003</v>
      </c>
      <c r="G522" s="95">
        <v>1</v>
      </c>
      <c r="H522" s="202"/>
      <c r="I522" s="187"/>
      <c r="AQ522" s="4"/>
    </row>
    <row r="523" spans="1:43" ht="15">
      <c r="A523" s="56" t="s">
        <v>894</v>
      </c>
      <c r="B523" s="43"/>
      <c r="C523" s="115" t="s">
        <v>895</v>
      </c>
      <c r="D523" s="53" t="s">
        <v>195</v>
      </c>
      <c r="E523" s="46"/>
      <c r="F523" s="47">
        <f>0.255*18*1</f>
        <v>4.59</v>
      </c>
      <c r="G523" s="95">
        <v>1</v>
      </c>
      <c r="H523" s="202"/>
      <c r="I523" s="187"/>
      <c r="AQ523" s="4"/>
    </row>
    <row r="524" spans="1:43" ht="15">
      <c r="A524" s="56" t="s">
        <v>896</v>
      </c>
      <c r="B524" s="43"/>
      <c r="C524" s="115" t="s">
        <v>784</v>
      </c>
      <c r="D524" s="53" t="s">
        <v>201</v>
      </c>
      <c r="E524" s="46"/>
      <c r="F524" s="47">
        <f>0.255*17*1</f>
        <v>4.335</v>
      </c>
      <c r="G524" s="95">
        <v>1</v>
      </c>
      <c r="H524" s="202"/>
      <c r="I524" s="187"/>
      <c r="AQ524" s="4"/>
    </row>
    <row r="525" spans="1:43" ht="15">
      <c r="A525" s="56" t="s">
        <v>897</v>
      </c>
      <c r="B525" s="43"/>
      <c r="C525" s="115" t="s">
        <v>744</v>
      </c>
      <c r="D525" s="53" t="s">
        <v>201</v>
      </c>
      <c r="E525" s="46"/>
      <c r="F525" s="47">
        <f>0.255*17*1</f>
        <v>4.335</v>
      </c>
      <c r="G525" s="95">
        <v>1</v>
      </c>
      <c r="H525" s="202"/>
      <c r="I525" s="187"/>
      <c r="AQ525" s="4"/>
    </row>
    <row r="526" spans="1:43" ht="15">
      <c r="A526" s="56" t="s">
        <v>898</v>
      </c>
      <c r="B526" s="43"/>
      <c r="C526" s="115" t="s">
        <v>850</v>
      </c>
      <c r="D526" s="53" t="s">
        <v>195</v>
      </c>
      <c r="E526" s="46"/>
      <c r="F526" s="47">
        <f>0.255*18*1</f>
        <v>4.59</v>
      </c>
      <c r="G526" s="95">
        <v>1</v>
      </c>
      <c r="H526" s="202"/>
      <c r="I526" s="187"/>
      <c r="AQ526" s="4"/>
    </row>
    <row r="527" spans="1:43" ht="15">
      <c r="A527" s="56" t="s">
        <v>899</v>
      </c>
      <c r="B527" s="43"/>
      <c r="C527" s="115" t="s">
        <v>900</v>
      </c>
      <c r="D527" s="50" t="s">
        <v>901</v>
      </c>
      <c r="E527" s="46"/>
      <c r="F527" s="47"/>
      <c r="G527" s="95"/>
      <c r="H527" s="202"/>
      <c r="I527" s="187"/>
      <c r="AQ527" s="4"/>
    </row>
    <row r="528" spans="1:43" ht="15">
      <c r="A528" s="56" t="s">
        <v>902</v>
      </c>
      <c r="B528" s="43"/>
      <c r="C528" s="115" t="s">
        <v>891</v>
      </c>
      <c r="D528" s="50" t="s">
        <v>901</v>
      </c>
      <c r="E528" s="46"/>
      <c r="F528" s="47"/>
      <c r="G528" s="95"/>
      <c r="H528" s="202"/>
      <c r="I528" s="187"/>
      <c r="AQ528" s="4"/>
    </row>
    <row r="529" spans="1:43" ht="15">
      <c r="A529" s="56" t="s">
        <v>903</v>
      </c>
      <c r="B529" s="43"/>
      <c r="C529" s="81"/>
      <c r="D529" s="50"/>
      <c r="E529" s="46"/>
      <c r="F529" s="47"/>
      <c r="G529" s="95"/>
      <c r="H529" s="202"/>
      <c r="I529" s="187"/>
      <c r="AQ529" s="4"/>
    </row>
    <row r="530" spans="1:43" ht="15">
      <c r="A530" s="56" t="s">
        <v>904</v>
      </c>
      <c r="B530" s="43"/>
      <c r="C530" s="110" t="s">
        <v>163</v>
      </c>
      <c r="D530" s="117" t="s">
        <v>905</v>
      </c>
      <c r="E530" s="46"/>
      <c r="F530" s="85"/>
      <c r="G530" s="95"/>
      <c r="H530" s="202"/>
      <c r="I530" s="187"/>
      <c r="AQ530" s="4"/>
    </row>
    <row r="531" spans="1:43" ht="15">
      <c r="A531" s="56" t="s">
        <v>906</v>
      </c>
      <c r="B531" s="43"/>
      <c r="C531" s="115" t="s">
        <v>907</v>
      </c>
      <c r="D531" s="50" t="s">
        <v>295</v>
      </c>
      <c r="E531" s="46"/>
      <c r="F531" s="47">
        <f>0.205*10*1</f>
        <v>2.05</v>
      </c>
      <c r="G531" s="95">
        <v>1</v>
      </c>
      <c r="H531" s="202"/>
      <c r="I531" s="187"/>
      <c r="AQ531" s="4"/>
    </row>
    <row r="532" spans="1:43" ht="15">
      <c r="A532" s="56" t="s">
        <v>908</v>
      </c>
      <c r="B532" s="43"/>
      <c r="C532" s="115" t="s">
        <v>909</v>
      </c>
      <c r="D532" s="50" t="s">
        <v>295</v>
      </c>
      <c r="E532" s="46"/>
      <c r="F532" s="47">
        <f>0.205*10*1</f>
        <v>2.05</v>
      </c>
      <c r="G532" s="95">
        <v>1</v>
      </c>
      <c r="H532" s="202"/>
      <c r="I532" s="187"/>
      <c r="AQ532" s="4"/>
    </row>
    <row r="533" spans="1:43" ht="15">
      <c r="A533" s="56" t="s">
        <v>910</v>
      </c>
      <c r="B533" s="43"/>
      <c r="C533" s="115" t="s">
        <v>911</v>
      </c>
      <c r="D533" s="53" t="s">
        <v>808</v>
      </c>
      <c r="E533" s="46"/>
      <c r="F533" s="47">
        <f>0.255*12*1</f>
        <v>3.06</v>
      </c>
      <c r="G533" s="95">
        <v>1</v>
      </c>
      <c r="H533" s="202"/>
      <c r="I533" s="187"/>
      <c r="AQ533" s="4"/>
    </row>
    <row r="534" spans="1:43" ht="15">
      <c r="A534" s="56" t="s">
        <v>912</v>
      </c>
      <c r="B534" s="43"/>
      <c r="C534" s="115" t="s">
        <v>911</v>
      </c>
      <c r="D534" s="53" t="s">
        <v>913</v>
      </c>
      <c r="E534" s="46"/>
      <c r="F534" s="47">
        <f>0.255*17*2</f>
        <v>8.67</v>
      </c>
      <c r="G534" s="95">
        <v>2</v>
      </c>
      <c r="H534" s="202"/>
      <c r="I534" s="187"/>
      <c r="AQ534" s="4"/>
    </row>
    <row r="535" spans="1:43" ht="15">
      <c r="A535" s="56" t="s">
        <v>914</v>
      </c>
      <c r="B535" s="43"/>
      <c r="C535" s="115" t="s">
        <v>911</v>
      </c>
      <c r="D535" s="53" t="s">
        <v>915</v>
      </c>
      <c r="E535" s="46"/>
      <c r="F535" s="47">
        <f>0.255*12*1</f>
        <v>3.06</v>
      </c>
      <c r="G535" s="95">
        <v>1</v>
      </c>
      <c r="H535" s="202"/>
      <c r="I535" s="187"/>
      <c r="AQ535" s="4"/>
    </row>
    <row r="536" spans="1:43" ht="15">
      <c r="A536" s="56" t="s">
        <v>916</v>
      </c>
      <c r="B536" s="43"/>
      <c r="C536" s="115" t="s">
        <v>917</v>
      </c>
      <c r="D536" s="53" t="s">
        <v>915</v>
      </c>
      <c r="E536" s="46"/>
      <c r="F536" s="47">
        <f>0.255*12*1</f>
        <v>3.06</v>
      </c>
      <c r="G536" s="95">
        <v>1</v>
      </c>
      <c r="H536" s="202"/>
      <c r="I536" s="187"/>
      <c r="AQ536" s="4"/>
    </row>
    <row r="537" spans="1:43" ht="15">
      <c r="A537" s="56" t="s">
        <v>918</v>
      </c>
      <c r="B537" s="43"/>
      <c r="C537" s="115" t="s">
        <v>919</v>
      </c>
      <c r="D537" s="53" t="s">
        <v>915</v>
      </c>
      <c r="E537" s="46"/>
      <c r="F537" s="47">
        <f>0.255*12*1</f>
        <v>3.06</v>
      </c>
      <c r="G537" s="95">
        <v>1</v>
      </c>
      <c r="H537" s="202"/>
      <c r="I537" s="187"/>
      <c r="AQ537" s="4"/>
    </row>
    <row r="538" spans="1:43" ht="15">
      <c r="A538" s="56" t="s">
        <v>920</v>
      </c>
      <c r="B538" s="43"/>
      <c r="C538" s="115" t="s">
        <v>911</v>
      </c>
      <c r="D538" s="53" t="s">
        <v>915</v>
      </c>
      <c r="E538" s="46"/>
      <c r="F538" s="47">
        <f>0.255*12*1</f>
        <v>3.06</v>
      </c>
      <c r="G538" s="95">
        <v>1</v>
      </c>
      <c r="H538" s="202"/>
      <c r="I538" s="187"/>
      <c r="AQ538" s="4"/>
    </row>
    <row r="539" spans="1:43" ht="15">
      <c r="A539" s="56" t="s">
        <v>921</v>
      </c>
      <c r="B539" s="43"/>
      <c r="C539" s="115" t="s">
        <v>922</v>
      </c>
      <c r="D539" s="53" t="s">
        <v>923</v>
      </c>
      <c r="E539" s="46"/>
      <c r="F539" s="47">
        <f>0.255*13*1</f>
        <v>3.315</v>
      </c>
      <c r="G539" s="95">
        <v>1</v>
      </c>
      <c r="H539" s="202"/>
      <c r="I539" s="187"/>
      <c r="AQ539" s="4"/>
    </row>
    <row r="540" spans="1:43" ht="15">
      <c r="A540" s="56" t="s">
        <v>924</v>
      </c>
      <c r="B540" s="43"/>
      <c r="C540" s="115" t="s">
        <v>919</v>
      </c>
      <c r="D540" s="53" t="s">
        <v>915</v>
      </c>
      <c r="E540" s="46"/>
      <c r="F540" s="47">
        <f aca="true" t="shared" si="16" ref="F540:F541">0.255*12*1</f>
        <v>3.06</v>
      </c>
      <c r="G540" s="95">
        <v>1</v>
      </c>
      <c r="H540" s="202"/>
      <c r="I540" s="187"/>
      <c r="AQ540" s="4"/>
    </row>
    <row r="541" spans="1:43" ht="15">
      <c r="A541" s="56" t="s">
        <v>925</v>
      </c>
      <c r="B541" s="43"/>
      <c r="C541" s="115" t="s">
        <v>909</v>
      </c>
      <c r="D541" s="53" t="s">
        <v>915</v>
      </c>
      <c r="E541" s="46"/>
      <c r="F541" s="47">
        <f t="shared" si="16"/>
        <v>3.06</v>
      </c>
      <c r="G541" s="95">
        <v>1</v>
      </c>
      <c r="H541" s="202"/>
      <c r="I541" s="187"/>
      <c r="AQ541" s="4"/>
    </row>
    <row r="542" spans="1:43" ht="15">
      <c r="A542" s="56" t="s">
        <v>926</v>
      </c>
      <c r="B542" s="43"/>
      <c r="C542" s="115" t="s">
        <v>927</v>
      </c>
      <c r="D542" s="53" t="s">
        <v>915</v>
      </c>
      <c r="E542" s="46"/>
      <c r="F542" s="47">
        <f>0.255*12*1</f>
        <v>3.06</v>
      </c>
      <c r="G542" s="95">
        <v>1</v>
      </c>
      <c r="H542" s="202"/>
      <c r="I542" s="187"/>
      <c r="AQ542" s="4"/>
    </row>
    <row r="543" spans="1:43" ht="15">
      <c r="A543" s="56" t="s">
        <v>928</v>
      </c>
      <c r="B543" s="43"/>
      <c r="C543" s="115" t="s">
        <v>331</v>
      </c>
      <c r="D543" s="50" t="s">
        <v>929</v>
      </c>
      <c r="E543" s="46"/>
      <c r="F543" s="47"/>
      <c r="G543" s="95"/>
      <c r="H543" s="202"/>
      <c r="I543" s="187"/>
      <c r="AQ543" s="4"/>
    </row>
    <row r="544" spans="1:43" ht="15">
      <c r="A544" s="56" t="s">
        <v>930</v>
      </c>
      <c r="B544" s="43"/>
      <c r="C544" s="115" t="s">
        <v>891</v>
      </c>
      <c r="D544" s="50" t="s">
        <v>929</v>
      </c>
      <c r="E544" s="46"/>
      <c r="F544" s="47"/>
      <c r="G544" s="95"/>
      <c r="H544" s="202"/>
      <c r="I544" s="187"/>
      <c r="AQ544" s="4"/>
    </row>
    <row r="545" spans="1:43" ht="15">
      <c r="A545" s="56" t="s">
        <v>931</v>
      </c>
      <c r="B545" s="43"/>
      <c r="C545" s="115" t="s">
        <v>891</v>
      </c>
      <c r="D545" s="50" t="s">
        <v>932</v>
      </c>
      <c r="E545" s="46"/>
      <c r="F545" s="47"/>
      <c r="G545" s="95"/>
      <c r="H545" s="202"/>
      <c r="I545" s="187"/>
      <c r="AQ545" s="4"/>
    </row>
    <row r="546" spans="1:43" ht="15">
      <c r="A546" s="56" t="s">
        <v>933</v>
      </c>
      <c r="B546" s="43"/>
      <c r="C546" s="115" t="s">
        <v>643</v>
      </c>
      <c r="D546" s="53" t="s">
        <v>934</v>
      </c>
      <c r="E546" s="46"/>
      <c r="F546" s="47">
        <f>0.255*14*1</f>
        <v>3.5700000000000003</v>
      </c>
      <c r="G546" s="95">
        <v>1</v>
      </c>
      <c r="H546" s="202"/>
      <c r="I546" s="187"/>
      <c r="AQ546" s="4"/>
    </row>
    <row r="547" spans="1:43" ht="15">
      <c r="A547" s="56" t="s">
        <v>935</v>
      </c>
      <c r="B547" s="43"/>
      <c r="C547" s="110"/>
      <c r="D547" s="53"/>
      <c r="E547" s="46"/>
      <c r="F547" s="47"/>
      <c r="G547" s="105"/>
      <c r="H547" s="202"/>
      <c r="I547" s="187"/>
      <c r="AQ547" s="4"/>
    </row>
    <row r="548" spans="1:43" ht="36">
      <c r="A548" s="56" t="s">
        <v>936</v>
      </c>
      <c r="B548" s="43" t="s">
        <v>937</v>
      </c>
      <c r="C548" s="110"/>
      <c r="D548" s="53" t="s">
        <v>938</v>
      </c>
      <c r="E548" s="46" t="s">
        <v>55</v>
      </c>
      <c r="F548" s="78">
        <f>0.255*10*1</f>
        <v>2.55</v>
      </c>
      <c r="G548" s="220"/>
      <c r="H548" s="196">
        <f>ROUND((F548*G548),2)</f>
        <v>0</v>
      </c>
      <c r="I548" s="187"/>
      <c r="AQ548" s="4"/>
    </row>
    <row r="549" spans="1:43" ht="15">
      <c r="A549" s="56" t="s">
        <v>939</v>
      </c>
      <c r="B549" s="43" t="s">
        <v>940</v>
      </c>
      <c r="C549" s="110"/>
      <c r="D549" s="53" t="s">
        <v>941</v>
      </c>
      <c r="E549" s="46" t="s">
        <v>80</v>
      </c>
      <c r="F549" s="118">
        <v>2</v>
      </c>
      <c r="G549" s="220"/>
      <c r="H549" s="196">
        <f aca="true" t="shared" si="17" ref="H549">ROUND((F549*G549),2)</f>
        <v>0</v>
      </c>
      <c r="I549" s="187"/>
      <c r="AQ549" s="4"/>
    </row>
    <row r="550" spans="1:43" ht="15">
      <c r="A550" s="56" t="s">
        <v>942</v>
      </c>
      <c r="B550" s="43"/>
      <c r="C550" s="81"/>
      <c r="D550" s="50"/>
      <c r="E550" s="46"/>
      <c r="F550" s="78"/>
      <c r="G550" s="228"/>
      <c r="H550" s="202"/>
      <c r="I550" s="187"/>
      <c r="AQ550" s="4"/>
    </row>
    <row r="551" spans="1:43" ht="15">
      <c r="A551" s="56" t="s">
        <v>943</v>
      </c>
      <c r="B551" s="43"/>
      <c r="C551" s="44"/>
      <c r="D551" s="53"/>
      <c r="E551" s="46"/>
      <c r="F551" s="78"/>
      <c r="G551" s="228"/>
      <c r="H551" s="202"/>
      <c r="J551" s="14"/>
      <c r="AQ551" s="4"/>
    </row>
    <row r="552" spans="1:10" ht="15">
      <c r="A552" s="56" t="s">
        <v>944</v>
      </c>
      <c r="B552" s="35" t="s">
        <v>945</v>
      </c>
      <c r="D552" s="37" t="s">
        <v>946</v>
      </c>
      <c r="E552" s="119" t="s">
        <v>947</v>
      </c>
      <c r="F552" s="40" t="s">
        <v>48</v>
      </c>
      <c r="H552" s="206">
        <f>SUM(H553:H700)</f>
        <v>0</v>
      </c>
      <c r="I552" s="187"/>
      <c r="J552" s="14"/>
    </row>
    <row r="553" spans="1:10" ht="15">
      <c r="A553" s="56" t="s">
        <v>948</v>
      </c>
      <c r="B553" s="35" t="s">
        <v>949</v>
      </c>
      <c r="D553" s="37" t="s">
        <v>950</v>
      </c>
      <c r="E553" s="119"/>
      <c r="F553" s="120"/>
      <c r="G553" s="229"/>
      <c r="H553" s="207"/>
      <c r="I553" s="187"/>
      <c r="J553" s="14"/>
    </row>
    <row r="554" spans="1:10" ht="15">
      <c r="A554" s="56" t="s">
        <v>951</v>
      </c>
      <c r="D554" s="73"/>
      <c r="E554" s="121"/>
      <c r="F554" s="122"/>
      <c r="G554" s="230"/>
      <c r="H554" s="208"/>
      <c r="I554" s="187"/>
      <c r="J554" s="15"/>
    </row>
    <row r="555" spans="1:10" ht="15">
      <c r="A555" s="56" t="s">
        <v>952</v>
      </c>
      <c r="D555" s="123" t="s">
        <v>953</v>
      </c>
      <c r="E555" s="119"/>
      <c r="F555" s="120"/>
      <c r="G555" s="229"/>
      <c r="H555" s="207"/>
      <c r="I555" s="187"/>
      <c r="J555" s="15"/>
    </row>
    <row r="556" spans="1:10" ht="24">
      <c r="A556" s="56" t="s">
        <v>954</v>
      </c>
      <c r="B556" s="35">
        <v>735110911</v>
      </c>
      <c r="D556" s="73" t="s">
        <v>955</v>
      </c>
      <c r="E556" s="121" t="s">
        <v>80</v>
      </c>
      <c r="F556" s="122">
        <f>410*4</f>
        <v>1640</v>
      </c>
      <c r="G556" s="230"/>
      <c r="H556" s="196">
        <f>F556*G556</f>
        <v>0</v>
      </c>
      <c r="I556" s="187"/>
      <c r="J556" s="15"/>
    </row>
    <row r="557" spans="1:10" ht="24">
      <c r="A557" s="56" t="s">
        <v>956</v>
      </c>
      <c r="B557" s="35">
        <v>735110912</v>
      </c>
      <c r="D557" s="73" t="s">
        <v>957</v>
      </c>
      <c r="E557" s="121" t="s">
        <v>80</v>
      </c>
      <c r="F557" s="39">
        <v>82</v>
      </c>
      <c r="G557" s="230"/>
      <c r="H557" s="196">
        <f aca="true" t="shared" si="18" ref="H557:H562">F557*G557</f>
        <v>0</v>
      </c>
      <c r="I557" s="187"/>
      <c r="J557" s="15"/>
    </row>
    <row r="558" spans="1:10" ht="15">
      <c r="A558" s="56" t="s">
        <v>958</v>
      </c>
      <c r="B558" s="35">
        <v>735110914</v>
      </c>
      <c r="D558" s="73" t="s">
        <v>959</v>
      </c>
      <c r="E558" s="121" t="s">
        <v>80</v>
      </c>
      <c r="F558" s="39">
        <v>82</v>
      </c>
      <c r="G558" s="230"/>
      <c r="H558" s="196">
        <f t="shared" si="18"/>
        <v>0</v>
      </c>
      <c r="I558" s="187"/>
      <c r="J558" s="15"/>
    </row>
    <row r="559" spans="1:10" ht="24">
      <c r="A559" s="56" t="s">
        <v>960</v>
      </c>
      <c r="B559" s="35">
        <v>735191905</v>
      </c>
      <c r="D559" s="73" t="s">
        <v>961</v>
      </c>
      <c r="E559" s="121" t="s">
        <v>80</v>
      </c>
      <c r="F559" s="120">
        <v>504</v>
      </c>
      <c r="G559" s="230"/>
      <c r="H559" s="196">
        <f t="shared" si="18"/>
        <v>0</v>
      </c>
      <c r="I559" s="187"/>
      <c r="J559" s="3"/>
    </row>
    <row r="560" spans="1:10" ht="24">
      <c r="A560" s="56" t="s">
        <v>962</v>
      </c>
      <c r="B560" s="35" t="s">
        <v>963</v>
      </c>
      <c r="D560" s="73" t="s">
        <v>964</v>
      </c>
      <c r="E560" s="121" t="s">
        <v>965</v>
      </c>
      <c r="F560" s="39">
        <f>410*0.1*2</f>
        <v>82</v>
      </c>
      <c r="G560" s="230"/>
      <c r="H560" s="196">
        <f t="shared" si="18"/>
        <v>0</v>
      </c>
      <c r="I560" s="187"/>
      <c r="J560" s="3"/>
    </row>
    <row r="561" spans="1:10" ht="24">
      <c r="A561" s="56" t="s">
        <v>966</v>
      </c>
      <c r="B561" s="35" t="s">
        <v>967</v>
      </c>
      <c r="D561" s="73" t="s">
        <v>968</v>
      </c>
      <c r="E561" s="121" t="s">
        <v>55</v>
      </c>
      <c r="F561" s="124">
        <v>3</v>
      </c>
      <c r="G561" s="231"/>
      <c r="H561" s="196">
        <f t="shared" si="18"/>
        <v>0</v>
      </c>
      <c r="I561" s="187"/>
      <c r="J561" s="15"/>
    </row>
    <row r="562" spans="1:10" ht="24">
      <c r="A562" s="56" t="s">
        <v>969</v>
      </c>
      <c r="B562" s="35">
        <v>998735203</v>
      </c>
      <c r="D562" s="73" t="s">
        <v>970</v>
      </c>
      <c r="E562" s="121" t="s">
        <v>947</v>
      </c>
      <c r="F562" s="125">
        <v>0.0239</v>
      </c>
      <c r="H562" s="196">
        <f t="shared" si="18"/>
        <v>0</v>
      </c>
      <c r="I562" s="187"/>
      <c r="J562" s="15"/>
    </row>
    <row r="563" spans="1:10" ht="15">
      <c r="A563" s="56" t="s">
        <v>971</v>
      </c>
      <c r="B563" s="126"/>
      <c r="D563" s="127"/>
      <c r="E563" s="121"/>
      <c r="F563" s="120"/>
      <c r="G563" s="231"/>
      <c r="H563" s="209"/>
      <c r="I563" s="187"/>
      <c r="J563" s="15"/>
    </row>
    <row r="564" spans="1:10" ht="15">
      <c r="A564" s="56" t="s">
        <v>972</v>
      </c>
      <c r="B564" s="126" t="s">
        <v>973</v>
      </c>
      <c r="D564" s="128" t="s">
        <v>974</v>
      </c>
      <c r="E564" s="119"/>
      <c r="F564" s="120"/>
      <c r="G564" s="231"/>
      <c r="H564" s="209"/>
      <c r="I564" s="187"/>
      <c r="J564" s="15"/>
    </row>
    <row r="565" spans="1:10" ht="24">
      <c r="A565" s="56" t="s">
        <v>975</v>
      </c>
      <c r="B565" s="126" t="s">
        <v>976</v>
      </c>
      <c r="D565" s="129" t="s">
        <v>977</v>
      </c>
      <c r="E565" s="38" t="s">
        <v>965</v>
      </c>
      <c r="F565" s="120">
        <v>12</v>
      </c>
      <c r="G565" s="232"/>
      <c r="H565" s="196">
        <f aca="true" t="shared" si="19" ref="H565:H577">ROUND((F565*G565),2)</f>
        <v>0</v>
      </c>
      <c r="I565" s="187"/>
      <c r="J565" s="15"/>
    </row>
    <row r="566" spans="1:10" ht="24">
      <c r="A566" s="56" t="s">
        <v>978</v>
      </c>
      <c r="B566" s="126" t="s">
        <v>976</v>
      </c>
      <c r="D566" s="129" t="s">
        <v>979</v>
      </c>
      <c r="E566" s="38" t="s">
        <v>965</v>
      </c>
      <c r="F566" s="120">
        <v>12</v>
      </c>
      <c r="G566" s="232"/>
      <c r="H566" s="196">
        <f t="shared" si="19"/>
        <v>0</v>
      </c>
      <c r="I566" s="187"/>
      <c r="J566" s="15"/>
    </row>
    <row r="567" spans="1:10" ht="24">
      <c r="A567" s="56" t="s">
        <v>980</v>
      </c>
      <c r="B567" s="126" t="s">
        <v>981</v>
      </c>
      <c r="D567" s="129" t="s">
        <v>982</v>
      </c>
      <c r="E567" s="38" t="s">
        <v>965</v>
      </c>
      <c r="F567" s="120">
        <v>6</v>
      </c>
      <c r="G567" s="232"/>
      <c r="H567" s="196">
        <f t="shared" si="19"/>
        <v>0</v>
      </c>
      <c r="I567" s="187"/>
      <c r="J567" s="15"/>
    </row>
    <row r="568" spans="1:10" ht="24">
      <c r="A568" s="56" t="s">
        <v>983</v>
      </c>
      <c r="B568" s="126" t="s">
        <v>981</v>
      </c>
      <c r="D568" s="129" t="s">
        <v>984</v>
      </c>
      <c r="E568" s="38" t="s">
        <v>965</v>
      </c>
      <c r="F568" s="120">
        <v>6</v>
      </c>
      <c r="G568" s="232"/>
      <c r="H568" s="196">
        <f t="shared" si="19"/>
        <v>0</v>
      </c>
      <c r="I568" s="187"/>
      <c r="J568" s="15"/>
    </row>
    <row r="569" spans="1:10" ht="24">
      <c r="A569" s="56" t="s">
        <v>985</v>
      </c>
      <c r="B569" s="126" t="s">
        <v>981</v>
      </c>
      <c r="D569" s="129" t="s">
        <v>986</v>
      </c>
      <c r="E569" s="38" t="s">
        <v>965</v>
      </c>
      <c r="F569" s="120">
        <v>6</v>
      </c>
      <c r="G569" s="232"/>
      <c r="H569" s="196">
        <f t="shared" si="19"/>
        <v>0</v>
      </c>
      <c r="I569" s="187"/>
      <c r="J569" s="15"/>
    </row>
    <row r="570" spans="1:10" ht="24">
      <c r="A570" s="56" t="s">
        <v>987</v>
      </c>
      <c r="B570" s="126" t="s">
        <v>988</v>
      </c>
      <c r="D570" s="129" t="s">
        <v>977</v>
      </c>
      <c r="E570" s="38" t="s">
        <v>965</v>
      </c>
      <c r="F570" s="120">
        <v>12</v>
      </c>
      <c r="G570" s="231"/>
      <c r="H570" s="196">
        <f t="shared" si="19"/>
        <v>0</v>
      </c>
      <c r="I570" s="187"/>
      <c r="J570" s="15"/>
    </row>
    <row r="571" spans="1:10" ht="24">
      <c r="A571" s="56" t="s">
        <v>989</v>
      </c>
      <c r="B571" s="126" t="s">
        <v>990</v>
      </c>
      <c r="D571" s="129" t="s">
        <v>979</v>
      </c>
      <c r="E571" s="38" t="s">
        <v>965</v>
      </c>
      <c r="F571" s="120">
        <v>12</v>
      </c>
      <c r="G571" s="231"/>
      <c r="H571" s="196">
        <f t="shared" si="19"/>
        <v>0</v>
      </c>
      <c r="I571" s="187"/>
      <c r="J571" s="15"/>
    </row>
    <row r="572" spans="1:10" ht="24">
      <c r="A572" s="56" t="s">
        <v>991</v>
      </c>
      <c r="B572" s="126" t="s">
        <v>992</v>
      </c>
      <c r="D572" s="129" t="s">
        <v>982</v>
      </c>
      <c r="E572" s="38" t="s">
        <v>965</v>
      </c>
      <c r="F572" s="120">
        <v>6</v>
      </c>
      <c r="G572" s="231"/>
      <c r="H572" s="196">
        <f t="shared" si="19"/>
        <v>0</v>
      </c>
      <c r="I572" s="187"/>
      <c r="J572" s="15"/>
    </row>
    <row r="573" spans="1:10" ht="24">
      <c r="A573" s="56" t="s">
        <v>993</v>
      </c>
      <c r="B573" s="126" t="s">
        <v>994</v>
      </c>
      <c r="D573" s="129" t="s">
        <v>984</v>
      </c>
      <c r="E573" s="38" t="s">
        <v>965</v>
      </c>
      <c r="F573" s="120">
        <v>6</v>
      </c>
      <c r="G573" s="231"/>
      <c r="H573" s="196">
        <f t="shared" si="19"/>
        <v>0</v>
      </c>
      <c r="I573" s="187"/>
      <c r="J573" s="15"/>
    </row>
    <row r="574" spans="1:10" ht="24">
      <c r="A574" s="56" t="s">
        <v>995</v>
      </c>
      <c r="B574" s="126" t="s">
        <v>996</v>
      </c>
      <c r="D574" s="129" t="s">
        <v>986</v>
      </c>
      <c r="E574" s="38" t="s">
        <v>965</v>
      </c>
      <c r="F574" s="120">
        <v>6</v>
      </c>
      <c r="G574" s="231"/>
      <c r="H574" s="196">
        <f t="shared" si="19"/>
        <v>0</v>
      </c>
      <c r="I574" s="187"/>
      <c r="J574" s="15"/>
    </row>
    <row r="575" spans="1:10" ht="15">
      <c r="A575" s="56" t="s">
        <v>997</v>
      </c>
      <c r="B575" s="126" t="s">
        <v>998</v>
      </c>
      <c r="D575" s="130" t="s">
        <v>999</v>
      </c>
      <c r="E575" s="38" t="s">
        <v>965</v>
      </c>
      <c r="F575" s="120">
        <f>SUM(F570:F574)</f>
        <v>42</v>
      </c>
      <c r="G575" s="231"/>
      <c r="H575" s="196">
        <f t="shared" si="19"/>
        <v>0</v>
      </c>
      <c r="I575" s="187"/>
      <c r="J575" s="15"/>
    </row>
    <row r="576" spans="1:10" ht="24">
      <c r="A576" s="56" t="s">
        <v>1000</v>
      </c>
      <c r="B576" s="126" t="s">
        <v>1001</v>
      </c>
      <c r="D576" s="129" t="s">
        <v>1002</v>
      </c>
      <c r="E576" s="121" t="s">
        <v>80</v>
      </c>
      <c r="F576" s="120">
        <f>410*2</f>
        <v>820</v>
      </c>
      <c r="G576" s="231"/>
      <c r="H576" s="196">
        <f t="shared" si="19"/>
        <v>0</v>
      </c>
      <c r="I576" s="187"/>
      <c r="J576" s="15"/>
    </row>
    <row r="577" spans="1:10" ht="24">
      <c r="A577" s="56" t="s">
        <v>1003</v>
      </c>
      <c r="B577" s="126" t="s">
        <v>1004</v>
      </c>
      <c r="D577" s="130" t="s">
        <v>1005</v>
      </c>
      <c r="E577" s="38" t="s">
        <v>9</v>
      </c>
      <c r="F577" s="131">
        <v>0.0367</v>
      </c>
      <c r="G577" s="230"/>
      <c r="H577" s="196">
        <f t="shared" si="19"/>
        <v>0</v>
      </c>
      <c r="I577" s="187"/>
      <c r="J577" s="15"/>
    </row>
    <row r="578" spans="1:10" ht="15">
      <c r="A578" s="56" t="s">
        <v>1006</v>
      </c>
      <c r="B578" s="126"/>
      <c r="D578" s="62"/>
      <c r="E578" s="119"/>
      <c r="F578" s="132"/>
      <c r="H578" s="208"/>
      <c r="I578" s="187"/>
      <c r="J578" s="15"/>
    </row>
    <row r="579" spans="1:10" ht="15">
      <c r="A579" s="56" t="s">
        <v>1007</v>
      </c>
      <c r="B579" s="126"/>
      <c r="D579" s="128" t="s">
        <v>1008</v>
      </c>
      <c r="E579" s="119" t="s">
        <v>947</v>
      </c>
      <c r="F579" s="120"/>
      <c r="H579" s="210"/>
      <c r="I579" s="187"/>
      <c r="J579" s="15"/>
    </row>
    <row r="580" spans="1:10" s="27" customFormat="1" ht="24">
      <c r="A580" s="56" t="s">
        <v>1009</v>
      </c>
      <c r="B580" s="126"/>
      <c r="C580" s="36"/>
      <c r="D580" s="133" t="s">
        <v>1010</v>
      </c>
      <c r="E580" s="134" t="s">
        <v>1011</v>
      </c>
      <c r="F580" s="135">
        <f>SUM(F582:F606)</f>
        <v>57</v>
      </c>
      <c r="G580" s="233"/>
      <c r="H580" s="211"/>
      <c r="I580" s="188"/>
      <c r="J580" s="31"/>
    </row>
    <row r="581" spans="1:10" ht="15">
      <c r="A581" s="56" t="s">
        <v>1012</v>
      </c>
      <c r="B581" s="126"/>
      <c r="D581" s="136" t="s">
        <v>1013</v>
      </c>
      <c r="E581" s="119"/>
      <c r="F581" s="137"/>
      <c r="H581" s="210"/>
      <c r="I581" s="187"/>
      <c r="J581" s="15"/>
    </row>
    <row r="582" spans="1:10" ht="15">
      <c r="A582" s="56" t="s">
        <v>1014</v>
      </c>
      <c r="B582" s="126" t="s">
        <v>976</v>
      </c>
      <c r="D582" s="128" t="s">
        <v>1015</v>
      </c>
      <c r="E582" s="119"/>
      <c r="F582" s="137">
        <v>9</v>
      </c>
      <c r="H582" s="196">
        <f aca="true" t="shared" si="20" ref="H582:H583">ROUND((F582*G582),2)</f>
        <v>0</v>
      </c>
      <c r="I582" s="187"/>
      <c r="J582" s="15"/>
    </row>
    <row r="583" spans="1:10" ht="15">
      <c r="A583" s="56" t="s">
        <v>1016</v>
      </c>
      <c r="B583" s="126" t="s">
        <v>976</v>
      </c>
      <c r="D583" s="128" t="s">
        <v>1017</v>
      </c>
      <c r="E583" s="119"/>
      <c r="F583" s="137">
        <v>1</v>
      </c>
      <c r="H583" s="196">
        <f t="shared" si="20"/>
        <v>0</v>
      </c>
      <c r="I583" s="187"/>
      <c r="J583" s="15"/>
    </row>
    <row r="584" spans="1:10" ht="15">
      <c r="A584" s="56" t="s">
        <v>1018</v>
      </c>
      <c r="B584" s="126"/>
      <c r="D584" s="128" t="s">
        <v>1019</v>
      </c>
      <c r="E584" s="119"/>
      <c r="F584" s="137"/>
      <c r="H584" s="208"/>
      <c r="I584" s="187"/>
      <c r="J584" s="15"/>
    </row>
    <row r="585" spans="1:10" ht="15">
      <c r="A585" s="56" t="s">
        <v>1020</v>
      </c>
      <c r="B585" s="126" t="s">
        <v>976</v>
      </c>
      <c r="D585" s="128" t="s">
        <v>1015</v>
      </c>
      <c r="E585" s="119"/>
      <c r="F585" s="137">
        <v>8</v>
      </c>
      <c r="H585" s="196">
        <f aca="true" t="shared" si="21" ref="H585:H586">ROUND((F585*G585),2)</f>
        <v>0</v>
      </c>
      <c r="I585" s="187"/>
      <c r="J585" s="15"/>
    </row>
    <row r="586" spans="1:10" ht="15">
      <c r="A586" s="56" t="s">
        <v>1021</v>
      </c>
      <c r="B586" s="126" t="s">
        <v>976</v>
      </c>
      <c r="D586" s="128" t="s">
        <v>1017</v>
      </c>
      <c r="E586" s="119"/>
      <c r="F586" s="137">
        <v>1</v>
      </c>
      <c r="H586" s="196">
        <f t="shared" si="21"/>
        <v>0</v>
      </c>
      <c r="I586" s="187"/>
      <c r="J586" s="15"/>
    </row>
    <row r="587" spans="1:10" ht="15">
      <c r="A587" s="56" t="s">
        <v>1022</v>
      </c>
      <c r="B587" s="126"/>
      <c r="D587" s="128" t="s">
        <v>1023</v>
      </c>
      <c r="E587" s="119"/>
      <c r="F587" s="137"/>
      <c r="H587" s="208"/>
      <c r="I587" s="187"/>
      <c r="J587" s="15"/>
    </row>
    <row r="588" spans="1:10" ht="15">
      <c r="A588" s="56" t="s">
        <v>1024</v>
      </c>
      <c r="B588" s="126" t="s">
        <v>976</v>
      </c>
      <c r="D588" s="128" t="s">
        <v>1025</v>
      </c>
      <c r="E588" s="119"/>
      <c r="F588" s="137">
        <v>3</v>
      </c>
      <c r="H588" s="196">
        <f aca="true" t="shared" si="22" ref="H588:H590">ROUND((F588*G588),2)</f>
        <v>0</v>
      </c>
      <c r="I588" s="187"/>
      <c r="J588" s="15"/>
    </row>
    <row r="589" spans="1:10" ht="15">
      <c r="A589" s="56" t="s">
        <v>1026</v>
      </c>
      <c r="B589" s="126" t="s">
        <v>976</v>
      </c>
      <c r="D589" s="128" t="s">
        <v>1027</v>
      </c>
      <c r="E589" s="119"/>
      <c r="F589" s="137">
        <v>3</v>
      </c>
      <c r="H589" s="196">
        <f t="shared" si="22"/>
        <v>0</v>
      </c>
      <c r="I589" s="187"/>
      <c r="J589" s="15"/>
    </row>
    <row r="590" spans="1:10" ht="15">
      <c r="A590" s="56" t="s">
        <v>1028</v>
      </c>
      <c r="B590" s="126" t="s">
        <v>976</v>
      </c>
      <c r="D590" s="128" t="s">
        <v>1015</v>
      </c>
      <c r="E590" s="119"/>
      <c r="F590" s="137">
        <v>1</v>
      </c>
      <c r="H590" s="196">
        <f t="shared" si="22"/>
        <v>0</v>
      </c>
      <c r="I590" s="187"/>
      <c r="J590" s="15"/>
    </row>
    <row r="591" spans="1:10" ht="15">
      <c r="A591" s="56" t="s">
        <v>1029</v>
      </c>
      <c r="B591" s="126"/>
      <c r="D591" s="128" t="s">
        <v>1030</v>
      </c>
      <c r="E591" s="119"/>
      <c r="F591" s="137"/>
      <c r="H591" s="208"/>
      <c r="I591" s="187"/>
      <c r="J591" s="15"/>
    </row>
    <row r="592" spans="1:10" ht="15">
      <c r="A592" s="56" t="s">
        <v>1031</v>
      </c>
      <c r="B592" s="126" t="s">
        <v>976</v>
      </c>
      <c r="D592" s="128" t="s">
        <v>1025</v>
      </c>
      <c r="E592" s="119"/>
      <c r="F592" s="137">
        <v>11</v>
      </c>
      <c r="H592" s="196">
        <f aca="true" t="shared" si="23" ref="H592:H593">ROUND((F592*G592),2)</f>
        <v>0</v>
      </c>
      <c r="I592" s="187"/>
      <c r="J592" s="15"/>
    </row>
    <row r="593" spans="1:10" ht="15">
      <c r="A593" s="56" t="s">
        <v>1032</v>
      </c>
      <c r="B593" s="126" t="s">
        <v>976</v>
      </c>
      <c r="D593" s="128" t="s">
        <v>1027</v>
      </c>
      <c r="E593" s="119"/>
      <c r="F593" s="137">
        <v>1</v>
      </c>
      <c r="H593" s="196">
        <f t="shared" si="23"/>
        <v>0</v>
      </c>
      <c r="I593" s="187"/>
      <c r="J593" s="15"/>
    </row>
    <row r="594" spans="1:10" ht="15">
      <c r="A594" s="56" t="s">
        <v>1033</v>
      </c>
      <c r="B594" s="126"/>
      <c r="D594" s="128" t="s">
        <v>1034</v>
      </c>
      <c r="E594" s="119"/>
      <c r="F594" s="137"/>
      <c r="H594" s="208"/>
      <c r="I594" s="187"/>
      <c r="J594" s="15"/>
    </row>
    <row r="595" spans="1:10" ht="15">
      <c r="A595" s="56" t="s">
        <v>1035</v>
      </c>
      <c r="B595" s="126" t="s">
        <v>976</v>
      </c>
      <c r="D595" s="128" t="s">
        <v>1015</v>
      </c>
      <c r="E595" s="119"/>
      <c r="F595" s="137">
        <v>2</v>
      </c>
      <c r="H595" s="196">
        <f aca="true" t="shared" si="24" ref="H595:H596">ROUND((F595*G595),2)</f>
        <v>0</v>
      </c>
      <c r="I595" s="187"/>
      <c r="J595" s="15"/>
    </row>
    <row r="596" spans="1:10" ht="15">
      <c r="A596" s="56" t="s">
        <v>1036</v>
      </c>
      <c r="B596" s="126" t="s">
        <v>976</v>
      </c>
      <c r="D596" s="128" t="s">
        <v>1017</v>
      </c>
      <c r="E596" s="119"/>
      <c r="F596" s="138">
        <v>1</v>
      </c>
      <c r="H596" s="196">
        <f t="shared" si="24"/>
        <v>0</v>
      </c>
      <c r="I596" s="187"/>
      <c r="J596" s="15"/>
    </row>
    <row r="597" spans="1:10" ht="15">
      <c r="A597" s="56" t="s">
        <v>1037</v>
      </c>
      <c r="B597" s="126"/>
      <c r="D597" s="128" t="s">
        <v>1038</v>
      </c>
      <c r="E597" s="119"/>
      <c r="F597" s="137"/>
      <c r="H597" s="208"/>
      <c r="I597" s="187"/>
      <c r="J597" s="15"/>
    </row>
    <row r="598" spans="1:10" ht="15">
      <c r="A598" s="56" t="s">
        <v>1039</v>
      </c>
      <c r="B598" s="126" t="s">
        <v>976</v>
      </c>
      <c r="D598" s="128" t="s">
        <v>1025</v>
      </c>
      <c r="E598" s="119"/>
      <c r="F598" s="137">
        <v>7</v>
      </c>
      <c r="H598" s="196">
        <f aca="true" t="shared" si="25" ref="H598:H599">ROUND((F598*G598),2)</f>
        <v>0</v>
      </c>
      <c r="I598" s="187"/>
      <c r="J598" s="15"/>
    </row>
    <row r="599" spans="1:10" ht="15">
      <c r="A599" s="56" t="s">
        <v>1040</v>
      </c>
      <c r="B599" s="126" t="s">
        <v>976</v>
      </c>
      <c r="D599" s="128" t="s">
        <v>1017</v>
      </c>
      <c r="E599" s="119"/>
      <c r="F599" s="137">
        <v>1</v>
      </c>
      <c r="H599" s="196">
        <f t="shared" si="25"/>
        <v>0</v>
      </c>
      <c r="I599" s="187"/>
      <c r="J599" s="15"/>
    </row>
    <row r="600" spans="1:10" ht="15">
      <c r="A600" s="56" t="s">
        <v>1041</v>
      </c>
      <c r="B600" s="126"/>
      <c r="D600" s="128" t="s">
        <v>1042</v>
      </c>
      <c r="E600" s="119"/>
      <c r="F600" s="137"/>
      <c r="H600" s="208"/>
      <c r="I600" s="187"/>
      <c r="J600" s="15"/>
    </row>
    <row r="601" spans="1:10" ht="15">
      <c r="A601" s="56" t="s">
        <v>1043</v>
      </c>
      <c r="B601" s="126" t="s">
        <v>976</v>
      </c>
      <c r="D601" s="128" t="s">
        <v>1025</v>
      </c>
      <c r="E601" s="119"/>
      <c r="F601" s="137">
        <v>2</v>
      </c>
      <c r="H601" s="196">
        <f aca="true" t="shared" si="26" ref="H601:H603">ROUND((F601*G601),2)</f>
        <v>0</v>
      </c>
      <c r="I601" s="187"/>
      <c r="J601" s="15"/>
    </row>
    <row r="602" spans="1:10" ht="15">
      <c r="A602" s="56" t="s">
        <v>1044</v>
      </c>
      <c r="B602" s="126" t="s">
        <v>976</v>
      </c>
      <c r="D602" s="128" t="s">
        <v>1027</v>
      </c>
      <c r="E602" s="119"/>
      <c r="F602" s="137">
        <v>1</v>
      </c>
      <c r="H602" s="196">
        <f t="shared" si="26"/>
        <v>0</v>
      </c>
      <c r="I602" s="187"/>
      <c r="J602" s="15"/>
    </row>
    <row r="603" spans="1:10" ht="15">
      <c r="A603" s="56" t="s">
        <v>1045</v>
      </c>
      <c r="B603" s="126" t="s">
        <v>976</v>
      </c>
      <c r="D603" s="128" t="s">
        <v>1017</v>
      </c>
      <c r="E603" s="119"/>
      <c r="F603" s="137">
        <v>1</v>
      </c>
      <c r="H603" s="196">
        <f t="shared" si="26"/>
        <v>0</v>
      </c>
      <c r="I603" s="187"/>
      <c r="J603" s="15"/>
    </row>
    <row r="604" spans="1:10" ht="15">
      <c r="A604" s="56" t="s">
        <v>1046</v>
      </c>
      <c r="B604" s="126"/>
      <c r="D604" s="128" t="s">
        <v>1047</v>
      </c>
      <c r="E604" s="119"/>
      <c r="F604" s="137"/>
      <c r="H604" s="208"/>
      <c r="I604" s="187"/>
      <c r="J604" s="15"/>
    </row>
    <row r="605" spans="1:10" ht="15">
      <c r="A605" s="56" t="s">
        <v>1048</v>
      </c>
      <c r="B605" s="126" t="s">
        <v>976</v>
      </c>
      <c r="D605" s="128" t="s">
        <v>1049</v>
      </c>
      <c r="E605" s="119"/>
      <c r="F605" s="137">
        <v>2</v>
      </c>
      <c r="H605" s="196">
        <f aca="true" t="shared" si="27" ref="H605:H606">ROUND((F605*G605),2)</f>
        <v>0</v>
      </c>
      <c r="I605" s="187"/>
      <c r="J605" s="15"/>
    </row>
    <row r="606" spans="1:10" ht="15">
      <c r="A606" s="56" t="s">
        <v>1050</v>
      </c>
      <c r="B606" s="126" t="s">
        <v>976</v>
      </c>
      <c r="D606" s="128" t="s">
        <v>1051</v>
      </c>
      <c r="E606" s="119"/>
      <c r="F606" s="137">
        <v>2</v>
      </c>
      <c r="H606" s="196">
        <f t="shared" si="27"/>
        <v>0</v>
      </c>
      <c r="I606" s="187"/>
      <c r="J606" s="15"/>
    </row>
    <row r="607" spans="1:10" ht="15.6" customHeight="1">
      <c r="A607" s="56" t="s">
        <v>1052</v>
      </c>
      <c r="B607" s="126"/>
      <c r="D607" s="128"/>
      <c r="E607" s="119"/>
      <c r="F607" s="120"/>
      <c r="H607" s="210"/>
      <c r="I607" s="187"/>
      <c r="J607" s="15"/>
    </row>
    <row r="608" spans="1:10" ht="24">
      <c r="A608" s="56" t="s">
        <v>1053</v>
      </c>
      <c r="B608" s="126"/>
      <c r="D608" s="139" t="s">
        <v>1054</v>
      </c>
      <c r="E608" s="119" t="s">
        <v>1055</v>
      </c>
      <c r="F608" s="138">
        <f>SUM(F610:F642)</f>
        <v>91</v>
      </c>
      <c r="H608" s="210"/>
      <c r="I608" s="187"/>
      <c r="J608" s="15"/>
    </row>
    <row r="609" spans="1:10" ht="15">
      <c r="A609" s="56" t="s">
        <v>1056</v>
      </c>
      <c r="B609" s="126"/>
      <c r="D609" s="136" t="s">
        <v>1013</v>
      </c>
      <c r="E609" s="119"/>
      <c r="F609" s="132"/>
      <c r="H609" s="208"/>
      <c r="I609" s="187"/>
      <c r="J609" s="15"/>
    </row>
    <row r="610" spans="1:10" ht="15">
      <c r="A610" s="56" t="s">
        <v>1057</v>
      </c>
      <c r="B610" s="126" t="s">
        <v>976</v>
      </c>
      <c r="D610" s="128" t="s">
        <v>1058</v>
      </c>
      <c r="E610" s="119"/>
      <c r="F610" s="23">
        <v>6</v>
      </c>
      <c r="H610" s="196">
        <f aca="true" t="shared" si="28" ref="H610:H611">ROUND((F610*G610),2)</f>
        <v>0</v>
      </c>
      <c r="I610" s="187"/>
      <c r="J610" s="15"/>
    </row>
    <row r="611" spans="1:10" ht="15">
      <c r="A611" s="56" t="s">
        <v>1059</v>
      </c>
      <c r="B611" s="126" t="s">
        <v>976</v>
      </c>
      <c r="D611" s="128" t="s">
        <v>1017</v>
      </c>
      <c r="E611" s="119"/>
      <c r="F611" s="23">
        <v>4</v>
      </c>
      <c r="H611" s="196">
        <f t="shared" si="28"/>
        <v>0</v>
      </c>
      <c r="I611" s="187"/>
      <c r="J611" s="15"/>
    </row>
    <row r="612" spans="1:10" ht="15">
      <c r="A612" s="56" t="s">
        <v>1060</v>
      </c>
      <c r="B612" s="126"/>
      <c r="D612" s="128" t="s">
        <v>1019</v>
      </c>
      <c r="E612" s="119"/>
      <c r="F612" s="23"/>
      <c r="H612" s="208"/>
      <c r="I612" s="187"/>
      <c r="J612" s="15"/>
    </row>
    <row r="613" spans="1:10" ht="15">
      <c r="A613" s="56" t="s">
        <v>1061</v>
      </c>
      <c r="B613" s="126" t="s">
        <v>976</v>
      </c>
      <c r="D613" s="128" t="s">
        <v>1058</v>
      </c>
      <c r="E613" s="119"/>
      <c r="F613" s="23">
        <v>1</v>
      </c>
      <c r="H613" s="196">
        <f aca="true" t="shared" si="29" ref="H613:H614">ROUND((F613*G613),2)</f>
        <v>0</v>
      </c>
      <c r="I613" s="187"/>
      <c r="J613" s="15"/>
    </row>
    <row r="614" spans="1:10" ht="15">
      <c r="A614" s="56" t="s">
        <v>1062</v>
      </c>
      <c r="B614" s="126" t="s">
        <v>976</v>
      </c>
      <c r="D614" s="128" t="s">
        <v>1017</v>
      </c>
      <c r="E614" s="119"/>
      <c r="F614" s="23">
        <v>7</v>
      </c>
      <c r="H614" s="196">
        <f t="shared" si="29"/>
        <v>0</v>
      </c>
      <c r="I614" s="187"/>
      <c r="J614" s="15"/>
    </row>
    <row r="615" spans="1:10" ht="15">
      <c r="A615" s="56" t="s">
        <v>1063</v>
      </c>
      <c r="B615" s="126"/>
      <c r="D615" s="128" t="s">
        <v>1023</v>
      </c>
      <c r="E615" s="119"/>
      <c r="F615" s="23"/>
      <c r="H615" s="208"/>
      <c r="I615" s="187"/>
      <c r="J615" s="15"/>
    </row>
    <row r="616" spans="1:10" ht="15">
      <c r="A616" s="56" t="s">
        <v>1064</v>
      </c>
      <c r="B616" s="126" t="s">
        <v>976</v>
      </c>
      <c r="D616" s="128" t="s">
        <v>1025</v>
      </c>
      <c r="E616" s="119"/>
      <c r="F616" s="23">
        <v>1</v>
      </c>
      <c r="H616" s="196">
        <f aca="true" t="shared" si="30" ref="H616:H619">ROUND((F616*G616),2)</f>
        <v>0</v>
      </c>
      <c r="I616" s="187"/>
      <c r="J616" s="15"/>
    </row>
    <row r="617" spans="1:10" ht="15">
      <c r="A617" s="56" t="s">
        <v>1065</v>
      </c>
      <c r="B617" s="126" t="s">
        <v>976</v>
      </c>
      <c r="D617" s="128" t="s">
        <v>1015</v>
      </c>
      <c r="E617" s="119"/>
      <c r="F617" s="23">
        <v>1</v>
      </c>
      <c r="H617" s="196">
        <f t="shared" si="30"/>
        <v>0</v>
      </c>
      <c r="I617" s="187"/>
      <c r="J617" s="15"/>
    </row>
    <row r="618" spans="1:10" ht="15">
      <c r="A618" s="56" t="s">
        <v>1066</v>
      </c>
      <c r="B618" s="126" t="s">
        <v>976</v>
      </c>
      <c r="D618" s="128" t="s">
        <v>1017</v>
      </c>
      <c r="E618" s="119"/>
      <c r="F618" s="23">
        <v>4</v>
      </c>
      <c r="H618" s="196">
        <f t="shared" si="30"/>
        <v>0</v>
      </c>
      <c r="I618" s="187"/>
      <c r="J618" s="15"/>
    </row>
    <row r="619" spans="1:10" ht="15">
      <c r="A619" s="56" t="s">
        <v>1067</v>
      </c>
      <c r="B619" s="126" t="s">
        <v>976</v>
      </c>
      <c r="D619" s="128" t="s">
        <v>1058</v>
      </c>
      <c r="E619" s="119"/>
      <c r="F619" s="23">
        <v>3</v>
      </c>
      <c r="H619" s="196">
        <f t="shared" si="30"/>
        <v>0</v>
      </c>
      <c r="I619" s="187"/>
      <c r="J619" s="15"/>
    </row>
    <row r="620" spans="1:10" ht="15">
      <c r="A620" s="56" t="s">
        <v>1068</v>
      </c>
      <c r="B620" s="126"/>
      <c r="D620" s="128" t="s">
        <v>1030</v>
      </c>
      <c r="E620" s="119"/>
      <c r="F620" s="23"/>
      <c r="H620" s="208"/>
      <c r="I620" s="187"/>
      <c r="J620" s="15"/>
    </row>
    <row r="621" spans="1:10" ht="15">
      <c r="A621" s="56" t="s">
        <v>1069</v>
      </c>
      <c r="B621" s="126" t="s">
        <v>976</v>
      </c>
      <c r="D621" s="128" t="s">
        <v>1025</v>
      </c>
      <c r="E621" s="119"/>
      <c r="F621" s="23">
        <v>9</v>
      </c>
      <c r="H621" s="196">
        <f aca="true" t="shared" si="31" ref="H621:H642">ROUND((F621*G621),2)</f>
        <v>0</v>
      </c>
      <c r="I621" s="187"/>
      <c r="J621" s="15"/>
    </row>
    <row r="622" spans="1:10" ht="15">
      <c r="A622" s="56" t="s">
        <v>1070</v>
      </c>
      <c r="B622" s="126" t="s">
        <v>976</v>
      </c>
      <c r="D622" s="128" t="s">
        <v>1027</v>
      </c>
      <c r="E622" s="119"/>
      <c r="F622" s="23">
        <v>1</v>
      </c>
      <c r="H622" s="196">
        <f t="shared" si="31"/>
        <v>0</v>
      </c>
      <c r="I622" s="187"/>
      <c r="J622" s="15"/>
    </row>
    <row r="623" spans="1:10" ht="15">
      <c r="A623" s="56" t="s">
        <v>1071</v>
      </c>
      <c r="B623" s="126" t="s">
        <v>976</v>
      </c>
      <c r="D623" s="128" t="s">
        <v>1015</v>
      </c>
      <c r="E623" s="119"/>
      <c r="F623" s="23">
        <v>1</v>
      </c>
      <c r="H623" s="196">
        <f t="shared" si="31"/>
        <v>0</v>
      </c>
      <c r="I623" s="187"/>
      <c r="J623" s="15"/>
    </row>
    <row r="624" spans="1:10" ht="15">
      <c r="A624" s="56" t="s">
        <v>1072</v>
      </c>
      <c r="B624" s="126" t="s">
        <v>976</v>
      </c>
      <c r="D624" s="128" t="s">
        <v>1017</v>
      </c>
      <c r="E624" s="119"/>
      <c r="F624" s="23">
        <v>1</v>
      </c>
      <c r="H624" s="196">
        <f t="shared" si="31"/>
        <v>0</v>
      </c>
      <c r="I624" s="187"/>
      <c r="J624" s="15"/>
    </row>
    <row r="625" spans="1:10" ht="15">
      <c r="A625" s="56" t="s">
        <v>1073</v>
      </c>
      <c r="B625" s="126"/>
      <c r="D625" s="128" t="s">
        <v>1034</v>
      </c>
      <c r="E625" s="119"/>
      <c r="F625" s="23"/>
      <c r="H625" s="208"/>
      <c r="I625" s="187"/>
      <c r="J625" s="15"/>
    </row>
    <row r="626" spans="1:10" ht="15">
      <c r="A626" s="56" t="s">
        <v>1074</v>
      </c>
      <c r="B626" s="126" t="s">
        <v>976</v>
      </c>
      <c r="D626" s="128" t="s">
        <v>1015</v>
      </c>
      <c r="E626" s="119"/>
      <c r="F626" s="23">
        <v>8</v>
      </c>
      <c r="H626" s="196">
        <f t="shared" si="31"/>
        <v>0</v>
      </c>
      <c r="I626" s="187"/>
      <c r="J626" s="15"/>
    </row>
    <row r="627" spans="1:10" ht="15">
      <c r="A627" s="56" t="s">
        <v>1075</v>
      </c>
      <c r="B627" s="126" t="s">
        <v>976</v>
      </c>
      <c r="D627" s="128" t="s">
        <v>1017</v>
      </c>
      <c r="E627" s="119"/>
      <c r="F627" s="23">
        <v>1</v>
      </c>
      <c r="H627" s="196">
        <f t="shared" si="31"/>
        <v>0</v>
      </c>
      <c r="I627" s="187"/>
      <c r="J627" s="15"/>
    </row>
    <row r="628" spans="1:10" ht="15">
      <c r="A628" s="56" t="s">
        <v>1076</v>
      </c>
      <c r="B628" s="126" t="s">
        <v>976</v>
      </c>
      <c r="D628" s="128" t="s">
        <v>1058</v>
      </c>
      <c r="E628" s="119"/>
      <c r="F628" s="23">
        <v>2</v>
      </c>
      <c r="H628" s="196">
        <f t="shared" si="31"/>
        <v>0</v>
      </c>
      <c r="I628" s="187"/>
      <c r="J628" s="15"/>
    </row>
    <row r="629" spans="1:10" ht="15">
      <c r="A629" s="56" t="s">
        <v>1077</v>
      </c>
      <c r="B629" s="126"/>
      <c r="D629" s="128" t="s">
        <v>1038</v>
      </c>
      <c r="E629" s="119"/>
      <c r="F629" s="23"/>
      <c r="H629" s="208"/>
      <c r="I629" s="187"/>
      <c r="J629" s="15"/>
    </row>
    <row r="630" spans="1:10" ht="15">
      <c r="A630" s="56" t="s">
        <v>1078</v>
      </c>
      <c r="B630" s="126" t="s">
        <v>976</v>
      </c>
      <c r="D630" s="128" t="s">
        <v>1025</v>
      </c>
      <c r="E630" s="119"/>
      <c r="F630" s="23">
        <v>1</v>
      </c>
      <c r="H630" s="196">
        <f t="shared" si="31"/>
        <v>0</v>
      </c>
      <c r="I630" s="187"/>
      <c r="J630" s="15"/>
    </row>
    <row r="631" spans="1:10" ht="15">
      <c r="A631" s="56" t="s">
        <v>1079</v>
      </c>
      <c r="B631" s="126" t="s">
        <v>976</v>
      </c>
      <c r="D631" s="128" t="s">
        <v>1027</v>
      </c>
      <c r="E631" s="119"/>
      <c r="F631" s="23">
        <v>4</v>
      </c>
      <c r="H631" s="196">
        <f t="shared" si="31"/>
        <v>0</v>
      </c>
      <c r="I631" s="187"/>
      <c r="J631" s="15"/>
    </row>
    <row r="632" spans="1:10" ht="15">
      <c r="A632" s="56" t="s">
        <v>1080</v>
      </c>
      <c r="B632" s="126" t="s">
        <v>976</v>
      </c>
      <c r="D632" s="128" t="s">
        <v>1015</v>
      </c>
      <c r="E632" s="119"/>
      <c r="F632" s="23">
        <v>12</v>
      </c>
      <c r="H632" s="196">
        <f t="shared" si="31"/>
        <v>0</v>
      </c>
      <c r="I632" s="187"/>
      <c r="J632" s="15"/>
    </row>
    <row r="633" spans="1:10" ht="15">
      <c r="A633" s="56" t="s">
        <v>1081</v>
      </c>
      <c r="B633" s="126" t="s">
        <v>976</v>
      </c>
      <c r="D633" s="128" t="s">
        <v>1058</v>
      </c>
      <c r="E633" s="119"/>
      <c r="F633" s="23">
        <v>1</v>
      </c>
      <c r="H633" s="196">
        <f t="shared" si="31"/>
        <v>0</v>
      </c>
      <c r="I633" s="187"/>
      <c r="J633" s="15"/>
    </row>
    <row r="634" spans="1:10" ht="15">
      <c r="A634" s="56" t="s">
        <v>1082</v>
      </c>
      <c r="B634" s="126"/>
      <c r="D634" s="128" t="s">
        <v>1042</v>
      </c>
      <c r="E634" s="119"/>
      <c r="F634" s="23"/>
      <c r="H634" s="208"/>
      <c r="I634" s="187"/>
      <c r="J634" s="15"/>
    </row>
    <row r="635" spans="1:10" ht="15">
      <c r="A635" s="56" t="s">
        <v>1083</v>
      </c>
      <c r="B635" s="126" t="s">
        <v>976</v>
      </c>
      <c r="D635" s="128" t="s">
        <v>1025</v>
      </c>
      <c r="E635" s="119"/>
      <c r="F635" s="23">
        <v>1</v>
      </c>
      <c r="H635" s="196">
        <f t="shared" si="31"/>
        <v>0</v>
      </c>
      <c r="I635" s="187"/>
      <c r="J635" s="15"/>
    </row>
    <row r="636" spans="1:10" ht="15">
      <c r="A636" s="56" t="s">
        <v>1084</v>
      </c>
      <c r="B636" s="126" t="s">
        <v>976</v>
      </c>
      <c r="D636" s="128" t="s">
        <v>1027</v>
      </c>
      <c r="E636" s="119"/>
      <c r="F636" s="23">
        <v>6</v>
      </c>
      <c r="H636" s="196">
        <f t="shared" si="31"/>
        <v>0</v>
      </c>
      <c r="I636" s="187"/>
      <c r="J636" s="15"/>
    </row>
    <row r="637" spans="1:10" ht="15">
      <c r="A637" s="56" t="s">
        <v>1085</v>
      </c>
      <c r="B637" s="126" t="s">
        <v>976</v>
      </c>
      <c r="D637" s="128" t="s">
        <v>1015</v>
      </c>
      <c r="E637" s="119"/>
      <c r="F637" s="23">
        <v>10</v>
      </c>
      <c r="H637" s="196">
        <f t="shared" si="31"/>
        <v>0</v>
      </c>
      <c r="I637" s="187"/>
      <c r="J637" s="15"/>
    </row>
    <row r="638" spans="1:10" ht="15">
      <c r="A638" s="56" t="s">
        <v>1086</v>
      </c>
      <c r="B638" s="126" t="s">
        <v>976</v>
      </c>
      <c r="D638" s="128" t="s">
        <v>1058</v>
      </c>
      <c r="E638" s="119"/>
      <c r="F638" s="23">
        <v>1</v>
      </c>
      <c r="H638" s="196">
        <f t="shared" si="31"/>
        <v>0</v>
      </c>
      <c r="I638" s="187"/>
      <c r="J638" s="15"/>
    </row>
    <row r="639" spans="1:10" ht="15">
      <c r="A639" s="56" t="s">
        <v>1087</v>
      </c>
      <c r="B639" s="126"/>
      <c r="D639" s="128" t="s">
        <v>1047</v>
      </c>
      <c r="E639" s="119"/>
      <c r="F639" s="23"/>
      <c r="H639" s="208"/>
      <c r="I639" s="187"/>
      <c r="J639" s="15"/>
    </row>
    <row r="640" spans="1:10" ht="15">
      <c r="A640" s="56" t="s">
        <v>1088</v>
      </c>
      <c r="B640" s="126" t="s">
        <v>976</v>
      </c>
      <c r="D640" s="128" t="s">
        <v>1089</v>
      </c>
      <c r="E640" s="119"/>
      <c r="F640" s="23">
        <v>1</v>
      </c>
      <c r="H640" s="196">
        <f t="shared" si="31"/>
        <v>0</v>
      </c>
      <c r="I640" s="187"/>
      <c r="J640" s="15"/>
    </row>
    <row r="641" spans="1:10" ht="15">
      <c r="A641" s="56" t="s">
        <v>1090</v>
      </c>
      <c r="B641" s="126" t="s">
        <v>976</v>
      </c>
      <c r="D641" s="128" t="s">
        <v>1091</v>
      </c>
      <c r="E641" s="119"/>
      <c r="F641" s="23">
        <v>2</v>
      </c>
      <c r="H641" s="196">
        <f t="shared" si="31"/>
        <v>0</v>
      </c>
      <c r="I641" s="187"/>
      <c r="J641" s="15"/>
    </row>
    <row r="642" spans="1:10" ht="15">
      <c r="A642" s="56" t="s">
        <v>1092</v>
      </c>
      <c r="B642" s="126" t="s">
        <v>976</v>
      </c>
      <c r="D642" s="128" t="s">
        <v>1058</v>
      </c>
      <c r="E642" s="119"/>
      <c r="F642" s="23">
        <v>2</v>
      </c>
      <c r="H642" s="196">
        <f t="shared" si="31"/>
        <v>0</v>
      </c>
      <c r="I642" s="187"/>
      <c r="J642" s="15"/>
    </row>
    <row r="643" spans="1:10" ht="15">
      <c r="A643" s="56" t="s">
        <v>1093</v>
      </c>
      <c r="B643" s="126"/>
      <c r="D643" s="128"/>
      <c r="E643" s="119"/>
      <c r="F643" s="23"/>
      <c r="H643" s="208"/>
      <c r="I643" s="187"/>
      <c r="J643" s="15"/>
    </row>
    <row r="644" spans="1:10" ht="15">
      <c r="A644" s="56" t="s">
        <v>1094</v>
      </c>
      <c r="B644" s="126" t="s">
        <v>1095</v>
      </c>
      <c r="D644" s="139" t="s">
        <v>1096</v>
      </c>
      <c r="E644" s="119" t="s">
        <v>1055</v>
      </c>
      <c r="F644" s="132">
        <f>SUM(F645:F649)</f>
        <v>154</v>
      </c>
      <c r="H644" s="208"/>
      <c r="I644" s="187"/>
      <c r="J644" s="15"/>
    </row>
    <row r="645" spans="1:10" ht="15">
      <c r="A645" s="56" t="s">
        <v>1097</v>
      </c>
      <c r="B645" s="126" t="s">
        <v>1095</v>
      </c>
      <c r="D645" s="140" t="s">
        <v>1025</v>
      </c>
      <c r="E645" s="119" t="s">
        <v>80</v>
      </c>
      <c r="F645" s="132">
        <v>22</v>
      </c>
      <c r="H645" s="196">
        <f aca="true" t="shared" si="32" ref="H645:H650">ROUND((F645*G645),2)</f>
        <v>0</v>
      </c>
      <c r="I645" s="187"/>
      <c r="J645" s="15"/>
    </row>
    <row r="646" spans="1:10" ht="15">
      <c r="A646" s="56" t="s">
        <v>1098</v>
      </c>
      <c r="B646" s="126" t="s">
        <v>1095</v>
      </c>
      <c r="D646" s="140" t="s">
        <v>1027</v>
      </c>
      <c r="E646" s="38" t="s">
        <v>1099</v>
      </c>
      <c r="F646" s="132">
        <v>26</v>
      </c>
      <c r="H646" s="196">
        <f t="shared" si="32"/>
        <v>0</v>
      </c>
      <c r="I646" s="187"/>
      <c r="J646" s="15"/>
    </row>
    <row r="647" spans="1:10" ht="15">
      <c r="A647" s="56" t="s">
        <v>1100</v>
      </c>
      <c r="B647" s="126" t="s">
        <v>1095</v>
      </c>
      <c r="D647" s="140" t="s">
        <v>1015</v>
      </c>
      <c r="E647" s="119" t="s">
        <v>80</v>
      </c>
      <c r="F647" s="132">
        <v>48</v>
      </c>
      <c r="H647" s="196">
        <f t="shared" si="32"/>
        <v>0</v>
      </c>
      <c r="I647" s="187"/>
      <c r="J647" s="15"/>
    </row>
    <row r="648" spans="1:10" ht="15">
      <c r="A648" s="56" t="s">
        <v>1101</v>
      </c>
      <c r="B648" s="126" t="s">
        <v>1095</v>
      </c>
      <c r="D648" s="140" t="s">
        <v>1102</v>
      </c>
      <c r="E648" s="119" t="s">
        <v>80</v>
      </c>
      <c r="F648" s="132">
        <v>28</v>
      </c>
      <c r="H648" s="196">
        <f t="shared" si="32"/>
        <v>0</v>
      </c>
      <c r="I648" s="187"/>
      <c r="J648" s="15"/>
    </row>
    <row r="649" spans="1:10" ht="15">
      <c r="A649" s="56" t="s">
        <v>1103</v>
      </c>
      <c r="B649" s="126" t="s">
        <v>1095</v>
      </c>
      <c r="D649" s="140" t="s">
        <v>1104</v>
      </c>
      <c r="E649" s="119" t="s">
        <v>80</v>
      </c>
      <c r="F649" s="132">
        <v>30</v>
      </c>
      <c r="H649" s="196">
        <f t="shared" si="32"/>
        <v>0</v>
      </c>
      <c r="I649" s="187"/>
      <c r="J649" s="15"/>
    </row>
    <row r="650" spans="1:10" ht="15">
      <c r="A650" s="56" t="s">
        <v>1105</v>
      </c>
      <c r="B650" s="126" t="s">
        <v>1095</v>
      </c>
      <c r="D650" s="139" t="s">
        <v>1106</v>
      </c>
      <c r="E650" s="119" t="s">
        <v>80</v>
      </c>
      <c r="F650" s="132">
        <v>504</v>
      </c>
      <c r="H650" s="196">
        <f t="shared" si="32"/>
        <v>0</v>
      </c>
      <c r="I650" s="187"/>
      <c r="J650" s="15"/>
    </row>
    <row r="651" spans="1:10" ht="15">
      <c r="A651" s="56" t="s">
        <v>1107</v>
      </c>
      <c r="B651" s="126"/>
      <c r="D651" s="140"/>
      <c r="E651" s="119"/>
      <c r="F651" s="132"/>
      <c r="H651" s="208"/>
      <c r="I651" s="187"/>
      <c r="J651" s="15"/>
    </row>
    <row r="652" spans="1:10" s="27" customFormat="1" ht="36">
      <c r="A652" s="56" t="s">
        <v>1108</v>
      </c>
      <c r="B652" s="126"/>
      <c r="C652" s="36"/>
      <c r="D652" s="141" t="s">
        <v>1109</v>
      </c>
      <c r="E652" s="134"/>
      <c r="F652" s="142"/>
      <c r="G652" s="233"/>
      <c r="H652" s="212"/>
      <c r="I652" s="188"/>
      <c r="J652" s="31"/>
    </row>
    <row r="653" spans="1:47" s="16" customFormat="1" ht="15">
      <c r="A653" s="56" t="s">
        <v>1110</v>
      </c>
      <c r="B653" s="126" t="s">
        <v>1095</v>
      </c>
      <c r="C653" s="36"/>
      <c r="D653" s="129" t="s">
        <v>1111</v>
      </c>
      <c r="E653" s="38" t="s">
        <v>1099</v>
      </c>
      <c r="F653" s="132">
        <v>111</v>
      </c>
      <c r="G653" s="218"/>
      <c r="H653" s="196">
        <f aca="true" t="shared" si="33" ref="H653:H655">ROUND((F653*G653),2)</f>
        <v>0</v>
      </c>
      <c r="I653" s="189"/>
      <c r="J653" s="1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1:47" s="16" customFormat="1" ht="15">
      <c r="A654" s="56" t="s">
        <v>1112</v>
      </c>
      <c r="B654" s="126" t="s">
        <v>1095</v>
      </c>
      <c r="C654" s="36"/>
      <c r="D654" s="129" t="s">
        <v>1113</v>
      </c>
      <c r="E654" s="38" t="s">
        <v>1099</v>
      </c>
      <c r="F654" s="132">
        <v>185</v>
      </c>
      <c r="G654" s="218"/>
      <c r="H654" s="196">
        <f t="shared" si="33"/>
        <v>0</v>
      </c>
      <c r="I654" s="189"/>
      <c r="J654" s="1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1:47" s="16" customFormat="1" ht="15">
      <c r="A655" s="56" t="s">
        <v>1114</v>
      </c>
      <c r="B655" s="126" t="s">
        <v>1095</v>
      </c>
      <c r="C655" s="36"/>
      <c r="D655" s="129" t="s">
        <v>1115</v>
      </c>
      <c r="E655" s="38" t="s">
        <v>1099</v>
      </c>
      <c r="F655" s="132">
        <v>118</v>
      </c>
      <c r="G655" s="218"/>
      <c r="H655" s="196">
        <f t="shared" si="33"/>
        <v>0</v>
      </c>
      <c r="I655" s="189"/>
      <c r="J655" s="1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1:47" s="16" customFormat="1" ht="24">
      <c r="A656" s="56" t="s">
        <v>1116</v>
      </c>
      <c r="B656" s="126"/>
      <c r="C656" s="36"/>
      <c r="D656" s="129" t="s">
        <v>1117</v>
      </c>
      <c r="E656" s="38" t="s">
        <v>1099</v>
      </c>
      <c r="F656" s="132"/>
      <c r="G656" s="218"/>
      <c r="H656" s="208"/>
      <c r="I656" s="189"/>
      <c r="J656" s="1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1:47" s="16" customFormat="1" ht="15">
      <c r="A657" s="56" t="s">
        <v>1118</v>
      </c>
      <c r="B657" s="126" t="s">
        <v>1095</v>
      </c>
      <c r="C657" s="36"/>
      <c r="D657" s="129" t="s">
        <v>1119</v>
      </c>
      <c r="E657" s="38" t="s">
        <v>1099</v>
      </c>
      <c r="F657" s="132">
        <v>1</v>
      </c>
      <c r="G657" s="218"/>
      <c r="H657" s="196">
        <f aca="true" t="shared" si="34" ref="H657:H705">ROUND((F657*G657),2)</f>
        <v>0</v>
      </c>
      <c r="I657" s="189"/>
      <c r="J657" s="1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1:47" s="16" customFormat="1" ht="15">
      <c r="A658" s="56" t="s">
        <v>1120</v>
      </c>
      <c r="B658" s="126" t="s">
        <v>1095</v>
      </c>
      <c r="C658" s="36"/>
      <c r="D658" s="129" t="s">
        <v>1121</v>
      </c>
      <c r="E658" s="38" t="s">
        <v>1099</v>
      </c>
      <c r="F658" s="132">
        <v>1</v>
      </c>
      <c r="G658" s="218"/>
      <c r="H658" s="196">
        <f t="shared" si="34"/>
        <v>0</v>
      </c>
      <c r="I658" s="189"/>
      <c r="J658" s="1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1:47" s="16" customFormat="1" ht="36">
      <c r="A659" s="56" t="s">
        <v>1122</v>
      </c>
      <c r="B659" s="126"/>
      <c r="C659" s="36"/>
      <c r="D659" s="143" t="s">
        <v>1123</v>
      </c>
      <c r="E659" s="38"/>
      <c r="F659" s="132"/>
      <c r="G659" s="218"/>
      <c r="H659" s="196"/>
      <c r="I659" s="189"/>
      <c r="J659" s="1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1:47" s="16" customFormat="1" ht="15">
      <c r="A660" s="56" t="s">
        <v>1124</v>
      </c>
      <c r="B660" s="126" t="s">
        <v>1095</v>
      </c>
      <c r="C660" s="36"/>
      <c r="D660" s="129" t="s">
        <v>1125</v>
      </c>
      <c r="E660" s="38" t="s">
        <v>1099</v>
      </c>
      <c r="F660" s="132">
        <v>41</v>
      </c>
      <c r="G660" s="218"/>
      <c r="H660" s="196">
        <f t="shared" si="34"/>
        <v>0</v>
      </c>
      <c r="I660" s="189"/>
      <c r="J660" s="1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1:47" s="16" customFormat="1" ht="15">
      <c r="A661" s="56" t="s">
        <v>1126</v>
      </c>
      <c r="B661" s="126" t="s">
        <v>1095</v>
      </c>
      <c r="C661" s="36"/>
      <c r="D661" s="129" t="s">
        <v>1127</v>
      </c>
      <c r="E661" s="38" t="s">
        <v>1099</v>
      </c>
      <c r="F661" s="132">
        <v>271</v>
      </c>
      <c r="G661" s="218"/>
      <c r="H661" s="196">
        <f t="shared" si="34"/>
        <v>0</v>
      </c>
      <c r="I661" s="189"/>
      <c r="J661" s="1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1:47" s="16" customFormat="1" ht="15">
      <c r="A662" s="56" t="s">
        <v>1128</v>
      </c>
      <c r="B662" s="126" t="s">
        <v>1095</v>
      </c>
      <c r="C662" s="36"/>
      <c r="D662" s="129" t="s">
        <v>1129</v>
      </c>
      <c r="E662" s="38" t="s">
        <v>1099</v>
      </c>
      <c r="F662" s="132">
        <v>51</v>
      </c>
      <c r="G662" s="218"/>
      <c r="H662" s="196">
        <f t="shared" si="34"/>
        <v>0</v>
      </c>
      <c r="I662" s="189"/>
      <c r="J662" s="1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1:47" s="16" customFormat="1" ht="15">
      <c r="A663" s="56" t="s">
        <v>1130</v>
      </c>
      <c r="B663" s="126"/>
      <c r="C663" s="36"/>
      <c r="D663" s="129" t="s">
        <v>1131</v>
      </c>
      <c r="E663" s="38"/>
      <c r="F663" s="132"/>
      <c r="G663" s="218"/>
      <c r="H663" s="196">
        <f t="shared" si="34"/>
        <v>0</v>
      </c>
      <c r="I663" s="189"/>
      <c r="J663" s="1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1:47" s="16" customFormat="1" ht="15">
      <c r="A664" s="56" t="s">
        <v>1132</v>
      </c>
      <c r="B664" s="126" t="s">
        <v>1095</v>
      </c>
      <c r="C664" s="36"/>
      <c r="D664" s="129" t="s">
        <v>1133</v>
      </c>
      <c r="E664" s="38" t="s">
        <v>1099</v>
      </c>
      <c r="F664" s="120">
        <v>18</v>
      </c>
      <c r="G664" s="218"/>
      <c r="H664" s="196">
        <f t="shared" si="34"/>
        <v>0</v>
      </c>
      <c r="I664" s="189"/>
      <c r="J664" s="1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1:47" s="16" customFormat="1" ht="15">
      <c r="A665" s="56" t="s">
        <v>1134</v>
      </c>
      <c r="B665" s="126" t="s">
        <v>1095</v>
      </c>
      <c r="C665" s="36"/>
      <c r="D665" s="129" t="s">
        <v>1135</v>
      </c>
      <c r="E665" s="38" t="s">
        <v>1099</v>
      </c>
      <c r="F665" s="120">
        <v>14</v>
      </c>
      <c r="G665" s="218"/>
      <c r="H665" s="196">
        <f t="shared" si="34"/>
        <v>0</v>
      </c>
      <c r="I665" s="189"/>
      <c r="J665" s="1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1:47" s="16" customFormat="1" ht="15">
      <c r="A666" s="56" t="s">
        <v>1136</v>
      </c>
      <c r="B666" s="126" t="s">
        <v>1095</v>
      </c>
      <c r="C666" s="36"/>
      <c r="D666" s="129" t="s">
        <v>1137</v>
      </c>
      <c r="E666" s="38" t="s">
        <v>1099</v>
      </c>
      <c r="F666" s="120">
        <v>21</v>
      </c>
      <c r="G666" s="218"/>
      <c r="H666" s="196">
        <f t="shared" si="34"/>
        <v>0</v>
      </c>
      <c r="I666" s="189"/>
      <c r="J666" s="1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1:47" s="16" customFormat="1" ht="33.75">
      <c r="A667" s="56" t="s">
        <v>1138</v>
      </c>
      <c r="B667" s="126" t="s">
        <v>1139</v>
      </c>
      <c r="C667" s="36"/>
      <c r="D667" s="73" t="s">
        <v>1140</v>
      </c>
      <c r="E667" s="121" t="s">
        <v>80</v>
      </c>
      <c r="F667" s="120">
        <v>205</v>
      </c>
      <c r="G667" s="218"/>
      <c r="H667" s="196">
        <f t="shared" si="34"/>
        <v>0</v>
      </c>
      <c r="I667" s="189"/>
      <c r="J667" s="1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1:47" s="16" customFormat="1" ht="15">
      <c r="A668" s="56" t="s">
        <v>1141</v>
      </c>
      <c r="B668" s="126" t="s">
        <v>976</v>
      </c>
      <c r="C668" s="36"/>
      <c r="D668" s="129" t="s">
        <v>1142</v>
      </c>
      <c r="E668" s="121" t="s">
        <v>80</v>
      </c>
      <c r="F668" s="120">
        <v>504</v>
      </c>
      <c r="G668" s="218"/>
      <c r="H668" s="196">
        <f t="shared" si="34"/>
        <v>0</v>
      </c>
      <c r="I668" s="189"/>
      <c r="J668" s="1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1:47" s="16" customFormat="1" ht="15">
      <c r="A669" s="56" t="s">
        <v>1143</v>
      </c>
      <c r="B669" s="126" t="s">
        <v>1144</v>
      </c>
      <c r="C669" s="36"/>
      <c r="D669" s="129" t="s">
        <v>1145</v>
      </c>
      <c r="E669" s="121" t="s">
        <v>80</v>
      </c>
      <c r="F669" s="120">
        <v>504</v>
      </c>
      <c r="G669" s="218"/>
      <c r="H669" s="196">
        <f t="shared" si="34"/>
        <v>0</v>
      </c>
      <c r="I669" s="189"/>
      <c r="J669" s="1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1:47" s="16" customFormat="1" ht="15">
      <c r="A670" s="56" t="s">
        <v>1146</v>
      </c>
      <c r="B670" s="126" t="s">
        <v>1147</v>
      </c>
      <c r="C670" s="36"/>
      <c r="D670" s="129" t="s">
        <v>1148</v>
      </c>
      <c r="E670" s="121" t="s">
        <v>80</v>
      </c>
      <c r="F670" s="120">
        <v>410</v>
      </c>
      <c r="G670" s="218"/>
      <c r="H670" s="196">
        <f t="shared" si="34"/>
        <v>0</v>
      </c>
      <c r="I670" s="189"/>
      <c r="J670" s="1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1:47" s="16" customFormat="1" ht="15">
      <c r="A671" s="56" t="s">
        <v>1149</v>
      </c>
      <c r="B671" s="126" t="s">
        <v>976</v>
      </c>
      <c r="C671" s="36"/>
      <c r="D671" s="129" t="s">
        <v>1150</v>
      </c>
      <c r="E671" s="121" t="s">
        <v>80</v>
      </c>
      <c r="F671" s="120">
        <v>60</v>
      </c>
      <c r="G671" s="218"/>
      <c r="H671" s="196">
        <f t="shared" si="34"/>
        <v>0</v>
      </c>
      <c r="I671" s="189"/>
      <c r="J671" s="1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1:47" s="16" customFormat="1" ht="15">
      <c r="A672" s="56" t="s">
        <v>1151</v>
      </c>
      <c r="B672" s="126" t="s">
        <v>1152</v>
      </c>
      <c r="C672" s="36"/>
      <c r="D672" s="129" t="s">
        <v>1145</v>
      </c>
      <c r="E672" s="121" t="s">
        <v>80</v>
      </c>
      <c r="F672" s="120">
        <v>60</v>
      </c>
      <c r="G672" s="218"/>
      <c r="H672" s="196">
        <f t="shared" si="34"/>
        <v>0</v>
      </c>
      <c r="I672" s="189"/>
      <c r="J672" s="1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1:47" s="16" customFormat="1" ht="15">
      <c r="A673" s="56" t="s">
        <v>1153</v>
      </c>
      <c r="B673" s="126" t="s">
        <v>1147</v>
      </c>
      <c r="C673" s="36"/>
      <c r="D673" s="129" t="s">
        <v>1148</v>
      </c>
      <c r="E673" s="121" t="s">
        <v>80</v>
      </c>
      <c r="F673" s="120">
        <v>60</v>
      </c>
      <c r="G673" s="218"/>
      <c r="H673" s="196">
        <f t="shared" si="34"/>
        <v>0</v>
      </c>
      <c r="I673" s="189"/>
      <c r="J673" s="1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1:47" s="16" customFormat="1" ht="15">
      <c r="A674" s="56" t="s">
        <v>1154</v>
      </c>
      <c r="B674" s="126"/>
      <c r="C674" s="36"/>
      <c r="D674" s="73"/>
      <c r="E674" s="121"/>
      <c r="F674" s="120"/>
      <c r="G674" s="218"/>
      <c r="H674" s="196"/>
      <c r="I674" s="189"/>
      <c r="J674" s="1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1:47" s="16" customFormat="1" ht="24">
      <c r="A675" s="56" t="s">
        <v>1155</v>
      </c>
      <c r="B675" s="126" t="s">
        <v>154</v>
      </c>
      <c r="C675" s="36"/>
      <c r="D675" s="73" t="s">
        <v>1156</v>
      </c>
      <c r="E675" s="121" t="s">
        <v>1157</v>
      </c>
      <c r="F675" s="120">
        <v>504</v>
      </c>
      <c r="G675" s="218"/>
      <c r="H675" s="196">
        <f t="shared" si="34"/>
        <v>0</v>
      </c>
      <c r="I675" s="189"/>
      <c r="J675" s="1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1:47" s="16" customFormat="1" ht="15">
      <c r="A676" s="56" t="s">
        <v>1158</v>
      </c>
      <c r="B676" s="126"/>
      <c r="C676" s="36"/>
      <c r="D676" s="73"/>
      <c r="E676" s="121"/>
      <c r="F676" s="120"/>
      <c r="G676" s="218"/>
      <c r="H676" s="196"/>
      <c r="I676" s="189"/>
      <c r="J676" s="1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1:47" s="16" customFormat="1" ht="24">
      <c r="A677" s="56" t="s">
        <v>1159</v>
      </c>
      <c r="B677" s="126" t="s">
        <v>1160</v>
      </c>
      <c r="C677" s="36"/>
      <c r="D677" s="139" t="s">
        <v>1161</v>
      </c>
      <c r="E677" s="121" t="s">
        <v>1157</v>
      </c>
      <c r="F677" s="132">
        <v>410</v>
      </c>
      <c r="G677" s="218"/>
      <c r="H677" s="196">
        <f t="shared" si="34"/>
        <v>0</v>
      </c>
      <c r="I677" s="189"/>
      <c r="J677" s="1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1:47" s="16" customFormat="1" ht="24">
      <c r="A678" s="56" t="s">
        <v>1162</v>
      </c>
      <c r="B678" s="126" t="s">
        <v>1163</v>
      </c>
      <c r="C678" s="36"/>
      <c r="D678" s="139" t="s">
        <v>1164</v>
      </c>
      <c r="E678" s="121" t="s">
        <v>1157</v>
      </c>
      <c r="F678" s="132">
        <f>416+154</f>
        <v>570</v>
      </c>
      <c r="G678" s="218"/>
      <c r="H678" s="196">
        <f t="shared" si="34"/>
        <v>0</v>
      </c>
      <c r="I678" s="189"/>
      <c r="J678" s="1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1:47" s="16" customFormat="1" ht="24">
      <c r="A679" s="56" t="s">
        <v>1165</v>
      </c>
      <c r="B679" s="126" t="s">
        <v>1166</v>
      </c>
      <c r="C679" s="36"/>
      <c r="D679" s="139" t="s">
        <v>1167</v>
      </c>
      <c r="E679" s="121" t="s">
        <v>1157</v>
      </c>
      <c r="F679" s="132">
        <v>410</v>
      </c>
      <c r="G679" s="218"/>
      <c r="H679" s="196">
        <f t="shared" si="34"/>
        <v>0</v>
      </c>
      <c r="I679" s="189"/>
      <c r="J679" s="1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1:47" s="16" customFormat="1" ht="24">
      <c r="A680" s="56" t="s">
        <v>1168</v>
      </c>
      <c r="B680" s="35" t="s">
        <v>1169</v>
      </c>
      <c r="C680" s="36"/>
      <c r="D680" s="129" t="s">
        <v>1170</v>
      </c>
      <c r="E680" s="121" t="s">
        <v>1157</v>
      </c>
      <c r="F680" s="132">
        <v>410</v>
      </c>
      <c r="G680" s="218"/>
      <c r="H680" s="196">
        <f t="shared" si="34"/>
        <v>0</v>
      </c>
      <c r="I680" s="189"/>
      <c r="J680" s="1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1:47" s="16" customFormat="1" ht="15">
      <c r="A681" s="56" t="s">
        <v>1171</v>
      </c>
      <c r="B681" s="126" t="s">
        <v>1166</v>
      </c>
      <c r="C681" s="36"/>
      <c r="D681" s="129" t="s">
        <v>1172</v>
      </c>
      <c r="E681" s="121" t="s">
        <v>1157</v>
      </c>
      <c r="F681" s="132">
        <v>57</v>
      </c>
      <c r="G681" s="218"/>
      <c r="H681" s="196">
        <f t="shared" si="34"/>
        <v>0</v>
      </c>
      <c r="I681" s="189"/>
      <c r="J681" s="1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1:47" s="16" customFormat="1" ht="15">
      <c r="A682" s="56" t="s">
        <v>1173</v>
      </c>
      <c r="B682" s="126" t="s">
        <v>1174</v>
      </c>
      <c r="C682" s="36"/>
      <c r="D682" s="129" t="s">
        <v>1175</v>
      </c>
      <c r="E682" s="121" t="s">
        <v>1157</v>
      </c>
      <c r="F682" s="132">
        <v>91</v>
      </c>
      <c r="G682" s="218"/>
      <c r="H682" s="196">
        <f t="shared" si="34"/>
        <v>0</v>
      </c>
      <c r="I682" s="189"/>
      <c r="J682" s="1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1:47" s="16" customFormat="1" ht="36">
      <c r="A683" s="56" t="s">
        <v>1176</v>
      </c>
      <c r="B683" s="126" t="s">
        <v>1163</v>
      </c>
      <c r="C683" s="36"/>
      <c r="D683" s="129" t="s">
        <v>1177</v>
      </c>
      <c r="E683" s="121" t="s">
        <v>1157</v>
      </c>
      <c r="F683" s="132">
        <v>2</v>
      </c>
      <c r="G683" s="218"/>
      <c r="H683" s="196">
        <f t="shared" si="34"/>
        <v>0</v>
      </c>
      <c r="I683" s="189"/>
      <c r="J683" s="1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1:47" s="16" customFormat="1" ht="24">
      <c r="A684" s="56" t="s">
        <v>1178</v>
      </c>
      <c r="B684" s="126" t="s">
        <v>1179</v>
      </c>
      <c r="C684" s="36"/>
      <c r="D684" s="73" t="s">
        <v>1180</v>
      </c>
      <c r="E684" s="121" t="s">
        <v>947</v>
      </c>
      <c r="F684" s="131">
        <v>0.0367</v>
      </c>
      <c r="G684" s="218"/>
      <c r="H684" s="213">
        <f t="shared" si="34"/>
        <v>0</v>
      </c>
      <c r="I684" s="189"/>
      <c r="J684" s="1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1:47" s="16" customFormat="1" ht="15">
      <c r="A685" s="56" t="s">
        <v>1181</v>
      </c>
      <c r="B685" s="126"/>
      <c r="C685" s="36"/>
      <c r="D685" s="129"/>
      <c r="E685" s="38"/>
      <c r="F685" s="132"/>
      <c r="G685" s="218"/>
      <c r="H685" s="196"/>
      <c r="I685" s="189"/>
      <c r="J685" s="1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1:47" s="16" customFormat="1" ht="24">
      <c r="A686" s="56" t="s">
        <v>1182</v>
      </c>
      <c r="B686" s="126" t="s">
        <v>1183</v>
      </c>
      <c r="C686" s="36"/>
      <c r="D686" s="129" t="s">
        <v>1184</v>
      </c>
      <c r="E686" s="38" t="s">
        <v>55</v>
      </c>
      <c r="F686" s="39">
        <f>1930+1211+6805</f>
        <v>9946</v>
      </c>
      <c r="G686" s="218"/>
      <c r="H686" s="196">
        <f t="shared" si="34"/>
        <v>0</v>
      </c>
      <c r="I686" s="189"/>
      <c r="J686" s="17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1:47" s="16" customFormat="1" ht="24">
      <c r="A687" s="56" t="s">
        <v>1185</v>
      </c>
      <c r="B687" s="126" t="s">
        <v>1186</v>
      </c>
      <c r="C687" s="36"/>
      <c r="D687" s="129" t="s">
        <v>1187</v>
      </c>
      <c r="E687" s="38" t="s">
        <v>80</v>
      </c>
      <c r="F687" s="39">
        <v>2</v>
      </c>
      <c r="G687" s="218"/>
      <c r="H687" s="196">
        <f t="shared" si="34"/>
        <v>0</v>
      </c>
      <c r="I687" s="189"/>
      <c r="J687" s="1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1:47" s="16" customFormat="1" ht="15.75" customHeight="1">
      <c r="A688" s="56" t="s">
        <v>1188</v>
      </c>
      <c r="B688" s="126"/>
      <c r="C688" s="36"/>
      <c r="D688" s="144"/>
      <c r="E688" s="38"/>
      <c r="F688" s="132"/>
      <c r="G688" s="218"/>
      <c r="H688" s="196"/>
      <c r="I688" s="189"/>
      <c r="J688" s="1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1:47" s="16" customFormat="1" ht="15">
      <c r="A689" s="56" t="s">
        <v>1189</v>
      </c>
      <c r="B689" s="126"/>
      <c r="C689" s="36"/>
      <c r="D689" s="128" t="s">
        <v>1190</v>
      </c>
      <c r="E689" s="119"/>
      <c r="F689" s="132"/>
      <c r="G689" s="218"/>
      <c r="H689" s="196"/>
      <c r="I689" s="189">
        <f>SUM(I690:I694)</f>
        <v>2.9699999999999998</v>
      </c>
      <c r="J689" s="1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  <row r="690" spans="1:47" s="16" customFormat="1" ht="24">
      <c r="A690" s="56" t="s">
        <v>1191</v>
      </c>
      <c r="B690" s="126" t="s">
        <v>1192</v>
      </c>
      <c r="C690" s="36"/>
      <c r="D690" s="129" t="s">
        <v>1193</v>
      </c>
      <c r="E690" s="38" t="s">
        <v>80</v>
      </c>
      <c r="F690" s="132">
        <v>410</v>
      </c>
      <c r="G690" s="218"/>
      <c r="H690" s="196">
        <f t="shared" si="34"/>
        <v>0</v>
      </c>
      <c r="I690" s="190">
        <f>ROUND((F690*0.00278),2)</f>
        <v>1.14</v>
      </c>
      <c r="J690" s="1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</row>
    <row r="691" spans="1:47" s="16" customFormat="1" ht="24">
      <c r="A691" s="56" t="s">
        <v>1194</v>
      </c>
      <c r="B691" s="126" t="s">
        <v>1195</v>
      </c>
      <c r="C691" s="36"/>
      <c r="D691" s="129" t="s">
        <v>1196</v>
      </c>
      <c r="E691" s="38" t="s">
        <v>80</v>
      </c>
      <c r="F691" s="132">
        <v>410</v>
      </c>
      <c r="G691" s="218"/>
      <c r="H691" s="196">
        <f t="shared" si="34"/>
        <v>0</v>
      </c>
      <c r="I691" s="190">
        <f>ROUND((F691*0.00278),2)</f>
        <v>1.14</v>
      </c>
      <c r="J691" s="1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</row>
    <row r="692" spans="1:47" s="16" customFormat="1" ht="24">
      <c r="A692" s="56" t="s">
        <v>1197</v>
      </c>
      <c r="B692" s="126" t="s">
        <v>1198</v>
      </c>
      <c r="C692" s="36"/>
      <c r="D692" s="129" t="s">
        <v>1199</v>
      </c>
      <c r="E692" s="38" t="s">
        <v>80</v>
      </c>
      <c r="F692" s="132">
        <v>57</v>
      </c>
      <c r="G692" s="218"/>
      <c r="H692" s="196">
        <f t="shared" si="34"/>
        <v>0</v>
      </c>
      <c r="I692" s="190">
        <f>ROUND((F692*0.00432),2)</f>
        <v>0.25</v>
      </c>
      <c r="J692" s="1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</row>
    <row r="693" spans="1:47" s="16" customFormat="1" ht="24">
      <c r="A693" s="56" t="s">
        <v>1200</v>
      </c>
      <c r="B693" s="126" t="s">
        <v>1198</v>
      </c>
      <c r="C693" s="36"/>
      <c r="D693" s="129" t="s">
        <v>1201</v>
      </c>
      <c r="E693" s="38" t="s">
        <v>80</v>
      </c>
      <c r="F693" s="132">
        <v>91</v>
      </c>
      <c r="G693" s="218"/>
      <c r="H693" s="196">
        <f t="shared" si="34"/>
        <v>0</v>
      </c>
      <c r="I693" s="190">
        <f>ROUND((F693*0.00432),2)</f>
        <v>0.39</v>
      </c>
      <c r="J693" s="1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</row>
    <row r="694" spans="1:47" s="16" customFormat="1" ht="24">
      <c r="A694" s="56" t="s">
        <v>1202</v>
      </c>
      <c r="B694" s="126" t="s">
        <v>937</v>
      </c>
      <c r="C694" s="36"/>
      <c r="D694" s="129" t="s">
        <v>1203</v>
      </c>
      <c r="E694" s="38" t="s">
        <v>80</v>
      </c>
      <c r="F694" s="132">
        <v>2</v>
      </c>
      <c r="G694" s="218"/>
      <c r="H694" s="196">
        <f t="shared" si="34"/>
        <v>0</v>
      </c>
      <c r="I694" s="190">
        <f>ROUND((F694*0.0238),2)</f>
        <v>0.05</v>
      </c>
      <c r="J694" s="1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</row>
    <row r="695" spans="1:47" s="16" customFormat="1" ht="15">
      <c r="A695" s="56" t="s">
        <v>1204</v>
      </c>
      <c r="B695" s="126" t="s">
        <v>1205</v>
      </c>
      <c r="C695" s="36"/>
      <c r="D695" s="129" t="s">
        <v>1206</v>
      </c>
      <c r="E695" s="38" t="s">
        <v>9</v>
      </c>
      <c r="F695" s="132">
        <v>0.003</v>
      </c>
      <c r="G695" s="218"/>
      <c r="H695" s="196">
        <f>F695*G695</f>
        <v>0</v>
      </c>
      <c r="I695" s="190"/>
      <c r="J695" s="1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</row>
    <row r="696" spans="1:47" s="16" customFormat="1" ht="15">
      <c r="A696" s="56" t="s">
        <v>1207</v>
      </c>
      <c r="B696" s="126"/>
      <c r="C696" s="36"/>
      <c r="D696" s="129"/>
      <c r="E696" s="38"/>
      <c r="F696" s="132"/>
      <c r="G696" s="218"/>
      <c r="H696" s="196"/>
      <c r="I696" s="190"/>
      <c r="J696" s="1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</row>
    <row r="697" spans="1:9" ht="15">
      <c r="A697" s="56" t="s">
        <v>1208</v>
      </c>
      <c r="B697" s="126"/>
      <c r="D697" s="127" t="s">
        <v>1209</v>
      </c>
      <c r="E697" s="119"/>
      <c r="F697" s="145"/>
      <c r="G697" s="229"/>
      <c r="H697" s="207"/>
      <c r="I697" s="187"/>
    </row>
    <row r="698" spans="1:11" ht="24">
      <c r="A698" s="56" t="s">
        <v>1210</v>
      </c>
      <c r="B698" s="126" t="s">
        <v>1211</v>
      </c>
      <c r="D698" s="146" t="s">
        <v>1212</v>
      </c>
      <c r="E698" s="119" t="s">
        <v>965</v>
      </c>
      <c r="F698" s="120">
        <f>(1930+1211+7363)</f>
        <v>10504</v>
      </c>
      <c r="G698" s="229"/>
      <c r="H698" s="80">
        <f>ROUND((F698*G698),2)</f>
        <v>0</v>
      </c>
      <c r="I698" s="191"/>
      <c r="J698" s="3"/>
      <c r="K698" s="20"/>
    </row>
    <row r="699" spans="1:9" ht="15">
      <c r="A699" s="56" t="s">
        <v>1213</v>
      </c>
      <c r="B699" s="126" t="s">
        <v>1214</v>
      </c>
      <c r="D699" s="146" t="s">
        <v>1215</v>
      </c>
      <c r="E699" s="119" t="s">
        <v>131</v>
      </c>
      <c r="F699" s="120">
        <v>35</v>
      </c>
      <c r="G699" s="229"/>
      <c r="H699" s="196">
        <f aca="true" t="shared" si="35" ref="H699">ROUND((F699*G699),2)</f>
        <v>0</v>
      </c>
      <c r="I699" s="187"/>
    </row>
    <row r="700" spans="1:47" s="16" customFormat="1" ht="15">
      <c r="A700" s="56" t="s">
        <v>1216</v>
      </c>
      <c r="B700" s="126"/>
      <c r="C700" s="36"/>
      <c r="D700" s="129"/>
      <c r="E700" s="38"/>
      <c r="F700" s="132"/>
      <c r="G700" s="218"/>
      <c r="H700" s="196"/>
      <c r="I700" s="190"/>
      <c r="J700" s="1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</row>
    <row r="701" spans="1:45" s="16" customFormat="1" ht="13.9" customHeight="1">
      <c r="A701" s="56" t="s">
        <v>1217</v>
      </c>
      <c r="B701" s="35"/>
      <c r="C701" s="147"/>
      <c r="D701" s="37" t="s">
        <v>13</v>
      </c>
      <c r="E701" s="119" t="s">
        <v>9</v>
      </c>
      <c r="F701" s="42" t="s">
        <v>48</v>
      </c>
      <c r="G701" s="218"/>
      <c r="H701" s="202">
        <f>SUM(H702:H705)</f>
        <v>0</v>
      </c>
      <c r="I701" s="189"/>
      <c r="J701" s="2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3" ht="24">
      <c r="A702" s="56" t="s">
        <v>1218</v>
      </c>
      <c r="B702" s="43"/>
      <c r="C702" s="44"/>
      <c r="D702" s="129" t="s">
        <v>1219</v>
      </c>
      <c r="E702" s="46"/>
      <c r="F702" s="95"/>
      <c r="G702" s="220"/>
      <c r="H702" s="196"/>
      <c r="I702" s="187"/>
      <c r="AQ702" s="4"/>
    </row>
    <row r="703" spans="1:43" ht="24">
      <c r="A703" s="56" t="s">
        <v>1220</v>
      </c>
      <c r="B703" s="43" t="s">
        <v>1221</v>
      </c>
      <c r="C703" s="44" t="s">
        <v>1222</v>
      </c>
      <c r="D703" s="73" t="s">
        <v>1223</v>
      </c>
      <c r="E703" s="46" t="s">
        <v>55</v>
      </c>
      <c r="F703" s="95">
        <v>6</v>
      </c>
      <c r="G703" s="220"/>
      <c r="H703" s="196">
        <f t="shared" si="34"/>
        <v>0</v>
      </c>
      <c r="I703" s="187"/>
      <c r="AQ703" s="4"/>
    </row>
    <row r="704" spans="1:43" ht="24">
      <c r="A704" s="56" t="s">
        <v>1224</v>
      </c>
      <c r="B704" s="43" t="s">
        <v>1225</v>
      </c>
      <c r="C704" s="148"/>
      <c r="D704" s="74" t="s">
        <v>1226</v>
      </c>
      <c r="E704" s="46" t="s">
        <v>55</v>
      </c>
      <c r="F704" s="95">
        <v>6</v>
      </c>
      <c r="G704" s="220"/>
      <c r="H704" s="196">
        <f t="shared" si="34"/>
        <v>0</v>
      </c>
      <c r="I704" s="187"/>
      <c r="AQ704" s="4"/>
    </row>
    <row r="705" spans="1:43" ht="24">
      <c r="A705" s="56" t="s">
        <v>1227</v>
      </c>
      <c r="B705" s="43">
        <v>998713203</v>
      </c>
      <c r="C705" s="148"/>
      <c r="D705" s="73" t="s">
        <v>1228</v>
      </c>
      <c r="E705" s="46" t="s">
        <v>9</v>
      </c>
      <c r="F705" s="149">
        <v>0.022</v>
      </c>
      <c r="G705" s="220"/>
      <c r="H705" s="196">
        <f t="shared" si="34"/>
        <v>0</v>
      </c>
      <c r="I705" s="187"/>
      <c r="J705" s="13"/>
      <c r="AQ705" s="4"/>
    </row>
    <row r="706" spans="1:47" s="16" customFormat="1" ht="15">
      <c r="A706" s="56" t="s">
        <v>1229</v>
      </c>
      <c r="B706" s="126"/>
      <c r="C706" s="36"/>
      <c r="D706" s="26"/>
      <c r="E706" s="119"/>
      <c r="F706" s="132"/>
      <c r="G706" s="229"/>
      <c r="H706" s="207"/>
      <c r="I706" s="189"/>
      <c r="J706" s="1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</row>
    <row r="707" spans="1:47" s="16" customFormat="1" ht="15">
      <c r="A707" s="56" t="s">
        <v>1230</v>
      </c>
      <c r="B707" s="35" t="s">
        <v>1231</v>
      </c>
      <c r="C707" s="36"/>
      <c r="D707" s="37" t="s">
        <v>14</v>
      </c>
      <c r="E707" s="119" t="s">
        <v>9</v>
      </c>
      <c r="F707" s="145" t="s">
        <v>48</v>
      </c>
      <c r="G707" s="229"/>
      <c r="H707" s="207">
        <f>SUM(H708:H721)</f>
        <v>0</v>
      </c>
      <c r="I707" s="189"/>
      <c r="J707" s="1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</row>
    <row r="708" spans="1:47" s="16" customFormat="1" ht="15">
      <c r="A708" s="56" t="s">
        <v>1232</v>
      </c>
      <c r="B708" s="150"/>
      <c r="C708" s="151"/>
      <c r="D708" s="152" t="s">
        <v>1233</v>
      </c>
      <c r="E708" s="153"/>
      <c r="F708" s="154"/>
      <c r="G708" s="234"/>
      <c r="H708" s="214"/>
      <c r="I708" s="189"/>
      <c r="J708" s="18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</row>
    <row r="709" spans="1:47" s="16" customFormat="1" ht="15">
      <c r="A709" s="56" t="s">
        <v>1234</v>
      </c>
      <c r="B709" s="155">
        <v>722130238</v>
      </c>
      <c r="C709" s="151"/>
      <c r="D709" s="156" t="s">
        <v>1235</v>
      </c>
      <c r="E709" s="153" t="s">
        <v>965</v>
      </c>
      <c r="F709" s="157">
        <v>4</v>
      </c>
      <c r="G709" s="235"/>
      <c r="H709" s="196">
        <f aca="true" t="shared" si="36" ref="H709">ROUND((F709*G709),2)</f>
        <v>0</v>
      </c>
      <c r="I709" s="189"/>
      <c r="J709" s="18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</row>
    <row r="710" spans="1:47" s="16" customFormat="1" ht="15">
      <c r="A710" s="56" t="s">
        <v>1236</v>
      </c>
      <c r="B710" s="150"/>
      <c r="C710" s="151"/>
      <c r="D710" s="156" t="s">
        <v>1237</v>
      </c>
      <c r="E710" s="153"/>
      <c r="F710" s="157"/>
      <c r="G710" s="235"/>
      <c r="H710" s="215"/>
      <c r="I710" s="189"/>
      <c r="J710" s="18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</row>
    <row r="711" spans="1:47" s="16" customFormat="1" ht="15">
      <c r="A711" s="56" t="s">
        <v>1238</v>
      </c>
      <c r="B711" s="150">
        <v>722290229</v>
      </c>
      <c r="C711" s="151"/>
      <c r="D711" s="156" t="s">
        <v>1239</v>
      </c>
      <c r="E711" s="153" t="s">
        <v>965</v>
      </c>
      <c r="F711" s="157">
        <v>4</v>
      </c>
      <c r="G711" s="235"/>
      <c r="H711" s="196">
        <f aca="true" t="shared" si="37" ref="H711:H713">ROUND((F711*G711),2)</f>
        <v>0</v>
      </c>
      <c r="I711" s="189"/>
      <c r="J711" s="18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</row>
    <row r="712" spans="1:47" s="16" customFormat="1" ht="15">
      <c r="A712" s="56" t="s">
        <v>1240</v>
      </c>
      <c r="B712" s="150">
        <v>722290234</v>
      </c>
      <c r="C712" s="151"/>
      <c r="D712" s="156" t="s">
        <v>1241</v>
      </c>
      <c r="E712" s="153" t="s">
        <v>965</v>
      </c>
      <c r="F712" s="157">
        <v>4</v>
      </c>
      <c r="G712" s="235"/>
      <c r="H712" s="196">
        <f t="shared" si="37"/>
        <v>0</v>
      </c>
      <c r="I712" s="189"/>
      <c r="J712" s="18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</row>
    <row r="713" spans="1:47" s="16" customFormat="1" ht="24">
      <c r="A713" s="56" t="s">
        <v>1242</v>
      </c>
      <c r="B713" s="150" t="s">
        <v>1243</v>
      </c>
      <c r="C713" s="151"/>
      <c r="D713" s="156" t="s">
        <v>1244</v>
      </c>
      <c r="E713" s="153" t="s">
        <v>965</v>
      </c>
      <c r="F713" s="157">
        <v>4</v>
      </c>
      <c r="G713" s="235"/>
      <c r="H713" s="205">
        <f t="shared" si="37"/>
        <v>0</v>
      </c>
      <c r="I713" s="189"/>
      <c r="J713" s="18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</row>
    <row r="714" spans="1:47" s="16" customFormat="1" ht="15">
      <c r="A714" s="56" t="s">
        <v>1245</v>
      </c>
      <c r="B714" s="150"/>
      <c r="C714" s="151"/>
      <c r="D714" s="158" t="s">
        <v>1246</v>
      </c>
      <c r="E714" s="153"/>
      <c r="F714" s="154"/>
      <c r="G714" s="235"/>
      <c r="H714" s="214"/>
      <c r="I714" s="189"/>
      <c r="J714" s="18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</row>
    <row r="715" spans="1:47" s="16" customFormat="1" ht="15">
      <c r="A715" s="56" t="s">
        <v>1247</v>
      </c>
      <c r="B715" s="150">
        <v>722130805</v>
      </c>
      <c r="C715" s="151"/>
      <c r="D715" s="156" t="s">
        <v>1248</v>
      </c>
      <c r="E715" s="153" t="s">
        <v>965</v>
      </c>
      <c r="F715" s="157">
        <v>10</v>
      </c>
      <c r="G715" s="235"/>
      <c r="H715" s="196">
        <f aca="true" t="shared" si="38" ref="H715:H720">ROUND((F715*G715),2)</f>
        <v>0</v>
      </c>
      <c r="I715" s="189"/>
      <c r="J715" s="18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</row>
    <row r="716" spans="1:47" s="16" customFormat="1" ht="15">
      <c r="A716" s="56" t="s">
        <v>1249</v>
      </c>
      <c r="B716" s="150" t="s">
        <v>1250</v>
      </c>
      <c r="C716" s="151"/>
      <c r="D716" s="156" t="s">
        <v>1251</v>
      </c>
      <c r="E716" s="153" t="s">
        <v>965</v>
      </c>
      <c r="F716" s="157">
        <v>10</v>
      </c>
      <c r="G716" s="235"/>
      <c r="H716" s="196">
        <f t="shared" si="38"/>
        <v>0</v>
      </c>
      <c r="I716" s="189"/>
      <c r="J716" s="18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</row>
    <row r="717" spans="1:47" s="16" customFormat="1" ht="15">
      <c r="A717" s="56" t="s">
        <v>1252</v>
      </c>
      <c r="B717" s="150" t="s">
        <v>1253</v>
      </c>
      <c r="C717" s="151"/>
      <c r="D717" s="156" t="s">
        <v>1254</v>
      </c>
      <c r="E717" s="153" t="s">
        <v>80</v>
      </c>
      <c r="F717" s="157">
        <v>10</v>
      </c>
      <c r="G717" s="235"/>
      <c r="H717" s="196">
        <f t="shared" si="38"/>
        <v>0</v>
      </c>
      <c r="I717" s="189"/>
      <c r="J717" s="18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</row>
    <row r="718" spans="1:47" s="16" customFormat="1" ht="15">
      <c r="A718" s="56" t="s">
        <v>1255</v>
      </c>
      <c r="B718" s="150"/>
      <c r="C718" s="151"/>
      <c r="D718" s="159" t="s">
        <v>1256</v>
      </c>
      <c r="E718" s="160"/>
      <c r="F718" s="161"/>
      <c r="G718" s="236"/>
      <c r="H718" s="196"/>
      <c r="I718" s="189"/>
      <c r="J718" s="1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</row>
    <row r="719" spans="1:47" s="16" customFormat="1" ht="15">
      <c r="A719" s="56" t="s">
        <v>1257</v>
      </c>
      <c r="B719" s="150" t="s">
        <v>1258</v>
      </c>
      <c r="C719" s="151"/>
      <c r="D719" s="156" t="s">
        <v>1259</v>
      </c>
      <c r="E719" s="153" t="s">
        <v>965</v>
      </c>
      <c r="F719" s="157">
        <v>2</v>
      </c>
      <c r="G719" s="235"/>
      <c r="H719" s="196">
        <f t="shared" si="38"/>
        <v>0</v>
      </c>
      <c r="I719" s="189"/>
      <c r="J719" s="18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</row>
    <row r="720" spans="1:47" s="16" customFormat="1" ht="24">
      <c r="A720" s="56" t="s">
        <v>1260</v>
      </c>
      <c r="B720" s="150">
        <v>892241111</v>
      </c>
      <c r="C720" s="151"/>
      <c r="D720" s="152" t="s">
        <v>1261</v>
      </c>
      <c r="E720" s="153" t="s">
        <v>9</v>
      </c>
      <c r="F720" s="162">
        <v>0.0112</v>
      </c>
      <c r="G720" s="237"/>
      <c r="H720" s="216">
        <f t="shared" si="38"/>
        <v>0</v>
      </c>
      <c r="I720" s="189"/>
      <c r="J720" s="18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</row>
    <row r="721" spans="1:47" s="16" customFormat="1" ht="15">
      <c r="A721" s="56" t="s">
        <v>1262</v>
      </c>
      <c r="B721" s="150"/>
      <c r="C721" s="151"/>
      <c r="D721" s="156" t="s">
        <v>1263</v>
      </c>
      <c r="E721" s="153"/>
      <c r="F721" s="157"/>
      <c r="G721" s="235"/>
      <c r="H721" s="215"/>
      <c r="I721" s="189"/>
      <c r="J721" s="18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</row>
    <row r="722" spans="1:9" ht="15">
      <c r="A722" s="56" t="s">
        <v>1264</v>
      </c>
      <c r="B722" s="126"/>
      <c r="D722" s="146"/>
      <c r="E722" s="119"/>
      <c r="F722" s="120"/>
      <c r="G722" s="229"/>
      <c r="H722" s="196"/>
      <c r="I722" s="187"/>
    </row>
    <row r="723" spans="1:43" ht="15">
      <c r="A723" s="56" t="s">
        <v>1265</v>
      </c>
      <c r="B723" s="43"/>
      <c r="C723" s="44"/>
      <c r="D723" s="75" t="s">
        <v>1266</v>
      </c>
      <c r="E723" s="92" t="s">
        <v>9</v>
      </c>
      <c r="F723" s="93" t="s">
        <v>48</v>
      </c>
      <c r="G723" s="220"/>
      <c r="H723" s="202">
        <f>SUM(H725:H730)</f>
        <v>0</v>
      </c>
      <c r="AQ723" s="4"/>
    </row>
    <row r="724" spans="1:43" ht="24">
      <c r="A724" s="56" t="s">
        <v>1267</v>
      </c>
      <c r="B724" s="43"/>
      <c r="C724" s="44"/>
      <c r="D724" s="50" t="s">
        <v>1268</v>
      </c>
      <c r="E724" s="46"/>
      <c r="F724" s="47"/>
      <c r="G724" s="220"/>
      <c r="H724" s="196"/>
      <c r="AQ724" s="4"/>
    </row>
    <row r="725" spans="1:43" ht="15">
      <c r="A725" s="56" t="s">
        <v>1269</v>
      </c>
      <c r="B725" s="43"/>
      <c r="C725" s="44"/>
      <c r="D725" s="50" t="s">
        <v>1270</v>
      </c>
      <c r="E725" s="46"/>
      <c r="F725" s="47"/>
      <c r="G725" s="220"/>
      <c r="H725" s="202"/>
      <c r="AQ725" s="4"/>
    </row>
    <row r="726" spans="1:43" ht="22.5">
      <c r="A726" s="56" t="s">
        <v>1271</v>
      </c>
      <c r="B726" s="43" t="s">
        <v>1272</v>
      </c>
      <c r="D726" s="74" t="s">
        <v>1273</v>
      </c>
      <c r="E726" s="46" t="s">
        <v>55</v>
      </c>
      <c r="F726" s="47">
        <f>410*3</f>
        <v>1230</v>
      </c>
      <c r="G726" s="220"/>
      <c r="H726" s="196">
        <f>ROUND((F726*G726),2)</f>
        <v>0</v>
      </c>
      <c r="AQ726" s="4"/>
    </row>
    <row r="727" spans="1:43" ht="15">
      <c r="A727" s="56" t="s">
        <v>1274</v>
      </c>
      <c r="B727" s="43" t="s">
        <v>1275</v>
      </c>
      <c r="C727" s="44"/>
      <c r="D727" s="50" t="s">
        <v>1276</v>
      </c>
      <c r="E727" s="46" t="s">
        <v>55</v>
      </c>
      <c r="F727" s="47">
        <f>410*3</f>
        <v>1230</v>
      </c>
      <c r="G727" s="220"/>
      <c r="H727" s="196">
        <f aca="true" t="shared" si="39" ref="H727:H730">ROUND((F727*G727),2)</f>
        <v>0</v>
      </c>
      <c r="AQ727" s="4"/>
    </row>
    <row r="728" spans="1:43" ht="24">
      <c r="A728" s="56" t="s">
        <v>1277</v>
      </c>
      <c r="B728" s="43" t="s">
        <v>1278</v>
      </c>
      <c r="C728" s="44"/>
      <c r="D728" s="50" t="s">
        <v>1279</v>
      </c>
      <c r="E728" s="46" t="s">
        <v>55</v>
      </c>
      <c r="F728" s="47">
        <f>410*3</f>
        <v>1230</v>
      </c>
      <c r="G728" s="220"/>
      <c r="H728" s="196">
        <f t="shared" si="39"/>
        <v>0</v>
      </c>
      <c r="AQ728" s="4"/>
    </row>
    <row r="729" spans="1:43" ht="24">
      <c r="A729" s="56" t="s">
        <v>1280</v>
      </c>
      <c r="B729" s="43" t="s">
        <v>1281</v>
      </c>
      <c r="C729" s="44"/>
      <c r="D729" s="50" t="s">
        <v>1282</v>
      </c>
      <c r="E729" s="46" t="s">
        <v>55</v>
      </c>
      <c r="F729" s="47">
        <f>410*3</f>
        <v>1230</v>
      </c>
      <c r="G729" s="220"/>
      <c r="H729" s="196">
        <f t="shared" si="39"/>
        <v>0</v>
      </c>
      <c r="AQ729" s="4"/>
    </row>
    <row r="730" spans="1:43" ht="24">
      <c r="A730" s="56" t="s">
        <v>1283</v>
      </c>
      <c r="B730" s="43" t="s">
        <v>1284</v>
      </c>
      <c r="C730" s="44"/>
      <c r="D730" s="50" t="s">
        <v>1285</v>
      </c>
      <c r="E730" s="46" t="s">
        <v>55</v>
      </c>
      <c r="F730" s="47">
        <f>410*2</f>
        <v>820</v>
      </c>
      <c r="G730" s="220"/>
      <c r="H730" s="196">
        <f t="shared" si="39"/>
        <v>0</v>
      </c>
      <c r="AQ730" s="4"/>
    </row>
    <row r="731" spans="1:43" ht="15">
      <c r="A731" s="56" t="s">
        <v>1286</v>
      </c>
      <c r="B731" s="43"/>
      <c r="C731" s="44"/>
      <c r="D731" s="72"/>
      <c r="E731" s="46"/>
      <c r="F731" s="47"/>
      <c r="G731" s="220"/>
      <c r="H731" s="196"/>
      <c r="I731" s="187"/>
      <c r="AQ731" s="4"/>
    </row>
    <row r="732" spans="1:43" ht="15">
      <c r="A732" s="56" t="s">
        <v>1287</v>
      </c>
      <c r="B732" s="43"/>
      <c r="C732" s="44"/>
      <c r="D732" s="75" t="s">
        <v>16</v>
      </c>
      <c r="E732" s="46" t="s">
        <v>9</v>
      </c>
      <c r="F732" s="105" t="s">
        <v>48</v>
      </c>
      <c r="G732" s="228"/>
      <c r="H732" s="217">
        <f>SUM(H734:H742)</f>
        <v>0</v>
      </c>
      <c r="AQ732" s="4"/>
    </row>
    <row r="733" spans="1:43" ht="15">
      <c r="A733" s="56" t="s">
        <v>1288</v>
      </c>
      <c r="B733" s="43"/>
      <c r="C733" s="44"/>
      <c r="D733" s="163" t="s">
        <v>1289</v>
      </c>
      <c r="E733" s="46"/>
      <c r="F733" s="78"/>
      <c r="G733" s="228"/>
      <c r="H733" s="202"/>
      <c r="AQ733" s="4"/>
    </row>
    <row r="734" spans="1:43" ht="15">
      <c r="A734" s="56" t="s">
        <v>1290</v>
      </c>
      <c r="B734" s="43">
        <v>783601421</v>
      </c>
      <c r="C734" s="44"/>
      <c r="D734" s="164" t="s">
        <v>1291</v>
      </c>
      <c r="E734" s="165" t="s">
        <v>55</v>
      </c>
      <c r="F734" s="166">
        <f>F96</f>
        <v>1930.235</v>
      </c>
      <c r="G734" s="226"/>
      <c r="H734" s="205">
        <f aca="true" t="shared" si="40" ref="H734:H742">ROUND((F734*G734),2)</f>
        <v>0</v>
      </c>
      <c r="I734" s="187"/>
      <c r="J734" s="6"/>
      <c r="AQ734" s="4"/>
    </row>
    <row r="735" spans="1:43" ht="24">
      <c r="A735" s="56" t="s">
        <v>1292</v>
      </c>
      <c r="B735" s="43">
        <v>783601345</v>
      </c>
      <c r="C735" s="44"/>
      <c r="D735" s="53" t="s">
        <v>1293</v>
      </c>
      <c r="E735" s="46" t="s">
        <v>55</v>
      </c>
      <c r="F735" s="47">
        <f>F734</f>
        <v>1930.235</v>
      </c>
      <c r="G735" s="220"/>
      <c r="H735" s="196">
        <f t="shared" si="40"/>
        <v>0</v>
      </c>
      <c r="J735" s="10"/>
      <c r="AQ735" s="4"/>
    </row>
    <row r="736" spans="1:43" ht="15">
      <c r="A736" s="56" t="s">
        <v>1294</v>
      </c>
      <c r="B736" s="43">
        <v>783622111</v>
      </c>
      <c r="C736" s="44"/>
      <c r="D736" s="51" t="s">
        <v>1295</v>
      </c>
      <c r="E736" s="46" t="s">
        <v>55</v>
      </c>
      <c r="F736" s="47">
        <f>F734*0.5</f>
        <v>965.1175</v>
      </c>
      <c r="G736" s="220"/>
      <c r="H736" s="196">
        <f t="shared" si="40"/>
        <v>0</v>
      </c>
      <c r="J736" s="10"/>
      <c r="AQ736" s="4"/>
    </row>
    <row r="737" spans="1:43" ht="15">
      <c r="A737" s="56" t="s">
        <v>1296</v>
      </c>
      <c r="B737" s="43"/>
      <c r="C737" s="44"/>
      <c r="D737" s="53" t="s">
        <v>1297</v>
      </c>
      <c r="E737" s="46"/>
      <c r="F737" s="47"/>
      <c r="G737" s="220"/>
      <c r="H737" s="196"/>
      <c r="J737" s="5"/>
      <c r="AQ737" s="4"/>
    </row>
    <row r="738" spans="1:43" ht="24">
      <c r="A738" s="56" t="s">
        <v>1298</v>
      </c>
      <c r="B738" s="43">
        <v>783624141</v>
      </c>
      <c r="C738" s="44"/>
      <c r="D738" s="53" t="s">
        <v>1299</v>
      </c>
      <c r="E738" s="46" t="s">
        <v>55</v>
      </c>
      <c r="F738" s="47">
        <f>F735</f>
        <v>1930.235</v>
      </c>
      <c r="G738" s="220"/>
      <c r="H738" s="196">
        <f t="shared" si="40"/>
        <v>0</v>
      </c>
      <c r="J738" s="5"/>
      <c r="AQ738" s="4"/>
    </row>
    <row r="739" spans="1:43" ht="15">
      <c r="A739" s="56" t="s">
        <v>1300</v>
      </c>
      <c r="B739" s="43">
        <v>783627117</v>
      </c>
      <c r="C739" s="148"/>
      <c r="D739" s="74" t="s">
        <v>1301</v>
      </c>
      <c r="E739" s="46" t="s">
        <v>55</v>
      </c>
      <c r="F739" s="47">
        <f>F735</f>
        <v>1930.235</v>
      </c>
      <c r="G739" s="220"/>
      <c r="H739" s="196">
        <f t="shared" si="40"/>
        <v>0</v>
      </c>
      <c r="J739" s="5"/>
      <c r="AQ739" s="4"/>
    </row>
    <row r="740" spans="1:43" ht="24">
      <c r="A740" s="56" t="s">
        <v>1302</v>
      </c>
      <c r="B740" s="43">
        <v>783601715</v>
      </c>
      <c r="C740" s="44"/>
      <c r="D740" s="53" t="s">
        <v>1303</v>
      </c>
      <c r="E740" s="46" t="s">
        <v>965</v>
      </c>
      <c r="F740" s="47">
        <f>1211+7363</f>
        <v>8574</v>
      </c>
      <c r="G740" s="220"/>
      <c r="H740" s="196">
        <f t="shared" si="40"/>
        <v>0</v>
      </c>
      <c r="J740" s="11"/>
      <c r="AQ740" s="4"/>
    </row>
    <row r="741" spans="1:43" ht="15">
      <c r="A741" s="56" t="s">
        <v>1304</v>
      </c>
      <c r="B741" s="43">
        <v>783624551</v>
      </c>
      <c r="C741" s="44"/>
      <c r="D741" s="53" t="s">
        <v>1305</v>
      </c>
      <c r="E741" s="46" t="s">
        <v>965</v>
      </c>
      <c r="F741" s="47">
        <f>F740</f>
        <v>8574</v>
      </c>
      <c r="G741" s="220"/>
      <c r="H741" s="196">
        <f t="shared" si="40"/>
        <v>0</v>
      </c>
      <c r="J741" s="10"/>
      <c r="AQ741" s="4"/>
    </row>
    <row r="742" spans="1:43" ht="24">
      <c r="A742" s="56" t="s">
        <v>1306</v>
      </c>
      <c r="B742" s="43">
        <v>783627612</v>
      </c>
      <c r="C742" s="44"/>
      <c r="D742" s="53" t="s">
        <v>1307</v>
      </c>
      <c r="E742" s="46" t="s">
        <v>965</v>
      </c>
      <c r="F742" s="47">
        <f>F740</f>
        <v>8574</v>
      </c>
      <c r="G742" s="220"/>
      <c r="H742" s="196">
        <f t="shared" si="40"/>
        <v>0</v>
      </c>
      <c r="J742" s="10"/>
      <c r="AQ742" s="4"/>
    </row>
    <row r="743" spans="1:47" s="16" customFormat="1" ht="15">
      <c r="A743" s="56" t="s">
        <v>1308</v>
      </c>
      <c r="B743" s="126"/>
      <c r="C743" s="36"/>
      <c r="D743" s="127"/>
      <c r="E743" s="119"/>
      <c r="F743" s="42"/>
      <c r="G743" s="229"/>
      <c r="H743" s="207"/>
      <c r="I743" s="189"/>
      <c r="J743" s="1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</row>
    <row r="744" spans="1:47" s="16" customFormat="1" ht="15">
      <c r="A744" s="56" t="s">
        <v>1309</v>
      </c>
      <c r="B744" s="35"/>
      <c r="C744" s="36"/>
      <c r="D744" s="167" t="s">
        <v>1310</v>
      </c>
      <c r="E744" s="38" t="s">
        <v>9</v>
      </c>
      <c r="F744" s="145" t="s">
        <v>48</v>
      </c>
      <c r="G744" s="238"/>
      <c r="H744" s="194">
        <f>SUM(H745:H760)</f>
        <v>0</v>
      </c>
      <c r="I744" s="189"/>
      <c r="J744" s="1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</row>
    <row r="745" spans="1:47" s="16" customFormat="1" ht="15">
      <c r="A745" s="56" t="s">
        <v>1311</v>
      </c>
      <c r="B745" s="35">
        <v>32103000</v>
      </c>
      <c r="C745" s="36"/>
      <c r="D745" s="73" t="s">
        <v>1312</v>
      </c>
      <c r="E745" s="38" t="s">
        <v>80</v>
      </c>
      <c r="F745" s="120">
        <v>1</v>
      </c>
      <c r="G745" s="218"/>
      <c r="H745" s="196">
        <f aca="true" t="shared" si="41" ref="H745:H760">ROUND((F745*G745),2)</f>
        <v>0</v>
      </c>
      <c r="I745" s="189"/>
      <c r="J745" s="1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</row>
    <row r="746" spans="1:47" s="16" customFormat="1" ht="15">
      <c r="A746" s="56" t="s">
        <v>1313</v>
      </c>
      <c r="B746" s="35"/>
      <c r="C746" s="36"/>
      <c r="D746" s="73" t="s">
        <v>1314</v>
      </c>
      <c r="E746" s="38" t="s">
        <v>80</v>
      </c>
      <c r="F746" s="120">
        <v>1</v>
      </c>
      <c r="G746" s="218"/>
      <c r="H746" s="196">
        <f t="shared" si="41"/>
        <v>0</v>
      </c>
      <c r="I746" s="189"/>
      <c r="J746" s="1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</row>
    <row r="747" spans="1:47" s="16" customFormat="1" ht="15">
      <c r="A747" s="56" t="s">
        <v>1315</v>
      </c>
      <c r="B747" s="35"/>
      <c r="C747" s="36"/>
      <c r="D747" s="26"/>
      <c r="E747" s="38"/>
      <c r="F747" s="132"/>
      <c r="G747" s="218"/>
      <c r="H747" s="193"/>
      <c r="I747" s="189"/>
      <c r="J747" s="1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</row>
    <row r="748" spans="1:47" s="16" customFormat="1" ht="15">
      <c r="A748" s="56" t="s">
        <v>1316</v>
      </c>
      <c r="B748" s="35">
        <v>34303000</v>
      </c>
      <c r="C748" s="36"/>
      <c r="D748" s="26" t="s">
        <v>1317</v>
      </c>
      <c r="E748" s="38" t="s">
        <v>80</v>
      </c>
      <c r="F748" s="132">
        <v>2</v>
      </c>
      <c r="G748" s="239"/>
      <c r="H748" s="196">
        <f t="shared" si="41"/>
        <v>0</v>
      </c>
      <c r="I748" s="189"/>
      <c r="J748" s="1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</row>
    <row r="749" spans="1:47" s="16" customFormat="1" ht="24">
      <c r="A749" s="56" t="s">
        <v>1318</v>
      </c>
      <c r="B749" s="35">
        <v>34203000</v>
      </c>
      <c r="C749" s="36"/>
      <c r="D749" s="26" t="s">
        <v>1319</v>
      </c>
      <c r="E749" s="38" t="s">
        <v>80</v>
      </c>
      <c r="F749" s="132">
        <v>1</v>
      </c>
      <c r="G749" s="240"/>
      <c r="H749" s="196">
        <f t="shared" si="41"/>
        <v>0</v>
      </c>
      <c r="I749" s="189"/>
      <c r="J749" s="1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</row>
    <row r="750" spans="1:47" s="16" customFormat="1" ht="15">
      <c r="A750" s="56" t="s">
        <v>1320</v>
      </c>
      <c r="B750" s="35">
        <v>34503000</v>
      </c>
      <c r="C750" s="36"/>
      <c r="D750" s="26" t="s">
        <v>1321</v>
      </c>
      <c r="E750" s="38" t="s">
        <v>80</v>
      </c>
      <c r="F750" s="120">
        <v>2</v>
      </c>
      <c r="G750" s="240"/>
      <c r="H750" s="196">
        <f t="shared" si="41"/>
        <v>0</v>
      </c>
      <c r="I750" s="189"/>
      <c r="J750" s="1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</row>
    <row r="751" spans="1:47" s="16" customFormat="1" ht="15">
      <c r="A751" s="56" t="s">
        <v>1322</v>
      </c>
      <c r="B751" s="35">
        <v>39203000</v>
      </c>
      <c r="C751" s="36"/>
      <c r="D751" s="73" t="s">
        <v>1323</v>
      </c>
      <c r="E751" s="38" t="s">
        <v>1324</v>
      </c>
      <c r="F751" s="120">
        <v>1</v>
      </c>
      <c r="G751" s="240"/>
      <c r="H751" s="196">
        <f t="shared" si="41"/>
        <v>0</v>
      </c>
      <c r="I751" s="189"/>
      <c r="J751" s="1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</row>
    <row r="752" spans="1:47" s="16" customFormat="1" ht="15">
      <c r="A752" s="56" t="s">
        <v>1325</v>
      </c>
      <c r="B752" s="35"/>
      <c r="C752" s="36"/>
      <c r="D752" s="41" t="s">
        <v>1326</v>
      </c>
      <c r="E752" s="38"/>
      <c r="F752" s="132"/>
      <c r="G752" s="240"/>
      <c r="H752" s="193"/>
      <c r="I752" s="189"/>
      <c r="J752" s="1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</row>
    <row r="753" spans="1:47" s="16" customFormat="1" ht="15">
      <c r="A753" s="56" t="s">
        <v>1327</v>
      </c>
      <c r="B753" s="126" t="s">
        <v>1328</v>
      </c>
      <c r="C753" s="36"/>
      <c r="D753" s="26" t="s">
        <v>1329</v>
      </c>
      <c r="E753" s="38" t="s">
        <v>1324</v>
      </c>
      <c r="F753" s="132">
        <v>1</v>
      </c>
      <c r="G753" s="240"/>
      <c r="H753" s="196">
        <f t="shared" si="41"/>
        <v>0</v>
      </c>
      <c r="I753" s="189"/>
      <c r="J753" s="1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</row>
    <row r="754" spans="1:47" s="16" customFormat="1" ht="15">
      <c r="A754" s="56" t="s">
        <v>1330</v>
      </c>
      <c r="B754" s="35">
        <v>13254000</v>
      </c>
      <c r="C754" s="36"/>
      <c r="D754" s="26" t="s">
        <v>1331</v>
      </c>
      <c r="E754" s="38" t="s">
        <v>1324</v>
      </c>
      <c r="F754" s="132">
        <v>1</v>
      </c>
      <c r="G754" s="240"/>
      <c r="H754" s="196">
        <f t="shared" si="41"/>
        <v>0</v>
      </c>
      <c r="I754" s="189"/>
      <c r="J754" s="1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</row>
    <row r="755" spans="1:47" s="16" customFormat="1" ht="15">
      <c r="A755" s="56" t="s">
        <v>1332</v>
      </c>
      <c r="B755" s="126" t="s">
        <v>1333</v>
      </c>
      <c r="C755" s="36"/>
      <c r="D755" s="26" t="s">
        <v>1334</v>
      </c>
      <c r="E755" s="38" t="s">
        <v>1324</v>
      </c>
      <c r="F755" s="132">
        <v>1</v>
      </c>
      <c r="G755" s="240"/>
      <c r="H755" s="196">
        <f t="shared" si="41"/>
        <v>0</v>
      </c>
      <c r="I755" s="189"/>
      <c r="J755" s="1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</row>
    <row r="756" spans="1:47" s="16" customFormat="1" ht="15">
      <c r="A756" s="56" t="s">
        <v>1335</v>
      </c>
      <c r="B756" s="126" t="s">
        <v>1336</v>
      </c>
      <c r="C756" s="36"/>
      <c r="D756" s="26" t="s">
        <v>1337</v>
      </c>
      <c r="E756" s="38" t="s">
        <v>1324</v>
      </c>
      <c r="F756" s="120">
        <v>1</v>
      </c>
      <c r="G756" s="240"/>
      <c r="H756" s="196">
        <f t="shared" si="41"/>
        <v>0</v>
      </c>
      <c r="I756" s="189"/>
      <c r="J756" s="1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</row>
    <row r="757" spans="1:43" s="29" customFormat="1" ht="48">
      <c r="A757" s="56" t="s">
        <v>1338</v>
      </c>
      <c r="B757" s="43">
        <v>91003000</v>
      </c>
      <c r="C757" s="168"/>
      <c r="D757" s="52" t="s">
        <v>1339</v>
      </c>
      <c r="E757" s="79" t="s">
        <v>1324</v>
      </c>
      <c r="F757" s="47">
        <v>1</v>
      </c>
      <c r="G757" s="241"/>
      <c r="H757" s="216">
        <f t="shared" si="41"/>
        <v>0</v>
      </c>
      <c r="I757" s="192"/>
      <c r="J757" s="28"/>
      <c r="AQ757" s="30"/>
    </row>
    <row r="758" spans="1:43" ht="48.75" customHeight="1">
      <c r="A758" s="56" t="s">
        <v>1340</v>
      </c>
      <c r="B758" s="43">
        <v>91003000</v>
      </c>
      <c r="C758" s="44"/>
      <c r="D758" s="169" t="s">
        <v>1341</v>
      </c>
      <c r="E758" s="79" t="s">
        <v>1324</v>
      </c>
      <c r="F758" s="47">
        <v>1</v>
      </c>
      <c r="G758" s="241"/>
      <c r="H758" s="216">
        <f t="shared" si="41"/>
        <v>0</v>
      </c>
      <c r="AQ758" s="4"/>
    </row>
    <row r="759" spans="1:43" ht="27" customHeight="1">
      <c r="A759" s="56" t="s">
        <v>1342</v>
      </c>
      <c r="B759" s="43">
        <v>997013501</v>
      </c>
      <c r="C759" s="44"/>
      <c r="D759" s="74" t="s">
        <v>1343</v>
      </c>
      <c r="E759" s="46" t="s">
        <v>91</v>
      </c>
      <c r="F759" s="47">
        <v>3.02</v>
      </c>
      <c r="G759" s="242"/>
      <c r="H759" s="196">
        <f t="shared" si="41"/>
        <v>0</v>
      </c>
      <c r="AQ759" s="4"/>
    </row>
    <row r="760" spans="1:43" ht="42.6" customHeight="1">
      <c r="A760" s="56" t="s">
        <v>1344</v>
      </c>
      <c r="B760" s="43">
        <v>997013509</v>
      </c>
      <c r="C760" s="44"/>
      <c r="D760" s="50" t="s">
        <v>1345</v>
      </c>
      <c r="E760" s="46" t="s">
        <v>91</v>
      </c>
      <c r="F760" s="47">
        <v>3.02</v>
      </c>
      <c r="G760" s="242"/>
      <c r="H760" s="196">
        <f t="shared" si="41"/>
        <v>0</v>
      </c>
      <c r="AQ760" s="4"/>
    </row>
    <row r="761" spans="1:43" ht="13.9" customHeight="1">
      <c r="A761" s="56"/>
      <c r="B761" s="43"/>
      <c r="C761" s="44"/>
      <c r="D761" s="75"/>
      <c r="E761" s="46"/>
      <c r="F761" s="47"/>
      <c r="G761" s="220"/>
      <c r="H761" s="196"/>
      <c r="AQ761" s="4"/>
    </row>
    <row r="762" spans="1:43" ht="13.9" customHeight="1">
      <c r="A762" s="56"/>
      <c r="B762" s="43"/>
      <c r="C762" s="44"/>
      <c r="D762" s="75"/>
      <c r="E762" s="46"/>
      <c r="F762" s="47"/>
      <c r="G762" s="220"/>
      <c r="H762" s="196"/>
      <c r="AQ762" s="4"/>
    </row>
    <row r="763" spans="1:43" ht="13.9" customHeight="1">
      <c r="A763" s="56"/>
      <c r="B763" s="43"/>
      <c r="C763" s="44"/>
      <c r="D763" s="75"/>
      <c r="E763" s="46"/>
      <c r="F763" s="47"/>
      <c r="G763" s="220"/>
      <c r="H763" s="196"/>
      <c r="AQ763" s="4"/>
    </row>
    <row r="764" spans="1:43" ht="15">
      <c r="A764" s="56"/>
      <c r="B764" s="43"/>
      <c r="C764" s="44"/>
      <c r="D764" s="75"/>
      <c r="E764" s="46"/>
      <c r="F764" s="47"/>
      <c r="G764" s="220"/>
      <c r="H764" s="196"/>
      <c r="AQ764" s="4"/>
    </row>
    <row r="765" spans="1:43" ht="15">
      <c r="A765" s="56"/>
      <c r="B765" s="43"/>
      <c r="C765" s="44"/>
      <c r="D765" s="75"/>
      <c r="E765" s="46"/>
      <c r="F765" s="78"/>
      <c r="G765" s="228"/>
      <c r="H765" s="202"/>
      <c r="AQ765" s="4"/>
    </row>
    <row r="766" spans="1:43" ht="15">
      <c r="A766" s="56"/>
      <c r="B766" s="43"/>
      <c r="C766" s="44"/>
      <c r="D766" s="75"/>
      <c r="E766" s="46"/>
      <c r="F766" s="78"/>
      <c r="G766" s="228"/>
      <c r="H766" s="202"/>
      <c r="AQ766" s="4"/>
    </row>
    <row r="767" spans="1:43" ht="15">
      <c r="A767" s="56"/>
      <c r="B767" s="43"/>
      <c r="C767" s="44"/>
      <c r="D767" s="75"/>
      <c r="E767" s="46"/>
      <c r="F767" s="78"/>
      <c r="G767" s="228"/>
      <c r="H767" s="202"/>
      <c r="AQ767" s="4"/>
    </row>
    <row r="768" spans="1:43" ht="15">
      <c r="A768" s="56"/>
      <c r="B768" s="43"/>
      <c r="C768" s="44"/>
      <c r="D768" s="75"/>
      <c r="E768" s="46"/>
      <c r="F768" s="78"/>
      <c r="G768" s="228"/>
      <c r="H768" s="202"/>
      <c r="AQ768" s="4"/>
    </row>
    <row r="769" spans="1:43" ht="15">
      <c r="A769" s="56"/>
      <c r="B769" s="43"/>
      <c r="C769" s="44"/>
      <c r="D769" s="75"/>
      <c r="E769" s="46"/>
      <c r="F769" s="78"/>
      <c r="G769" s="228"/>
      <c r="H769" s="202"/>
      <c r="AQ769" s="4"/>
    </row>
    <row r="770" spans="1:43" ht="15">
      <c r="A770" s="56"/>
      <c r="B770" s="43"/>
      <c r="C770" s="44"/>
      <c r="D770" s="75"/>
      <c r="E770" s="46"/>
      <c r="F770" s="78"/>
      <c r="G770" s="228"/>
      <c r="H770" s="202"/>
      <c r="AQ770" s="4"/>
    </row>
    <row r="771" spans="1:43" ht="15">
      <c r="A771" s="56"/>
      <c r="B771" s="43"/>
      <c r="C771" s="44"/>
      <c r="D771" s="75"/>
      <c r="E771" s="46"/>
      <c r="F771" s="78"/>
      <c r="G771" s="228"/>
      <c r="H771" s="202"/>
      <c r="AQ771" s="4"/>
    </row>
    <row r="772" spans="1:43" ht="15">
      <c r="A772" s="56"/>
      <c r="B772" s="43"/>
      <c r="C772" s="44"/>
      <c r="D772" s="75"/>
      <c r="E772" s="46"/>
      <c r="F772" s="78"/>
      <c r="G772" s="228"/>
      <c r="H772" s="202"/>
      <c r="AQ772" s="4"/>
    </row>
    <row r="773" spans="1:43" ht="15">
      <c r="A773" s="56"/>
      <c r="B773" s="43"/>
      <c r="C773" s="44"/>
      <c r="D773" s="75"/>
      <c r="E773" s="46"/>
      <c r="F773" s="78"/>
      <c r="G773" s="228"/>
      <c r="H773" s="202"/>
      <c r="AQ773" s="4"/>
    </row>
    <row r="774" spans="1:43" ht="15">
      <c r="A774" s="56"/>
      <c r="B774" s="43"/>
      <c r="C774" s="44"/>
      <c r="D774" s="75"/>
      <c r="E774" s="46"/>
      <c r="F774" s="78"/>
      <c r="G774" s="228"/>
      <c r="H774" s="202"/>
      <c r="AQ774" s="4"/>
    </row>
    <row r="775" spans="1:43" ht="15">
      <c r="A775" s="56"/>
      <c r="B775" s="43"/>
      <c r="C775" s="44"/>
      <c r="D775" s="75"/>
      <c r="E775" s="46"/>
      <c r="F775" s="78"/>
      <c r="G775" s="228"/>
      <c r="H775" s="202"/>
      <c r="AQ775" s="4"/>
    </row>
    <row r="776" spans="1:43" ht="15">
      <c r="A776" s="56"/>
      <c r="B776" s="43"/>
      <c r="C776" s="44"/>
      <c r="D776" s="75"/>
      <c r="E776" s="46"/>
      <c r="F776" s="78"/>
      <c r="G776" s="228"/>
      <c r="H776" s="202"/>
      <c r="AQ776" s="4"/>
    </row>
    <row r="777" spans="1:43" ht="15">
      <c r="A777" s="56"/>
      <c r="B777" s="43"/>
      <c r="C777" s="44"/>
      <c r="D777" s="75"/>
      <c r="E777" s="46"/>
      <c r="F777" s="78"/>
      <c r="G777" s="228"/>
      <c r="H777" s="202"/>
      <c r="AQ777" s="4"/>
    </row>
    <row r="778" spans="1:43" ht="15">
      <c r="A778" s="56"/>
      <c r="B778" s="43"/>
      <c r="C778" s="44"/>
      <c r="D778" s="75"/>
      <c r="E778" s="46"/>
      <c r="F778" s="78"/>
      <c r="G778" s="228"/>
      <c r="H778" s="202"/>
      <c r="AQ778" s="4"/>
    </row>
    <row r="779" spans="1:43" ht="15">
      <c r="A779" s="56"/>
      <c r="B779" s="43"/>
      <c r="C779" s="44"/>
      <c r="D779" s="75"/>
      <c r="E779" s="46"/>
      <c r="F779" s="78"/>
      <c r="G779" s="228"/>
      <c r="H779" s="202"/>
      <c r="AQ779" s="4"/>
    </row>
    <row r="780" spans="1:43" ht="15">
      <c r="A780" s="56"/>
      <c r="B780" s="43"/>
      <c r="C780" s="44"/>
      <c r="D780" s="75"/>
      <c r="E780" s="46"/>
      <c r="F780" s="78"/>
      <c r="G780" s="228"/>
      <c r="H780" s="202"/>
      <c r="AQ780" s="4"/>
    </row>
    <row r="781" spans="1:43" ht="15">
      <c r="A781" s="56"/>
      <c r="B781" s="43"/>
      <c r="C781" s="44"/>
      <c r="D781" s="75"/>
      <c r="E781" s="46"/>
      <c r="F781" s="78"/>
      <c r="G781" s="228"/>
      <c r="H781" s="202"/>
      <c r="AQ781" s="4"/>
    </row>
    <row r="782" spans="1:43" ht="15">
      <c r="A782" s="56"/>
      <c r="B782" s="43"/>
      <c r="C782" s="44"/>
      <c r="D782" s="75"/>
      <c r="E782" s="46"/>
      <c r="F782" s="78"/>
      <c r="G782" s="228"/>
      <c r="H782" s="202"/>
      <c r="AQ782" s="4"/>
    </row>
    <row r="783" spans="1:43" ht="15">
      <c r="A783" s="56"/>
      <c r="B783" s="43"/>
      <c r="C783" s="44"/>
      <c r="D783" s="75"/>
      <c r="E783" s="46"/>
      <c r="F783" s="78"/>
      <c r="G783" s="228"/>
      <c r="H783" s="202"/>
      <c r="AQ783" s="4"/>
    </row>
    <row r="784" spans="1:45" s="16" customFormat="1" ht="13.9" customHeight="1">
      <c r="A784" s="170"/>
      <c r="B784" s="35"/>
      <c r="C784" s="147"/>
      <c r="D784" s="171"/>
      <c r="E784" s="119"/>
      <c r="F784" s="132"/>
      <c r="G784" s="218"/>
      <c r="H784" s="199"/>
      <c r="I784" s="189"/>
      <c r="J784" s="2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s="16" customFormat="1" ht="13.9" customHeight="1">
      <c r="A785" s="170"/>
      <c r="B785" s="35"/>
      <c r="C785" s="172"/>
      <c r="D785" s="173"/>
      <c r="E785" s="174"/>
      <c r="F785" s="175"/>
      <c r="G785" s="243"/>
      <c r="H785" s="199"/>
      <c r="I785" s="189"/>
      <c r="J785" s="2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s="16" customFormat="1" ht="13.9" customHeight="1">
      <c r="A786" s="170"/>
      <c r="B786" s="35"/>
      <c r="C786" s="148"/>
      <c r="D786" s="176"/>
      <c r="E786" s="121"/>
      <c r="F786" s="177"/>
      <c r="G786" s="218"/>
      <c r="H786" s="199"/>
      <c r="I786" s="189"/>
      <c r="J786" s="2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s="16" customFormat="1" ht="13.9" customHeight="1">
      <c r="A787" s="170"/>
      <c r="B787" s="35"/>
      <c r="C787" s="178"/>
      <c r="D787" s="176"/>
      <c r="E787" s="119"/>
      <c r="F787" s="39"/>
      <c r="G787" s="218"/>
      <c r="H787" s="199"/>
      <c r="I787" s="189"/>
      <c r="J787" s="2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s="16" customFormat="1" ht="13.9" customHeight="1">
      <c r="A788" s="170"/>
      <c r="B788" s="35"/>
      <c r="C788" s="148"/>
      <c r="D788" s="173"/>
      <c r="E788" s="179"/>
      <c r="F788" s="175"/>
      <c r="G788" s="243"/>
      <c r="H788" s="199"/>
      <c r="I788" s="189"/>
      <c r="J788" s="2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3" ht="15">
      <c r="A789" s="56"/>
      <c r="B789" s="43"/>
      <c r="C789" s="44"/>
      <c r="D789" s="75"/>
      <c r="E789" s="46"/>
      <c r="F789" s="78"/>
      <c r="G789" s="228"/>
      <c r="H789" s="202"/>
      <c r="AQ789" s="4"/>
    </row>
    <row r="790" spans="1:43" ht="15">
      <c r="A790" s="56"/>
      <c r="B790" s="43"/>
      <c r="C790" s="44"/>
      <c r="D790" s="75"/>
      <c r="E790" s="46"/>
      <c r="F790" s="78"/>
      <c r="G790" s="228"/>
      <c r="H790" s="202"/>
      <c r="AQ790" s="4"/>
    </row>
    <row r="791" spans="1:43" ht="15">
      <c r="A791" s="56"/>
      <c r="B791" s="43"/>
      <c r="C791" s="44"/>
      <c r="D791" s="75"/>
      <c r="E791" s="46"/>
      <c r="F791" s="78"/>
      <c r="G791" s="228"/>
      <c r="H791" s="202"/>
      <c r="AQ791" s="4"/>
    </row>
    <row r="792" spans="1:43" ht="15">
      <c r="A792" s="56"/>
      <c r="B792" s="43"/>
      <c r="C792" s="44"/>
      <c r="D792" s="75"/>
      <c r="E792" s="46"/>
      <c r="F792" s="78"/>
      <c r="G792" s="228"/>
      <c r="H792" s="202"/>
      <c r="AQ792" s="4"/>
    </row>
    <row r="793" spans="1:43" ht="15">
      <c r="A793" s="56"/>
      <c r="B793" s="43"/>
      <c r="C793" s="44"/>
      <c r="D793" s="75"/>
      <c r="E793" s="46"/>
      <c r="F793" s="78"/>
      <c r="G793" s="228"/>
      <c r="H793" s="202"/>
      <c r="AQ793" s="4"/>
    </row>
    <row r="794" spans="1:43" ht="15">
      <c r="A794" s="56"/>
      <c r="B794" s="43"/>
      <c r="C794" s="44"/>
      <c r="D794" s="75"/>
      <c r="E794" s="46"/>
      <c r="F794" s="78"/>
      <c r="G794" s="228"/>
      <c r="H794" s="202"/>
      <c r="AQ794" s="4"/>
    </row>
    <row r="795" spans="1:43" ht="15">
      <c r="A795" s="56"/>
      <c r="B795" s="43"/>
      <c r="C795" s="44"/>
      <c r="D795" s="75"/>
      <c r="E795" s="46"/>
      <c r="F795" s="78"/>
      <c r="G795" s="228"/>
      <c r="H795" s="202"/>
      <c r="AQ795" s="4"/>
    </row>
    <row r="796" spans="1:43" ht="15">
      <c r="A796" s="56"/>
      <c r="B796" s="43"/>
      <c r="C796" s="44"/>
      <c r="D796" s="75"/>
      <c r="E796" s="46"/>
      <c r="F796" s="78"/>
      <c r="G796" s="228"/>
      <c r="H796" s="202"/>
      <c r="AQ796" s="4"/>
    </row>
    <row r="797" spans="1:43" ht="15">
      <c r="A797" s="56"/>
      <c r="B797" s="43"/>
      <c r="C797" s="44"/>
      <c r="D797" s="75"/>
      <c r="E797" s="46"/>
      <c r="F797" s="78"/>
      <c r="G797" s="228"/>
      <c r="H797" s="202"/>
      <c r="AQ797" s="4"/>
    </row>
    <row r="798" spans="1:43" ht="15">
      <c r="A798" s="56"/>
      <c r="B798" s="43"/>
      <c r="C798" s="44"/>
      <c r="D798" s="75"/>
      <c r="E798" s="46"/>
      <c r="F798" s="78"/>
      <c r="G798" s="228"/>
      <c r="H798" s="202"/>
      <c r="AQ798" s="4"/>
    </row>
    <row r="799" spans="1:43" ht="15">
      <c r="A799" s="56"/>
      <c r="B799" s="43"/>
      <c r="C799" s="44"/>
      <c r="D799" s="75"/>
      <c r="E799" s="46"/>
      <c r="F799" s="78"/>
      <c r="G799" s="228"/>
      <c r="H799" s="202"/>
      <c r="AQ799" s="4"/>
    </row>
    <row r="800" spans="1:43" ht="15">
      <c r="A800" s="56"/>
      <c r="B800" s="43"/>
      <c r="C800" s="44"/>
      <c r="D800" s="75"/>
      <c r="E800" s="46"/>
      <c r="F800" s="78"/>
      <c r="G800" s="228"/>
      <c r="H800" s="202"/>
      <c r="AQ800" s="4"/>
    </row>
    <row r="801" spans="1:43" ht="15">
      <c r="A801" s="56"/>
      <c r="B801" s="43"/>
      <c r="C801" s="44"/>
      <c r="D801" s="75"/>
      <c r="E801" s="46"/>
      <c r="F801" s="78"/>
      <c r="G801" s="228"/>
      <c r="H801" s="202"/>
      <c r="AQ801" s="4"/>
    </row>
    <row r="802" spans="1:43" ht="15">
      <c r="A802" s="56"/>
      <c r="B802" s="43"/>
      <c r="C802" s="44"/>
      <c r="D802" s="75"/>
      <c r="E802" s="46"/>
      <c r="F802" s="78"/>
      <c r="G802" s="228"/>
      <c r="H802" s="202"/>
      <c r="AQ802" s="4"/>
    </row>
    <row r="803" spans="1:43" ht="15">
      <c r="A803" s="56"/>
      <c r="B803" s="43"/>
      <c r="C803" s="44"/>
      <c r="D803" s="75"/>
      <c r="E803" s="46"/>
      <c r="F803" s="78"/>
      <c r="G803" s="228"/>
      <c r="H803" s="202"/>
      <c r="AQ803" s="4"/>
    </row>
    <row r="804" spans="1:43" ht="15">
      <c r="A804" s="56"/>
      <c r="B804" s="43"/>
      <c r="C804" s="44"/>
      <c r="D804" s="75"/>
      <c r="E804" s="46"/>
      <c r="F804" s="78"/>
      <c r="G804" s="228"/>
      <c r="H804" s="202"/>
      <c r="AQ804" s="4"/>
    </row>
    <row r="805" spans="1:43" ht="15">
      <c r="A805" s="56"/>
      <c r="B805" s="43"/>
      <c r="C805" s="44"/>
      <c r="D805" s="75"/>
      <c r="E805" s="46"/>
      <c r="F805" s="78"/>
      <c r="G805" s="228"/>
      <c r="H805" s="202"/>
      <c r="AQ805" s="4"/>
    </row>
    <row r="806" spans="1:43" ht="15">
      <c r="A806" s="56"/>
      <c r="B806" s="43"/>
      <c r="C806" s="44"/>
      <c r="D806" s="75"/>
      <c r="E806" s="46"/>
      <c r="F806" s="78"/>
      <c r="G806" s="228"/>
      <c r="H806" s="202"/>
      <c r="AQ806" s="4"/>
    </row>
    <row r="807" spans="1:43" ht="15">
      <c r="A807" s="56"/>
      <c r="B807" s="43"/>
      <c r="C807" s="44"/>
      <c r="D807" s="75"/>
      <c r="E807" s="46"/>
      <c r="F807" s="78"/>
      <c r="G807" s="228"/>
      <c r="H807" s="202"/>
      <c r="AQ807" s="4"/>
    </row>
    <row r="808" spans="1:43" ht="15">
      <c r="A808" s="56"/>
      <c r="B808" s="43"/>
      <c r="C808" s="44"/>
      <c r="D808" s="75"/>
      <c r="E808" s="46"/>
      <c r="F808" s="78"/>
      <c r="G808" s="228"/>
      <c r="H808" s="202"/>
      <c r="AQ808" s="4"/>
    </row>
    <row r="809" spans="1:43" ht="15">
      <c r="A809" s="56"/>
      <c r="B809" s="43"/>
      <c r="C809" s="44"/>
      <c r="D809" s="75"/>
      <c r="E809" s="46"/>
      <c r="F809" s="78"/>
      <c r="G809" s="228"/>
      <c r="H809" s="202"/>
      <c r="AQ809" s="4"/>
    </row>
    <row r="810" spans="1:43" ht="15">
      <c r="A810" s="56"/>
      <c r="B810" s="43"/>
      <c r="C810" s="44"/>
      <c r="D810" s="75"/>
      <c r="E810" s="46"/>
      <c r="F810" s="78"/>
      <c r="G810" s="228"/>
      <c r="H810" s="202"/>
      <c r="AQ810" s="4"/>
    </row>
    <row r="811" spans="1:43" ht="15">
      <c r="A811" s="56"/>
      <c r="B811" s="43"/>
      <c r="C811" s="44"/>
      <c r="D811" s="75"/>
      <c r="E811" s="46"/>
      <c r="F811" s="78"/>
      <c r="G811" s="228"/>
      <c r="H811" s="202"/>
      <c r="AQ811" s="4"/>
    </row>
    <row r="812" spans="1:43" ht="15">
      <c r="A812" s="56"/>
      <c r="B812" s="43"/>
      <c r="C812" s="44"/>
      <c r="D812" s="75"/>
      <c r="E812" s="46"/>
      <c r="F812" s="78"/>
      <c r="G812" s="228"/>
      <c r="H812" s="202"/>
      <c r="AQ812" s="4"/>
    </row>
    <row r="813" spans="1:43" ht="15">
      <c r="A813" s="56"/>
      <c r="B813" s="43"/>
      <c r="C813" s="44"/>
      <c r="D813" s="75"/>
      <c r="E813" s="46"/>
      <c r="F813" s="78"/>
      <c r="G813" s="228"/>
      <c r="H813" s="202"/>
      <c r="AQ813" s="4"/>
    </row>
    <row r="814" spans="1:43" ht="15">
      <c r="A814" s="56"/>
      <c r="B814" s="43"/>
      <c r="C814" s="44"/>
      <c r="D814" s="75"/>
      <c r="E814" s="46"/>
      <c r="F814" s="78"/>
      <c r="G814" s="228"/>
      <c r="H814" s="202"/>
      <c r="AQ814" s="4"/>
    </row>
    <row r="815" spans="1:43" ht="15">
      <c r="A815" s="56"/>
      <c r="B815" s="43"/>
      <c r="C815" s="44"/>
      <c r="D815" s="75"/>
      <c r="E815" s="46"/>
      <c r="F815" s="78"/>
      <c r="G815" s="228"/>
      <c r="H815" s="202"/>
      <c r="AQ815" s="4"/>
    </row>
    <row r="816" spans="1:43" ht="15">
      <c r="A816" s="56"/>
      <c r="B816" s="43"/>
      <c r="C816" s="44"/>
      <c r="D816" s="75"/>
      <c r="E816" s="46"/>
      <c r="F816" s="78"/>
      <c r="G816" s="228"/>
      <c r="H816" s="202"/>
      <c r="AQ816" s="4"/>
    </row>
    <row r="817" spans="1:43" ht="15">
      <c r="A817" s="56"/>
      <c r="B817" s="43"/>
      <c r="C817" s="44"/>
      <c r="D817" s="75"/>
      <c r="E817" s="46"/>
      <c r="F817" s="78"/>
      <c r="G817" s="228"/>
      <c r="H817" s="202"/>
      <c r="AQ817" s="4"/>
    </row>
    <row r="818" spans="1:43" ht="15">
      <c r="A818" s="56"/>
      <c r="B818" s="43"/>
      <c r="C818" s="44"/>
      <c r="D818" s="75"/>
      <c r="E818" s="46"/>
      <c r="F818" s="78"/>
      <c r="G818" s="228"/>
      <c r="H818" s="202"/>
      <c r="AQ818" s="4"/>
    </row>
    <row r="819" spans="1:43" ht="15">
      <c r="A819" s="56"/>
      <c r="B819" s="43"/>
      <c r="C819" s="44"/>
      <c r="D819" s="75"/>
      <c r="E819" s="46"/>
      <c r="F819" s="78"/>
      <c r="G819" s="228"/>
      <c r="H819" s="202"/>
      <c r="AQ819" s="4"/>
    </row>
    <row r="820" spans="1:43" ht="15">
      <c r="A820" s="56"/>
      <c r="B820" s="43"/>
      <c r="C820" s="44"/>
      <c r="D820" s="75"/>
      <c r="E820" s="46"/>
      <c r="F820" s="78"/>
      <c r="G820" s="228"/>
      <c r="H820" s="202"/>
      <c r="AQ820" s="4"/>
    </row>
    <row r="821" spans="1:43" ht="15">
      <c r="A821" s="56"/>
      <c r="B821" s="43"/>
      <c r="C821" s="44"/>
      <c r="D821" s="75"/>
      <c r="E821" s="46"/>
      <c r="F821" s="78"/>
      <c r="G821" s="228"/>
      <c r="H821" s="202"/>
      <c r="AQ821" s="4"/>
    </row>
    <row r="822" spans="1:43" ht="15">
      <c r="A822" s="56"/>
      <c r="B822" s="43"/>
      <c r="C822" s="44"/>
      <c r="D822" s="75"/>
      <c r="E822" s="46"/>
      <c r="F822" s="78"/>
      <c r="G822" s="228"/>
      <c r="H822" s="202"/>
      <c r="AQ822" s="4"/>
    </row>
    <row r="823" spans="1:43" ht="15">
      <c r="A823" s="56"/>
      <c r="B823" s="43"/>
      <c r="C823" s="44"/>
      <c r="D823" s="75"/>
      <c r="E823" s="46"/>
      <c r="F823" s="78"/>
      <c r="G823" s="228"/>
      <c r="H823" s="202"/>
      <c r="AQ823" s="4"/>
    </row>
    <row r="824" spans="1:43" ht="15">
      <c r="A824" s="56"/>
      <c r="B824" s="43"/>
      <c r="C824" s="44"/>
      <c r="D824" s="75"/>
      <c r="E824" s="46"/>
      <c r="F824" s="78"/>
      <c r="G824" s="228"/>
      <c r="H824" s="202"/>
      <c r="AQ824" s="4"/>
    </row>
    <row r="825" spans="1:43" ht="15">
      <c r="A825" s="56"/>
      <c r="B825" s="43"/>
      <c r="C825" s="44"/>
      <c r="D825" s="75"/>
      <c r="E825" s="46"/>
      <c r="F825" s="78"/>
      <c r="G825" s="228"/>
      <c r="H825" s="202"/>
      <c r="AQ825" s="4"/>
    </row>
    <row r="826" spans="1:43" ht="15">
      <c r="A826" s="56"/>
      <c r="B826" s="43"/>
      <c r="C826" s="44"/>
      <c r="D826" s="75"/>
      <c r="E826" s="46"/>
      <c r="F826" s="78"/>
      <c r="G826" s="228"/>
      <c r="H826" s="202"/>
      <c r="AQ826" s="4"/>
    </row>
    <row r="827" spans="1:43" ht="15">
      <c r="A827" s="56"/>
      <c r="B827" s="43"/>
      <c r="C827" s="44"/>
      <c r="D827" s="75"/>
      <c r="E827" s="46"/>
      <c r="F827" s="78"/>
      <c r="G827" s="228"/>
      <c r="H827" s="202"/>
      <c r="AQ827" s="4"/>
    </row>
    <row r="828" spans="1:43" ht="15">
      <c r="A828" s="56"/>
      <c r="B828" s="43"/>
      <c r="C828" s="44"/>
      <c r="D828" s="75"/>
      <c r="E828" s="46"/>
      <c r="F828" s="78"/>
      <c r="G828" s="228"/>
      <c r="H828" s="202"/>
      <c r="AQ828" s="4"/>
    </row>
    <row r="829" spans="1:43" ht="15">
      <c r="A829" s="56"/>
      <c r="B829" s="43"/>
      <c r="C829" s="44"/>
      <c r="D829" s="75"/>
      <c r="E829" s="46"/>
      <c r="F829" s="78"/>
      <c r="G829" s="228"/>
      <c r="H829" s="202"/>
      <c r="AQ829" s="4"/>
    </row>
    <row r="830" spans="1:43" ht="15">
      <c r="A830" s="56"/>
      <c r="B830" s="43"/>
      <c r="C830" s="44"/>
      <c r="D830" s="75"/>
      <c r="E830" s="46"/>
      <c r="F830" s="78"/>
      <c r="G830" s="228"/>
      <c r="H830" s="202"/>
      <c r="AQ830" s="4"/>
    </row>
    <row r="831" spans="1:43" ht="15">
      <c r="A831" s="56"/>
      <c r="B831" s="43"/>
      <c r="C831" s="44"/>
      <c r="D831" s="75"/>
      <c r="E831" s="46"/>
      <c r="F831" s="78"/>
      <c r="G831" s="228"/>
      <c r="H831" s="202"/>
      <c r="AQ831" s="4"/>
    </row>
    <row r="832" spans="1:43" ht="15">
      <c r="A832" s="56"/>
      <c r="B832" s="43"/>
      <c r="C832" s="44"/>
      <c r="D832" s="75"/>
      <c r="E832" s="46"/>
      <c r="F832" s="78"/>
      <c r="G832" s="228"/>
      <c r="H832" s="202"/>
      <c r="AQ832" s="4"/>
    </row>
    <row r="833" spans="1:43" ht="15">
      <c r="A833" s="56"/>
      <c r="B833" s="43"/>
      <c r="C833" s="44"/>
      <c r="D833" s="75"/>
      <c r="E833" s="46"/>
      <c r="F833" s="78"/>
      <c r="G833" s="228"/>
      <c r="H833" s="202"/>
      <c r="AQ833" s="4"/>
    </row>
    <row r="834" spans="1:43" ht="15">
      <c r="A834" s="56"/>
      <c r="B834" s="43"/>
      <c r="C834" s="44"/>
      <c r="D834" s="75"/>
      <c r="E834" s="46"/>
      <c r="F834" s="78"/>
      <c r="G834" s="228"/>
      <c r="H834" s="202"/>
      <c r="AQ834" s="4"/>
    </row>
    <row r="835" spans="1:43" ht="15">
      <c r="A835" s="56"/>
      <c r="B835" s="43"/>
      <c r="C835" s="44"/>
      <c r="D835" s="75"/>
      <c r="E835" s="46"/>
      <c r="F835" s="78"/>
      <c r="G835" s="228"/>
      <c r="H835" s="202"/>
      <c r="AQ835" s="4"/>
    </row>
    <row r="836" spans="1:43" ht="15">
      <c r="A836" s="56"/>
      <c r="B836" s="43"/>
      <c r="C836" s="44"/>
      <c r="D836" s="75"/>
      <c r="E836" s="46"/>
      <c r="F836" s="78"/>
      <c r="G836" s="228"/>
      <c r="H836" s="202"/>
      <c r="AQ836" s="4"/>
    </row>
    <row r="837" spans="1:43" ht="15">
      <c r="A837" s="56"/>
      <c r="B837" s="43"/>
      <c r="C837" s="44"/>
      <c r="D837" s="75"/>
      <c r="E837" s="46"/>
      <c r="F837" s="78"/>
      <c r="G837" s="228"/>
      <c r="H837" s="202"/>
      <c r="AQ837" s="4"/>
    </row>
    <row r="838" spans="1:43" ht="15">
      <c r="A838" s="56"/>
      <c r="B838" s="43"/>
      <c r="C838" s="44"/>
      <c r="D838" s="75"/>
      <c r="E838" s="46"/>
      <c r="F838" s="78"/>
      <c r="G838" s="228"/>
      <c r="H838" s="202"/>
      <c r="AQ838" s="4"/>
    </row>
    <row r="839" spans="1:43" ht="15">
      <c r="A839" s="56"/>
      <c r="B839" s="43"/>
      <c r="C839" s="44"/>
      <c r="D839" s="75"/>
      <c r="E839" s="46"/>
      <c r="F839" s="78"/>
      <c r="G839" s="228"/>
      <c r="H839" s="202"/>
      <c r="AQ839" s="4"/>
    </row>
    <row r="840" spans="1:43" ht="15">
      <c r="A840" s="56"/>
      <c r="B840" s="43"/>
      <c r="C840" s="44"/>
      <c r="D840" s="75"/>
      <c r="E840" s="46"/>
      <c r="F840" s="78"/>
      <c r="G840" s="228"/>
      <c r="H840" s="202"/>
      <c r="AQ840" s="4"/>
    </row>
    <row r="841" spans="1:43" ht="15">
      <c r="A841" s="56"/>
      <c r="B841" s="43"/>
      <c r="C841" s="44"/>
      <c r="D841" s="75"/>
      <c r="E841" s="46"/>
      <c r="F841" s="78"/>
      <c r="G841" s="228"/>
      <c r="H841" s="202"/>
      <c r="AQ841" s="4"/>
    </row>
    <row r="842" spans="1:43" ht="15">
      <c r="A842" s="56"/>
      <c r="B842" s="43"/>
      <c r="C842" s="44"/>
      <c r="D842" s="75"/>
      <c r="E842" s="46"/>
      <c r="F842" s="78"/>
      <c r="G842" s="228"/>
      <c r="H842" s="202"/>
      <c r="AQ842" s="4"/>
    </row>
    <row r="843" spans="1:43" ht="15">
      <c r="A843" s="56"/>
      <c r="B843" s="43"/>
      <c r="C843" s="44"/>
      <c r="D843" s="75"/>
      <c r="E843" s="46"/>
      <c r="F843" s="78"/>
      <c r="G843" s="228"/>
      <c r="H843" s="202"/>
      <c r="AQ843" s="4"/>
    </row>
    <row r="844" spans="1:43" ht="15">
      <c r="A844" s="56"/>
      <c r="B844" s="43"/>
      <c r="C844" s="44"/>
      <c r="D844" s="75"/>
      <c r="E844" s="46"/>
      <c r="F844" s="78"/>
      <c r="G844" s="228"/>
      <c r="H844" s="202"/>
      <c r="AQ844" s="4"/>
    </row>
    <row r="845" spans="1:43" ht="15">
      <c r="A845" s="56"/>
      <c r="B845" s="43"/>
      <c r="C845" s="44"/>
      <c r="D845" s="75"/>
      <c r="E845" s="46"/>
      <c r="F845" s="78"/>
      <c r="G845" s="228"/>
      <c r="H845" s="202"/>
      <c r="AQ845" s="4"/>
    </row>
    <row r="846" spans="1:43" ht="15">
      <c r="A846" s="56"/>
      <c r="B846" s="43"/>
      <c r="C846" s="44"/>
      <c r="D846" s="75"/>
      <c r="E846" s="46"/>
      <c r="F846" s="78"/>
      <c r="G846" s="228"/>
      <c r="H846" s="202"/>
      <c r="AQ846" s="4"/>
    </row>
    <row r="847" spans="1:43" ht="15">
      <c r="A847" s="56"/>
      <c r="B847" s="43"/>
      <c r="C847" s="44"/>
      <c r="D847" s="75"/>
      <c r="E847" s="46"/>
      <c r="F847" s="78"/>
      <c r="G847" s="228"/>
      <c r="H847" s="202"/>
      <c r="AQ847" s="4"/>
    </row>
    <row r="848" spans="1:43" ht="15">
      <c r="A848" s="56"/>
      <c r="B848" s="43"/>
      <c r="C848" s="44"/>
      <c r="D848" s="75"/>
      <c r="E848" s="46"/>
      <c r="F848" s="78"/>
      <c r="G848" s="228"/>
      <c r="H848" s="202"/>
      <c r="AQ848" s="4"/>
    </row>
    <row r="849" spans="1:43" ht="15">
      <c r="A849" s="56"/>
      <c r="B849" s="43"/>
      <c r="C849" s="44"/>
      <c r="D849" s="75"/>
      <c r="E849" s="46"/>
      <c r="F849" s="78"/>
      <c r="G849" s="228"/>
      <c r="H849" s="202"/>
      <c r="AQ849" s="4"/>
    </row>
    <row r="850" spans="1:43" ht="15">
      <c r="A850" s="56"/>
      <c r="B850" s="43"/>
      <c r="C850" s="44"/>
      <c r="D850" s="75"/>
      <c r="E850" s="46"/>
      <c r="F850" s="78"/>
      <c r="G850" s="228"/>
      <c r="H850" s="202"/>
      <c r="AQ850" s="4"/>
    </row>
    <row r="851" spans="1:43" ht="15">
      <c r="A851" s="56"/>
      <c r="B851" s="43"/>
      <c r="C851" s="44"/>
      <c r="D851" s="75"/>
      <c r="E851" s="46"/>
      <c r="F851" s="78"/>
      <c r="G851" s="228"/>
      <c r="H851" s="202"/>
      <c r="AQ851" s="4"/>
    </row>
    <row r="852" spans="1:43" ht="15">
      <c r="A852" s="56"/>
      <c r="B852" s="43"/>
      <c r="C852" s="44"/>
      <c r="D852" s="75"/>
      <c r="E852" s="46"/>
      <c r="F852" s="78"/>
      <c r="G852" s="228"/>
      <c r="H852" s="202"/>
      <c r="AQ852" s="4"/>
    </row>
    <row r="853" spans="1:43" ht="15">
      <c r="A853" s="56"/>
      <c r="B853" s="43"/>
      <c r="C853" s="44"/>
      <c r="D853" s="75"/>
      <c r="E853" s="46"/>
      <c r="F853" s="78"/>
      <c r="G853" s="228"/>
      <c r="H853" s="202"/>
      <c r="AQ853" s="4"/>
    </row>
    <row r="854" spans="1:43" ht="15">
      <c r="A854" s="56"/>
      <c r="B854" s="43"/>
      <c r="C854" s="44"/>
      <c r="D854" s="75"/>
      <c r="E854" s="46"/>
      <c r="F854" s="78"/>
      <c r="G854" s="228"/>
      <c r="H854" s="202"/>
      <c r="AQ854" s="4"/>
    </row>
    <row r="855" spans="1:43" ht="15">
      <c r="A855" s="56"/>
      <c r="B855" s="43"/>
      <c r="C855" s="44"/>
      <c r="D855" s="75"/>
      <c r="E855" s="46"/>
      <c r="F855" s="78"/>
      <c r="G855" s="228"/>
      <c r="H855" s="202"/>
      <c r="AQ855" s="4"/>
    </row>
    <row r="856" spans="1:43" ht="15">
      <c r="A856" s="56"/>
      <c r="B856" s="43"/>
      <c r="C856" s="44"/>
      <c r="D856" s="75"/>
      <c r="E856" s="46"/>
      <c r="F856" s="78"/>
      <c r="G856" s="228"/>
      <c r="H856" s="202"/>
      <c r="AQ856" s="4"/>
    </row>
    <row r="857" spans="1:43" ht="15">
      <c r="A857" s="56"/>
      <c r="B857" s="43"/>
      <c r="C857" s="44"/>
      <c r="D857" s="75"/>
      <c r="E857" s="46"/>
      <c r="F857" s="78"/>
      <c r="G857" s="228"/>
      <c r="H857" s="202"/>
      <c r="AQ857" s="4"/>
    </row>
    <row r="858" spans="1:43" ht="15">
      <c r="A858" s="56"/>
      <c r="B858" s="43"/>
      <c r="C858" s="44"/>
      <c r="D858" s="75"/>
      <c r="E858" s="46"/>
      <c r="F858" s="78"/>
      <c r="G858" s="228"/>
      <c r="H858" s="202"/>
      <c r="AQ858" s="4"/>
    </row>
    <row r="859" spans="1:43" ht="15">
      <c r="A859" s="56"/>
      <c r="B859" s="43"/>
      <c r="C859" s="44"/>
      <c r="D859" s="75"/>
      <c r="E859" s="46"/>
      <c r="F859" s="78"/>
      <c r="G859" s="228"/>
      <c r="H859" s="202"/>
      <c r="AQ859" s="4"/>
    </row>
    <row r="860" spans="1:43" ht="15">
      <c r="A860" s="56"/>
      <c r="B860" s="43"/>
      <c r="C860" s="44"/>
      <c r="D860" s="75"/>
      <c r="E860" s="46"/>
      <c r="F860" s="78"/>
      <c r="G860" s="228"/>
      <c r="H860" s="202"/>
      <c r="AQ860" s="4"/>
    </row>
    <row r="861" spans="1:43" ht="15">
      <c r="A861" s="56"/>
      <c r="B861" s="43"/>
      <c r="C861" s="44"/>
      <c r="D861" s="75"/>
      <c r="E861" s="46"/>
      <c r="F861" s="78"/>
      <c r="G861" s="228"/>
      <c r="H861" s="202"/>
      <c r="AQ861" s="4"/>
    </row>
    <row r="862" spans="1:43" ht="15">
      <c r="A862" s="56"/>
      <c r="B862" s="43"/>
      <c r="C862" s="44"/>
      <c r="D862" s="75"/>
      <c r="E862" s="46"/>
      <c r="F862" s="78"/>
      <c r="G862" s="228"/>
      <c r="H862" s="202"/>
      <c r="AQ862" s="4"/>
    </row>
    <row r="863" spans="1:43" ht="15">
      <c r="A863" s="56"/>
      <c r="B863" s="43"/>
      <c r="C863" s="44"/>
      <c r="D863" s="75"/>
      <c r="E863" s="46"/>
      <c r="F863" s="78"/>
      <c r="G863" s="228"/>
      <c r="H863" s="202"/>
      <c r="AQ863" s="4"/>
    </row>
    <row r="864" spans="1:43" ht="15">
      <c r="A864" s="56"/>
      <c r="B864" s="43"/>
      <c r="C864" s="44"/>
      <c r="D864" s="75"/>
      <c r="E864" s="46"/>
      <c r="F864" s="78"/>
      <c r="G864" s="228"/>
      <c r="H864" s="202"/>
      <c r="AQ864" s="4"/>
    </row>
    <row r="865" spans="1:43" ht="15">
      <c r="A865" s="56"/>
      <c r="B865" s="43"/>
      <c r="C865" s="44"/>
      <c r="D865" s="75"/>
      <c r="E865" s="46"/>
      <c r="F865" s="78"/>
      <c r="G865" s="228"/>
      <c r="H865" s="202"/>
      <c r="AQ865" s="4"/>
    </row>
    <row r="866" spans="2:43" ht="15">
      <c r="B866" s="43"/>
      <c r="C866" s="44"/>
      <c r="D866" s="75"/>
      <c r="E866" s="46"/>
      <c r="F866" s="78"/>
      <c r="G866" s="228"/>
      <c r="H866" s="202"/>
      <c r="AQ866" s="4"/>
    </row>
    <row r="867" spans="2:43" ht="15">
      <c r="B867" s="43"/>
      <c r="C867" s="44"/>
      <c r="D867" s="75"/>
      <c r="E867" s="46"/>
      <c r="F867" s="78"/>
      <c r="G867" s="228"/>
      <c r="H867" s="202"/>
      <c r="AQ867" s="4"/>
    </row>
    <row r="868" spans="2:43" ht="15">
      <c r="B868" s="43"/>
      <c r="C868" s="44"/>
      <c r="D868" s="75"/>
      <c r="E868" s="46"/>
      <c r="F868" s="78"/>
      <c r="G868" s="228"/>
      <c r="H868" s="202"/>
      <c r="AQ868" s="4"/>
    </row>
    <row r="869" spans="2:43" ht="15">
      <c r="B869" s="43"/>
      <c r="C869" s="44"/>
      <c r="D869" s="75"/>
      <c r="E869" s="46"/>
      <c r="F869" s="78"/>
      <c r="G869" s="228"/>
      <c r="H869" s="202"/>
      <c r="AQ869" s="4"/>
    </row>
    <row r="870" spans="2:43" ht="15">
      <c r="B870" s="43"/>
      <c r="C870" s="44"/>
      <c r="D870" s="75"/>
      <c r="E870" s="46"/>
      <c r="F870" s="78"/>
      <c r="G870" s="228"/>
      <c r="H870" s="202"/>
      <c r="AQ870" s="4"/>
    </row>
    <row r="871" spans="2:43" ht="15">
      <c r="B871" s="43"/>
      <c r="C871" s="44"/>
      <c r="D871" s="75"/>
      <c r="E871" s="46"/>
      <c r="F871" s="78"/>
      <c r="G871" s="228"/>
      <c r="H871" s="202"/>
      <c r="AQ871" s="4"/>
    </row>
    <row r="872" spans="2:43" ht="15">
      <c r="B872" s="43"/>
      <c r="C872" s="44"/>
      <c r="D872" s="75"/>
      <c r="E872" s="46"/>
      <c r="F872" s="78"/>
      <c r="G872" s="228"/>
      <c r="H872" s="202"/>
      <c r="AQ872" s="4"/>
    </row>
    <row r="873" spans="2:43" ht="15">
      <c r="B873" s="43"/>
      <c r="C873" s="44"/>
      <c r="D873" s="75"/>
      <c r="E873" s="46"/>
      <c r="F873" s="78"/>
      <c r="G873" s="228"/>
      <c r="H873" s="202"/>
      <c r="AQ873" s="4"/>
    </row>
    <row r="874" spans="2:43" ht="15">
      <c r="B874" s="43"/>
      <c r="C874" s="44"/>
      <c r="D874" s="75"/>
      <c r="E874" s="46"/>
      <c r="F874" s="78"/>
      <c r="G874" s="228"/>
      <c r="H874" s="202"/>
      <c r="AQ874" s="4"/>
    </row>
    <row r="875" spans="2:43" ht="15">
      <c r="B875" s="43"/>
      <c r="C875" s="44"/>
      <c r="D875" s="75"/>
      <c r="E875" s="46"/>
      <c r="F875" s="78"/>
      <c r="G875" s="228"/>
      <c r="H875" s="202"/>
      <c r="AQ875" s="4"/>
    </row>
    <row r="876" spans="2:43" ht="15">
      <c r="B876" s="43"/>
      <c r="C876" s="44"/>
      <c r="D876" s="75"/>
      <c r="E876" s="46"/>
      <c r="F876" s="78"/>
      <c r="G876" s="228"/>
      <c r="H876" s="202"/>
      <c r="AQ876" s="4"/>
    </row>
    <row r="877" spans="2:43" ht="15">
      <c r="B877" s="43"/>
      <c r="C877" s="44"/>
      <c r="D877" s="75"/>
      <c r="E877" s="46"/>
      <c r="F877" s="78"/>
      <c r="G877" s="228"/>
      <c r="H877" s="202"/>
      <c r="AQ877" s="4"/>
    </row>
    <row r="878" spans="2:43" ht="15">
      <c r="B878" s="43"/>
      <c r="C878" s="44"/>
      <c r="D878" s="75"/>
      <c r="E878" s="46"/>
      <c r="F878" s="78"/>
      <c r="G878" s="228"/>
      <c r="H878" s="202"/>
      <c r="AQ878" s="4"/>
    </row>
    <row r="879" spans="2:43" ht="15">
      <c r="B879" s="43"/>
      <c r="C879" s="44"/>
      <c r="D879" s="75"/>
      <c r="E879" s="46"/>
      <c r="F879" s="78"/>
      <c r="G879" s="228"/>
      <c r="H879" s="202"/>
      <c r="AQ879" s="4"/>
    </row>
    <row r="880" spans="2:43" ht="15">
      <c r="B880" s="43"/>
      <c r="C880" s="44"/>
      <c r="D880" s="75"/>
      <c r="E880" s="46"/>
      <c r="F880" s="78"/>
      <c r="G880" s="228"/>
      <c r="H880" s="202"/>
      <c r="AQ880" s="4"/>
    </row>
    <row r="881" spans="2:43" ht="15">
      <c r="B881" s="43"/>
      <c r="C881" s="44"/>
      <c r="D881" s="75"/>
      <c r="E881" s="46"/>
      <c r="F881" s="78"/>
      <c r="G881" s="228"/>
      <c r="H881" s="202"/>
      <c r="AQ881" s="4"/>
    </row>
    <row r="882" spans="2:43" ht="15">
      <c r="B882" s="43"/>
      <c r="C882" s="44"/>
      <c r="D882" s="75"/>
      <c r="E882" s="46"/>
      <c r="F882" s="78"/>
      <c r="G882" s="228"/>
      <c r="H882" s="202"/>
      <c r="AQ882" s="4"/>
    </row>
    <row r="883" spans="2:43" ht="15">
      <c r="B883" s="43"/>
      <c r="C883" s="44"/>
      <c r="D883" s="75"/>
      <c r="E883" s="46"/>
      <c r="F883" s="78"/>
      <c r="G883" s="228"/>
      <c r="H883" s="202"/>
      <c r="AQ883" s="4"/>
    </row>
    <row r="884" spans="2:43" ht="15">
      <c r="B884" s="43"/>
      <c r="C884" s="44"/>
      <c r="D884" s="75"/>
      <c r="E884" s="46"/>
      <c r="F884" s="78"/>
      <c r="G884" s="228"/>
      <c r="H884" s="202"/>
      <c r="AQ884" s="4"/>
    </row>
    <row r="885" spans="2:43" ht="15">
      <c r="B885" s="43"/>
      <c r="C885" s="44"/>
      <c r="D885" s="75"/>
      <c r="E885" s="46"/>
      <c r="F885" s="78"/>
      <c r="G885" s="228"/>
      <c r="H885" s="202"/>
      <c r="AQ885" s="4"/>
    </row>
    <row r="886" spans="2:43" ht="15">
      <c r="B886" s="43"/>
      <c r="C886" s="44"/>
      <c r="D886" s="75"/>
      <c r="E886" s="46"/>
      <c r="F886" s="78"/>
      <c r="G886" s="228"/>
      <c r="H886" s="202"/>
      <c r="AQ886" s="4"/>
    </row>
    <row r="887" spans="2:43" ht="15">
      <c r="B887" s="43"/>
      <c r="C887" s="44"/>
      <c r="D887" s="75"/>
      <c r="E887" s="46"/>
      <c r="F887" s="78"/>
      <c r="G887" s="228"/>
      <c r="H887" s="202"/>
      <c r="AQ887" s="4"/>
    </row>
    <row r="888" spans="2:43" ht="15">
      <c r="B888" s="43"/>
      <c r="C888" s="44"/>
      <c r="D888" s="75"/>
      <c r="E888" s="46"/>
      <c r="F888" s="78"/>
      <c r="G888" s="228"/>
      <c r="H888" s="202"/>
      <c r="AQ888" s="4"/>
    </row>
    <row r="889" spans="2:43" ht="15">
      <c r="B889" s="43"/>
      <c r="C889" s="44"/>
      <c r="D889" s="75"/>
      <c r="E889" s="46"/>
      <c r="F889" s="78"/>
      <c r="G889" s="228"/>
      <c r="H889" s="202"/>
      <c r="AQ889" s="4"/>
    </row>
    <row r="890" spans="2:43" ht="15">
      <c r="B890" s="43"/>
      <c r="C890" s="44"/>
      <c r="D890" s="75"/>
      <c r="E890" s="46"/>
      <c r="F890" s="78"/>
      <c r="G890" s="228"/>
      <c r="H890" s="202"/>
      <c r="AQ890" s="4"/>
    </row>
    <row r="891" spans="2:43" ht="15">
      <c r="B891" s="43"/>
      <c r="C891" s="44"/>
      <c r="D891" s="75"/>
      <c r="E891" s="46"/>
      <c r="F891" s="78"/>
      <c r="G891" s="228"/>
      <c r="H891" s="202"/>
      <c r="AQ891" s="4"/>
    </row>
    <row r="892" spans="2:43" ht="15">
      <c r="B892" s="43"/>
      <c r="C892" s="44"/>
      <c r="D892" s="75"/>
      <c r="E892" s="46"/>
      <c r="F892" s="78"/>
      <c r="G892" s="228"/>
      <c r="H892" s="202"/>
      <c r="AQ892" s="4"/>
    </row>
    <row r="893" spans="2:43" ht="15">
      <c r="B893" s="43"/>
      <c r="C893" s="44"/>
      <c r="D893" s="75"/>
      <c r="E893" s="46"/>
      <c r="F893" s="78"/>
      <c r="G893" s="228"/>
      <c r="H893" s="202"/>
      <c r="AQ893" s="4"/>
    </row>
    <row r="894" spans="2:43" ht="15">
      <c r="B894" s="43"/>
      <c r="C894" s="44"/>
      <c r="D894" s="75"/>
      <c r="E894" s="46"/>
      <c r="F894" s="78"/>
      <c r="G894" s="228"/>
      <c r="H894" s="202"/>
      <c r="AQ894" s="4"/>
    </row>
    <row r="895" spans="2:43" ht="15">
      <c r="B895" s="43"/>
      <c r="C895" s="44"/>
      <c r="D895" s="75"/>
      <c r="E895" s="46"/>
      <c r="F895" s="78"/>
      <c r="G895" s="228"/>
      <c r="H895" s="202"/>
      <c r="AQ895" s="4"/>
    </row>
    <row r="896" spans="2:43" ht="15">
      <c r="B896" s="43"/>
      <c r="C896" s="44"/>
      <c r="D896" s="75"/>
      <c r="E896" s="46"/>
      <c r="F896" s="78"/>
      <c r="G896" s="228"/>
      <c r="H896" s="202"/>
      <c r="AQ896" s="4"/>
    </row>
    <row r="897" spans="2:43" ht="15">
      <c r="B897" s="43"/>
      <c r="C897" s="44"/>
      <c r="D897" s="75"/>
      <c r="E897" s="46"/>
      <c r="F897" s="78"/>
      <c r="G897" s="228"/>
      <c r="H897" s="202"/>
      <c r="AQ897" s="4"/>
    </row>
    <row r="898" spans="2:43" ht="15">
      <c r="B898" s="43"/>
      <c r="C898" s="44"/>
      <c r="D898" s="75"/>
      <c r="E898" s="46"/>
      <c r="F898" s="78"/>
      <c r="G898" s="228"/>
      <c r="H898" s="202"/>
      <c r="AQ898" s="4"/>
    </row>
    <row r="899" spans="2:43" ht="15">
      <c r="B899" s="43"/>
      <c r="C899" s="44"/>
      <c r="D899" s="75"/>
      <c r="E899" s="46"/>
      <c r="F899" s="78"/>
      <c r="G899" s="228"/>
      <c r="H899" s="202"/>
      <c r="AQ899" s="4"/>
    </row>
    <row r="900" spans="2:43" ht="15">
      <c r="B900" s="43"/>
      <c r="C900" s="44"/>
      <c r="D900" s="75"/>
      <c r="E900" s="46"/>
      <c r="F900" s="78"/>
      <c r="G900" s="228"/>
      <c r="H900" s="202"/>
      <c r="AQ900" s="4"/>
    </row>
    <row r="901" spans="2:43" ht="15">
      <c r="B901" s="43"/>
      <c r="C901" s="44"/>
      <c r="D901" s="75"/>
      <c r="E901" s="46"/>
      <c r="F901" s="78"/>
      <c r="G901" s="228"/>
      <c r="H901" s="202"/>
      <c r="AQ901" s="4"/>
    </row>
    <row r="902" spans="2:43" ht="15">
      <c r="B902" s="43"/>
      <c r="C902" s="44"/>
      <c r="D902" s="75"/>
      <c r="E902" s="46"/>
      <c r="F902" s="78"/>
      <c r="G902" s="228"/>
      <c r="H902" s="202"/>
      <c r="AQ902" s="4"/>
    </row>
    <row r="903" spans="2:43" ht="15">
      <c r="B903" s="43"/>
      <c r="C903" s="44"/>
      <c r="D903" s="75"/>
      <c r="E903" s="46"/>
      <c r="F903" s="78"/>
      <c r="G903" s="228"/>
      <c r="H903" s="202"/>
      <c r="AQ903" s="4"/>
    </row>
    <row r="904" spans="2:43" ht="15">
      <c r="B904" s="43"/>
      <c r="C904" s="44"/>
      <c r="D904" s="75"/>
      <c r="E904" s="46"/>
      <c r="F904" s="78"/>
      <c r="G904" s="228"/>
      <c r="H904" s="202"/>
      <c r="AQ904" s="4"/>
    </row>
    <row r="905" spans="2:43" ht="15">
      <c r="B905" s="43"/>
      <c r="C905" s="44"/>
      <c r="D905" s="75"/>
      <c r="E905" s="46"/>
      <c r="F905" s="78"/>
      <c r="G905" s="228"/>
      <c r="H905" s="202"/>
      <c r="AQ905" s="4"/>
    </row>
    <row r="906" spans="2:43" ht="15">
      <c r="B906" s="43"/>
      <c r="C906" s="44"/>
      <c r="D906" s="75"/>
      <c r="E906" s="46"/>
      <c r="F906" s="78"/>
      <c r="G906" s="228"/>
      <c r="H906" s="202"/>
      <c r="AQ906" s="4"/>
    </row>
    <row r="907" spans="2:43" ht="15">
      <c r="B907" s="43"/>
      <c r="C907" s="44"/>
      <c r="D907" s="75"/>
      <c r="E907" s="46"/>
      <c r="F907" s="78"/>
      <c r="G907" s="228"/>
      <c r="H907" s="202"/>
      <c r="AQ907" s="4"/>
    </row>
    <row r="908" spans="2:43" ht="15">
      <c r="B908" s="43"/>
      <c r="C908" s="44"/>
      <c r="D908" s="75"/>
      <c r="E908" s="46"/>
      <c r="F908" s="78"/>
      <c r="G908" s="228"/>
      <c r="H908" s="202"/>
      <c r="AQ908" s="4"/>
    </row>
    <row r="909" spans="2:43" ht="15">
      <c r="B909" s="43"/>
      <c r="C909" s="44"/>
      <c r="D909" s="75"/>
      <c r="E909" s="46"/>
      <c r="F909" s="78"/>
      <c r="G909" s="228"/>
      <c r="H909" s="202"/>
      <c r="AQ909" s="4"/>
    </row>
    <row r="910" spans="2:43" ht="15">
      <c r="B910" s="43"/>
      <c r="C910" s="44"/>
      <c r="D910" s="75"/>
      <c r="E910" s="46"/>
      <c r="F910" s="78"/>
      <c r="G910" s="228"/>
      <c r="H910" s="202"/>
      <c r="AQ910" s="4"/>
    </row>
    <row r="911" spans="2:43" ht="15">
      <c r="B911" s="43"/>
      <c r="C911" s="44"/>
      <c r="D911" s="75"/>
      <c r="E911" s="46"/>
      <c r="F911" s="78"/>
      <c r="G911" s="228"/>
      <c r="H911" s="202"/>
      <c r="AQ911" s="4"/>
    </row>
    <row r="912" spans="2:43" ht="15">
      <c r="B912" s="43"/>
      <c r="C912" s="44"/>
      <c r="D912" s="75"/>
      <c r="E912" s="46"/>
      <c r="F912" s="78"/>
      <c r="G912" s="228"/>
      <c r="H912" s="202"/>
      <c r="AQ912" s="4"/>
    </row>
    <row r="913" spans="2:43" ht="15">
      <c r="B913" s="43"/>
      <c r="C913" s="44"/>
      <c r="D913" s="75"/>
      <c r="E913" s="46"/>
      <c r="F913" s="78"/>
      <c r="G913" s="228"/>
      <c r="H913" s="202"/>
      <c r="AQ913" s="4"/>
    </row>
    <row r="914" spans="2:43" ht="15">
      <c r="B914" s="43"/>
      <c r="C914" s="44"/>
      <c r="D914" s="75"/>
      <c r="E914" s="46"/>
      <c r="F914" s="78"/>
      <c r="G914" s="228"/>
      <c r="H914" s="202"/>
      <c r="AQ914" s="4"/>
    </row>
    <row r="915" spans="2:43" ht="15">
      <c r="B915" s="43"/>
      <c r="C915" s="44"/>
      <c r="D915" s="75"/>
      <c r="E915" s="46"/>
      <c r="F915" s="78"/>
      <c r="G915" s="228"/>
      <c r="H915" s="202"/>
      <c r="AQ915" s="4"/>
    </row>
    <row r="916" spans="2:43" ht="15">
      <c r="B916" s="43"/>
      <c r="C916" s="44"/>
      <c r="D916" s="75"/>
      <c r="E916" s="46"/>
      <c r="F916" s="78"/>
      <c r="G916" s="228"/>
      <c r="H916" s="202"/>
      <c r="AQ916" s="4"/>
    </row>
    <row r="917" spans="2:43" ht="15">
      <c r="B917" s="43"/>
      <c r="C917" s="44"/>
      <c r="D917" s="75"/>
      <c r="E917" s="46"/>
      <c r="F917" s="78"/>
      <c r="G917" s="228"/>
      <c r="H917" s="202"/>
      <c r="AQ917" s="4"/>
    </row>
    <row r="918" spans="2:43" ht="15">
      <c r="B918" s="43"/>
      <c r="C918" s="44"/>
      <c r="D918" s="75"/>
      <c r="E918" s="46"/>
      <c r="F918" s="78"/>
      <c r="G918" s="228"/>
      <c r="H918" s="202"/>
      <c r="AQ918" s="4"/>
    </row>
    <row r="919" spans="2:43" ht="15">
      <c r="B919" s="43"/>
      <c r="C919" s="44"/>
      <c r="D919" s="75"/>
      <c r="E919" s="46"/>
      <c r="F919" s="78"/>
      <c r="G919" s="228"/>
      <c r="H919" s="202"/>
      <c r="AQ919" s="4"/>
    </row>
    <row r="920" spans="2:43" ht="15">
      <c r="B920" s="43"/>
      <c r="C920" s="44"/>
      <c r="D920" s="75"/>
      <c r="E920" s="46"/>
      <c r="F920" s="78"/>
      <c r="G920" s="228"/>
      <c r="H920" s="202"/>
      <c r="AQ920" s="4"/>
    </row>
    <row r="921" spans="2:43" ht="15">
      <c r="B921" s="43"/>
      <c r="C921" s="44"/>
      <c r="D921" s="75"/>
      <c r="E921" s="46"/>
      <c r="F921" s="78"/>
      <c r="G921" s="228"/>
      <c r="H921" s="202"/>
      <c r="AQ921" s="4"/>
    </row>
    <row r="922" spans="2:43" ht="15">
      <c r="B922" s="43"/>
      <c r="C922" s="44"/>
      <c r="D922" s="75"/>
      <c r="E922" s="46"/>
      <c r="F922" s="78"/>
      <c r="G922" s="228"/>
      <c r="H922" s="202"/>
      <c r="AQ922" s="4"/>
    </row>
    <row r="923" spans="2:43" ht="15">
      <c r="B923" s="43"/>
      <c r="C923" s="44"/>
      <c r="D923" s="75"/>
      <c r="E923" s="46"/>
      <c r="F923" s="78"/>
      <c r="G923" s="228"/>
      <c r="H923" s="202"/>
      <c r="AQ923" s="4"/>
    </row>
    <row r="924" spans="2:43" ht="15">
      <c r="B924" s="43"/>
      <c r="C924" s="44"/>
      <c r="D924" s="75"/>
      <c r="E924" s="46"/>
      <c r="F924" s="78"/>
      <c r="G924" s="228"/>
      <c r="H924" s="202"/>
      <c r="AQ924" s="4"/>
    </row>
    <row r="925" spans="2:43" ht="15">
      <c r="B925" s="43"/>
      <c r="C925" s="44"/>
      <c r="D925" s="75"/>
      <c r="E925" s="46"/>
      <c r="F925" s="78"/>
      <c r="G925" s="228"/>
      <c r="H925" s="202"/>
      <c r="AQ925" s="4"/>
    </row>
    <row r="926" spans="2:43" ht="15">
      <c r="B926" s="43"/>
      <c r="C926" s="44"/>
      <c r="D926" s="75"/>
      <c r="E926" s="46"/>
      <c r="F926" s="78"/>
      <c r="G926" s="228"/>
      <c r="H926" s="202"/>
      <c r="AQ926" s="4"/>
    </row>
    <row r="927" spans="2:43" ht="15">
      <c r="B927" s="43"/>
      <c r="C927" s="44"/>
      <c r="D927" s="75"/>
      <c r="E927" s="46"/>
      <c r="F927" s="78"/>
      <c r="G927" s="228"/>
      <c r="H927" s="202"/>
      <c r="AQ927" s="4"/>
    </row>
    <row r="928" spans="2:43" ht="15">
      <c r="B928" s="43"/>
      <c r="C928" s="44"/>
      <c r="D928" s="75"/>
      <c r="E928" s="46"/>
      <c r="F928" s="78"/>
      <c r="G928" s="228"/>
      <c r="H928" s="202"/>
      <c r="AQ928" s="4"/>
    </row>
    <row r="929" spans="2:43" ht="15">
      <c r="B929" s="43"/>
      <c r="C929" s="44"/>
      <c r="D929" s="75"/>
      <c r="E929" s="46"/>
      <c r="F929" s="78"/>
      <c r="G929" s="228"/>
      <c r="H929" s="202"/>
      <c r="AQ929" s="4"/>
    </row>
    <row r="930" spans="2:43" ht="15">
      <c r="B930" s="43"/>
      <c r="C930" s="44"/>
      <c r="D930" s="75"/>
      <c r="E930" s="46"/>
      <c r="F930" s="78"/>
      <c r="G930" s="228"/>
      <c r="H930" s="202"/>
      <c r="AQ930" s="4"/>
    </row>
    <row r="931" spans="2:43" ht="15">
      <c r="B931" s="43"/>
      <c r="C931" s="44"/>
      <c r="D931" s="75"/>
      <c r="E931" s="46"/>
      <c r="F931" s="78"/>
      <c r="G931" s="228"/>
      <c r="H931" s="202"/>
      <c r="AQ931" s="4"/>
    </row>
    <row r="932" spans="2:43" ht="15">
      <c r="B932" s="43"/>
      <c r="C932" s="44"/>
      <c r="D932" s="75"/>
      <c r="E932" s="46"/>
      <c r="F932" s="78"/>
      <c r="G932" s="228"/>
      <c r="H932" s="202"/>
      <c r="AQ932" s="4"/>
    </row>
    <row r="933" spans="2:43" ht="15">
      <c r="B933" s="43"/>
      <c r="C933" s="44"/>
      <c r="D933" s="75"/>
      <c r="E933" s="46"/>
      <c r="F933" s="78"/>
      <c r="G933" s="228"/>
      <c r="H933" s="202"/>
      <c r="AQ933" s="4"/>
    </row>
    <row r="934" spans="2:43" ht="15">
      <c r="B934" s="43"/>
      <c r="C934" s="44"/>
      <c r="D934" s="75"/>
      <c r="E934" s="46"/>
      <c r="F934" s="78"/>
      <c r="G934" s="228"/>
      <c r="H934" s="202"/>
      <c r="AQ934" s="4"/>
    </row>
    <row r="935" spans="2:43" ht="15">
      <c r="B935" s="43"/>
      <c r="C935" s="44"/>
      <c r="D935" s="75"/>
      <c r="E935" s="46"/>
      <c r="F935" s="78"/>
      <c r="G935" s="228"/>
      <c r="H935" s="202"/>
      <c r="AQ935" s="4"/>
    </row>
    <row r="936" spans="2:43" ht="15">
      <c r="B936" s="43"/>
      <c r="C936" s="44"/>
      <c r="D936" s="75"/>
      <c r="E936" s="46"/>
      <c r="F936" s="78"/>
      <c r="G936" s="228"/>
      <c r="H936" s="202"/>
      <c r="AQ936" s="4"/>
    </row>
    <row r="937" spans="2:43" ht="15">
      <c r="B937" s="43"/>
      <c r="C937" s="44"/>
      <c r="D937" s="75"/>
      <c r="E937" s="46"/>
      <c r="F937" s="78"/>
      <c r="G937" s="228"/>
      <c r="H937" s="202"/>
      <c r="AQ937" s="4"/>
    </row>
    <row r="938" spans="2:43" ht="15">
      <c r="B938" s="43"/>
      <c r="C938" s="44"/>
      <c r="D938" s="75"/>
      <c r="E938" s="46"/>
      <c r="F938" s="78"/>
      <c r="G938" s="228"/>
      <c r="H938" s="202"/>
      <c r="AQ938" s="4"/>
    </row>
    <row r="939" spans="2:43" ht="15">
      <c r="B939" s="43"/>
      <c r="C939" s="44"/>
      <c r="D939" s="75"/>
      <c r="E939" s="46"/>
      <c r="F939" s="78"/>
      <c r="G939" s="228"/>
      <c r="H939" s="202"/>
      <c r="AQ939" s="4"/>
    </row>
    <row r="940" spans="2:43" ht="15">
      <c r="B940" s="43"/>
      <c r="C940" s="44"/>
      <c r="D940" s="75"/>
      <c r="E940" s="46"/>
      <c r="F940" s="78"/>
      <c r="G940" s="228"/>
      <c r="H940" s="202"/>
      <c r="AQ940" s="4"/>
    </row>
    <row r="941" spans="2:43" ht="15">
      <c r="B941" s="43"/>
      <c r="C941" s="44"/>
      <c r="D941" s="75"/>
      <c r="E941" s="46"/>
      <c r="F941" s="78"/>
      <c r="G941" s="228"/>
      <c r="H941" s="202"/>
      <c r="AQ941" s="4"/>
    </row>
    <row r="942" spans="2:43" ht="15">
      <c r="B942" s="43"/>
      <c r="C942" s="44"/>
      <c r="D942" s="75"/>
      <c r="E942" s="46"/>
      <c r="F942" s="78"/>
      <c r="G942" s="228"/>
      <c r="H942" s="202"/>
      <c r="AQ942" s="4"/>
    </row>
    <row r="943" spans="2:43" ht="15">
      <c r="B943" s="43"/>
      <c r="C943" s="44"/>
      <c r="D943" s="75"/>
      <c r="E943" s="46"/>
      <c r="F943" s="78"/>
      <c r="G943" s="228"/>
      <c r="H943" s="202"/>
      <c r="AQ943" s="4"/>
    </row>
    <row r="944" spans="2:43" ht="15">
      <c r="B944" s="43"/>
      <c r="C944" s="44"/>
      <c r="D944" s="75"/>
      <c r="E944" s="46"/>
      <c r="F944" s="78"/>
      <c r="G944" s="228"/>
      <c r="H944" s="202"/>
      <c r="AQ944" s="4"/>
    </row>
    <row r="945" spans="2:43" ht="15">
      <c r="B945" s="43"/>
      <c r="C945" s="44"/>
      <c r="D945" s="75"/>
      <c r="E945" s="46"/>
      <c r="F945" s="78"/>
      <c r="G945" s="228"/>
      <c r="H945" s="202"/>
      <c r="AQ945" s="4"/>
    </row>
    <row r="946" spans="2:43" ht="15">
      <c r="B946" s="43"/>
      <c r="C946" s="44"/>
      <c r="D946" s="75"/>
      <c r="E946" s="46"/>
      <c r="F946" s="78"/>
      <c r="G946" s="228"/>
      <c r="H946" s="202"/>
      <c r="AQ946" s="4"/>
    </row>
    <row r="947" spans="2:43" ht="15">
      <c r="B947" s="43"/>
      <c r="C947" s="44"/>
      <c r="D947" s="75"/>
      <c r="E947" s="46"/>
      <c r="F947" s="78"/>
      <c r="G947" s="228"/>
      <c r="H947" s="202"/>
      <c r="AQ947" s="4"/>
    </row>
    <row r="948" spans="2:43" ht="15">
      <c r="B948" s="43"/>
      <c r="C948" s="44"/>
      <c r="D948" s="75"/>
      <c r="E948" s="46"/>
      <c r="F948" s="78"/>
      <c r="G948" s="228"/>
      <c r="H948" s="202"/>
      <c r="AQ948" s="4"/>
    </row>
    <row r="949" spans="2:43" ht="15">
      <c r="B949" s="43"/>
      <c r="C949" s="44"/>
      <c r="D949" s="75"/>
      <c r="E949" s="46"/>
      <c r="F949" s="78"/>
      <c r="G949" s="228"/>
      <c r="H949" s="202"/>
      <c r="AQ949" s="4"/>
    </row>
    <row r="950" spans="2:43" ht="15">
      <c r="B950" s="43"/>
      <c r="C950" s="44"/>
      <c r="D950" s="75"/>
      <c r="E950" s="46"/>
      <c r="F950" s="78"/>
      <c r="G950" s="228"/>
      <c r="H950" s="202"/>
      <c r="AQ950" s="4"/>
    </row>
    <row r="951" spans="2:43" ht="15">
      <c r="B951" s="43"/>
      <c r="C951" s="44"/>
      <c r="D951" s="75"/>
      <c r="E951" s="46"/>
      <c r="F951" s="78"/>
      <c r="G951" s="228"/>
      <c r="H951" s="202"/>
      <c r="AQ951" s="4"/>
    </row>
    <row r="952" spans="2:43" ht="15">
      <c r="B952" s="43"/>
      <c r="C952" s="44"/>
      <c r="D952" s="75"/>
      <c r="E952" s="46"/>
      <c r="F952" s="78"/>
      <c r="G952" s="228"/>
      <c r="H952" s="202"/>
      <c r="AQ952" s="4"/>
    </row>
    <row r="953" spans="2:43" ht="15">
      <c r="B953" s="43"/>
      <c r="C953" s="44"/>
      <c r="D953" s="75"/>
      <c r="E953" s="46"/>
      <c r="F953" s="78"/>
      <c r="G953" s="228"/>
      <c r="H953" s="202"/>
      <c r="AQ953" s="4"/>
    </row>
    <row r="954" spans="2:43" ht="15">
      <c r="B954" s="43"/>
      <c r="C954" s="44"/>
      <c r="D954" s="75"/>
      <c r="E954" s="46"/>
      <c r="F954" s="78"/>
      <c r="G954" s="228"/>
      <c r="H954" s="202"/>
      <c r="AQ954" s="4"/>
    </row>
    <row r="955" spans="2:43" ht="15">
      <c r="B955" s="43"/>
      <c r="C955" s="44"/>
      <c r="D955" s="75"/>
      <c r="E955" s="46"/>
      <c r="F955" s="78"/>
      <c r="G955" s="228"/>
      <c r="H955" s="202"/>
      <c r="AQ955" s="4"/>
    </row>
    <row r="956" spans="2:43" ht="15">
      <c r="B956" s="43"/>
      <c r="C956" s="44"/>
      <c r="D956" s="75"/>
      <c r="E956" s="46"/>
      <c r="F956" s="78"/>
      <c r="G956" s="228"/>
      <c r="H956" s="202"/>
      <c r="AQ956" s="4"/>
    </row>
    <row r="957" spans="2:43" ht="15">
      <c r="B957" s="43"/>
      <c r="C957" s="44"/>
      <c r="D957" s="75"/>
      <c r="E957" s="46"/>
      <c r="F957" s="78"/>
      <c r="G957" s="228"/>
      <c r="H957" s="202"/>
      <c r="AQ957" s="4"/>
    </row>
    <row r="958" spans="2:43" ht="15">
      <c r="B958" s="43"/>
      <c r="C958" s="44"/>
      <c r="D958" s="75"/>
      <c r="E958" s="46"/>
      <c r="F958" s="78"/>
      <c r="G958" s="228"/>
      <c r="H958" s="202"/>
      <c r="AQ958" s="4"/>
    </row>
    <row r="959" spans="2:43" ht="15">
      <c r="B959" s="43"/>
      <c r="C959" s="44"/>
      <c r="D959" s="75"/>
      <c r="E959" s="46"/>
      <c r="F959" s="78"/>
      <c r="G959" s="228"/>
      <c r="H959" s="202"/>
      <c r="AQ959" s="4"/>
    </row>
    <row r="960" spans="2:43" ht="15">
      <c r="B960" s="43"/>
      <c r="C960" s="44"/>
      <c r="D960" s="75"/>
      <c r="E960" s="46"/>
      <c r="F960" s="78"/>
      <c r="G960" s="228"/>
      <c r="H960" s="202"/>
      <c r="AQ960" s="4"/>
    </row>
    <row r="961" spans="2:43" ht="15">
      <c r="B961" s="43"/>
      <c r="C961" s="44"/>
      <c r="D961" s="75"/>
      <c r="E961" s="46"/>
      <c r="F961" s="78"/>
      <c r="G961" s="228"/>
      <c r="H961" s="202"/>
      <c r="AQ961" s="4"/>
    </row>
    <row r="962" spans="2:43" ht="15">
      <c r="B962" s="43"/>
      <c r="C962" s="44"/>
      <c r="D962" s="75"/>
      <c r="E962" s="46"/>
      <c r="F962" s="78"/>
      <c r="G962" s="228"/>
      <c r="H962" s="202"/>
      <c r="AQ962" s="4"/>
    </row>
    <row r="963" spans="2:43" ht="15">
      <c r="B963" s="43"/>
      <c r="C963" s="44"/>
      <c r="D963" s="75"/>
      <c r="E963" s="46"/>
      <c r="F963" s="78"/>
      <c r="G963" s="228"/>
      <c r="H963" s="202"/>
      <c r="AQ963" s="4"/>
    </row>
    <row r="964" spans="2:43" ht="15">
      <c r="B964" s="43"/>
      <c r="C964" s="44"/>
      <c r="D964" s="75"/>
      <c r="E964" s="46"/>
      <c r="F964" s="78"/>
      <c r="G964" s="228"/>
      <c r="H964" s="202"/>
      <c r="AQ964" s="4"/>
    </row>
    <row r="965" spans="2:43" ht="15">
      <c r="B965" s="43"/>
      <c r="C965" s="44"/>
      <c r="D965" s="75"/>
      <c r="E965" s="46"/>
      <c r="F965" s="78"/>
      <c r="G965" s="228"/>
      <c r="H965" s="202"/>
      <c r="AQ965" s="4"/>
    </row>
    <row r="966" spans="2:43" ht="15">
      <c r="B966" s="43"/>
      <c r="C966" s="44"/>
      <c r="D966" s="75"/>
      <c r="E966" s="46"/>
      <c r="F966" s="78"/>
      <c r="G966" s="228"/>
      <c r="H966" s="202"/>
      <c r="AQ966" s="4"/>
    </row>
    <row r="967" spans="2:43" ht="15">
      <c r="B967" s="43"/>
      <c r="C967" s="44"/>
      <c r="D967" s="75"/>
      <c r="E967" s="46"/>
      <c r="F967" s="78"/>
      <c r="G967" s="228"/>
      <c r="H967" s="202"/>
      <c r="AQ967" s="4"/>
    </row>
    <row r="968" spans="2:43" ht="15">
      <c r="B968" s="43"/>
      <c r="C968" s="44"/>
      <c r="D968" s="75"/>
      <c r="E968" s="46"/>
      <c r="F968" s="78"/>
      <c r="G968" s="228"/>
      <c r="H968" s="202"/>
      <c r="AQ968" s="4"/>
    </row>
    <row r="969" spans="2:43" ht="15">
      <c r="B969" s="43"/>
      <c r="C969" s="44"/>
      <c r="D969" s="75"/>
      <c r="E969" s="46"/>
      <c r="F969" s="78"/>
      <c r="G969" s="228"/>
      <c r="H969" s="202"/>
      <c r="AQ969" s="4"/>
    </row>
    <row r="970" spans="2:43" ht="15">
      <c r="B970" s="43"/>
      <c r="C970" s="44"/>
      <c r="D970" s="75"/>
      <c r="E970" s="46"/>
      <c r="F970" s="78"/>
      <c r="G970" s="228"/>
      <c r="H970" s="202"/>
      <c r="AQ970" s="4"/>
    </row>
    <row r="971" spans="2:43" ht="15">
      <c r="B971" s="43"/>
      <c r="C971" s="44"/>
      <c r="D971" s="75"/>
      <c r="E971" s="46"/>
      <c r="F971" s="78"/>
      <c r="G971" s="228"/>
      <c r="H971" s="202"/>
      <c r="AQ971" s="4"/>
    </row>
    <row r="972" spans="2:43" ht="15">
      <c r="B972" s="43"/>
      <c r="C972" s="44"/>
      <c r="D972" s="75"/>
      <c r="E972" s="46"/>
      <c r="F972" s="78"/>
      <c r="G972" s="228"/>
      <c r="H972" s="202"/>
      <c r="AQ972" s="4"/>
    </row>
    <row r="973" spans="2:43" ht="15">
      <c r="B973" s="43"/>
      <c r="C973" s="44"/>
      <c r="D973" s="75"/>
      <c r="E973" s="46"/>
      <c r="F973" s="78"/>
      <c r="G973" s="228"/>
      <c r="H973" s="202"/>
      <c r="AQ973" s="4"/>
    </row>
    <row r="974" spans="2:43" ht="15">
      <c r="B974" s="43"/>
      <c r="C974" s="44"/>
      <c r="D974" s="75"/>
      <c r="E974" s="46"/>
      <c r="F974" s="78"/>
      <c r="G974" s="228"/>
      <c r="H974" s="202"/>
      <c r="AQ974" s="4"/>
    </row>
    <row r="975" spans="2:43" ht="15">
      <c r="B975" s="43"/>
      <c r="C975" s="44"/>
      <c r="D975" s="75"/>
      <c r="E975" s="46"/>
      <c r="F975" s="78"/>
      <c r="G975" s="228"/>
      <c r="H975" s="202"/>
      <c r="AQ975" s="4"/>
    </row>
    <row r="976" spans="1:10" ht="22.5">
      <c r="A976" s="34" t="s">
        <v>1346</v>
      </c>
      <c r="D976" s="127"/>
      <c r="E976" s="34"/>
      <c r="F976" s="180"/>
      <c r="G976" s="231"/>
      <c r="H976" s="208"/>
      <c r="J976" s="15"/>
    </row>
    <row r="977" spans="1:10" ht="22.5">
      <c r="A977" s="34" t="s">
        <v>1347</v>
      </c>
      <c r="E977" s="119"/>
      <c r="G977" s="229"/>
      <c r="H977" s="207"/>
      <c r="J977" s="15"/>
    </row>
    <row r="978" spans="1:10" ht="22.5">
      <c r="A978" s="34" t="s">
        <v>1348</v>
      </c>
      <c r="J978" s="15"/>
    </row>
    <row r="979" spans="1:10" ht="22.5">
      <c r="A979" s="34" t="s">
        <v>1349</v>
      </c>
      <c r="J979" s="15"/>
    </row>
    <row r="980" spans="1:10" ht="22.5">
      <c r="A980" s="34" t="s">
        <v>1350</v>
      </c>
      <c r="J980" s="15"/>
    </row>
    <row r="981" ht="15">
      <c r="J981" s="15"/>
    </row>
    <row r="982" ht="15">
      <c r="J982" s="15"/>
    </row>
    <row r="983" ht="15">
      <c r="J983" s="15"/>
    </row>
    <row r="984" ht="15">
      <c r="J984" s="15"/>
    </row>
    <row r="985" ht="15">
      <c r="J985" s="15"/>
    </row>
    <row r="986" ht="15">
      <c r="J986" s="15"/>
    </row>
    <row r="987" ht="15">
      <c r="J987" s="15"/>
    </row>
    <row r="988" ht="15">
      <c r="J988" s="15"/>
    </row>
    <row r="989" ht="15">
      <c r="J989" s="15"/>
    </row>
    <row r="990" ht="15">
      <c r="J990" s="15"/>
    </row>
    <row r="991" ht="15">
      <c r="J991" s="15"/>
    </row>
    <row r="992" ht="15">
      <c r="J992" s="15"/>
    </row>
    <row r="993" ht="15">
      <c r="J993" s="15"/>
    </row>
    <row r="994" ht="15">
      <c r="J994" s="15"/>
    </row>
    <row r="995" ht="15">
      <c r="J995" s="15"/>
    </row>
    <row r="996" ht="15">
      <c r="J996" s="15"/>
    </row>
    <row r="997" ht="15">
      <c r="J997" s="15"/>
    </row>
    <row r="998" ht="15">
      <c r="J998" s="15"/>
    </row>
    <row r="999" ht="15">
      <c r="J999" s="15"/>
    </row>
    <row r="1000" ht="15">
      <c r="J1000" s="15"/>
    </row>
    <row r="1001" ht="15">
      <c r="J1001" s="15"/>
    </row>
    <row r="1002" ht="15">
      <c r="J1002" s="15"/>
    </row>
    <row r="1003" ht="15">
      <c r="J1003" s="15"/>
    </row>
    <row r="1004" ht="15">
      <c r="J1004" s="15"/>
    </row>
    <row r="1005" ht="15">
      <c r="J1005" s="15"/>
    </row>
    <row r="1006" ht="15">
      <c r="J1006" s="15"/>
    </row>
    <row r="1007" ht="15">
      <c r="J1007" s="15"/>
    </row>
    <row r="1008" ht="15">
      <c r="J1008" s="15"/>
    </row>
    <row r="1009" ht="15">
      <c r="J1009" s="15"/>
    </row>
    <row r="1010" ht="15">
      <c r="J1010" s="15"/>
    </row>
    <row r="1011" ht="15">
      <c r="J1011" s="15"/>
    </row>
    <row r="1012" ht="15">
      <c r="J1012" s="15"/>
    </row>
    <row r="1013" ht="15">
      <c r="J1013" s="15"/>
    </row>
    <row r="1014" ht="15">
      <c r="J1014" s="15"/>
    </row>
    <row r="1015" ht="15">
      <c r="J1015" s="15"/>
    </row>
    <row r="1016" ht="15">
      <c r="J1016" s="15"/>
    </row>
    <row r="1017" ht="15">
      <c r="J1017" s="15"/>
    </row>
    <row r="1018" ht="15">
      <c r="J1018" s="15"/>
    </row>
    <row r="1019" ht="15">
      <c r="J1019" s="15"/>
    </row>
    <row r="1020" ht="15">
      <c r="J1020" s="15"/>
    </row>
    <row r="1021" ht="15">
      <c r="J1021" s="15"/>
    </row>
    <row r="1022" ht="15">
      <c r="J1022" s="15"/>
    </row>
    <row r="1023" ht="15">
      <c r="J1023" s="15"/>
    </row>
    <row r="1024" ht="15">
      <c r="J1024" s="15"/>
    </row>
    <row r="1025" ht="15">
      <c r="J1025" s="15"/>
    </row>
    <row r="1026" ht="15">
      <c r="J1026" s="15"/>
    </row>
    <row r="1027" ht="15">
      <c r="J1027" s="15"/>
    </row>
    <row r="1028" ht="15">
      <c r="J1028" s="15"/>
    </row>
    <row r="1029" ht="15">
      <c r="J1029" s="15"/>
    </row>
    <row r="1030" ht="15">
      <c r="J1030" s="15"/>
    </row>
    <row r="1031" ht="15">
      <c r="J1031" s="15"/>
    </row>
    <row r="1032" ht="15">
      <c r="J1032" s="15"/>
    </row>
    <row r="1033" ht="15">
      <c r="J1033" s="15"/>
    </row>
    <row r="1034" ht="15">
      <c r="J1034" s="15"/>
    </row>
    <row r="1035" ht="15">
      <c r="J1035" s="15"/>
    </row>
    <row r="1036" ht="15">
      <c r="J1036" s="15"/>
    </row>
    <row r="1037" ht="15">
      <c r="J1037" s="15"/>
    </row>
    <row r="1038" ht="15">
      <c r="J1038" s="15"/>
    </row>
    <row r="1039" ht="15">
      <c r="J1039" s="15"/>
    </row>
    <row r="1040" ht="15">
      <c r="J1040" s="15"/>
    </row>
    <row r="1041" ht="15">
      <c r="J1041" s="15"/>
    </row>
    <row r="1042" ht="15">
      <c r="J1042" s="15"/>
    </row>
    <row r="1043" ht="15">
      <c r="J1043" s="15"/>
    </row>
    <row r="1044" ht="15">
      <c r="J1044" s="15"/>
    </row>
    <row r="1045" ht="15">
      <c r="J1045" s="15"/>
    </row>
    <row r="1046" ht="15">
      <c r="J1046" s="15"/>
    </row>
    <row r="1047" ht="15">
      <c r="J1047" s="15"/>
    </row>
    <row r="1048" ht="15">
      <c r="J1048" s="15"/>
    </row>
    <row r="1049" ht="15">
      <c r="J1049" s="15"/>
    </row>
    <row r="1050" ht="15">
      <c r="J1050" s="15"/>
    </row>
    <row r="1051" ht="15">
      <c r="J1051" s="15"/>
    </row>
    <row r="1052" ht="15">
      <c r="J1052" s="15"/>
    </row>
    <row r="1053" ht="15">
      <c r="J1053" s="15"/>
    </row>
    <row r="1054" ht="15">
      <c r="J1054" s="15"/>
    </row>
    <row r="1055" ht="15">
      <c r="J1055" s="15"/>
    </row>
    <row r="1056" ht="15">
      <c r="J1056" s="15"/>
    </row>
    <row r="1057" ht="15">
      <c r="J1057" s="15"/>
    </row>
    <row r="1058" ht="15">
      <c r="J1058" s="15"/>
    </row>
    <row r="1059" ht="15">
      <c r="J1059" s="15"/>
    </row>
    <row r="1060" ht="15">
      <c r="J1060" s="15"/>
    </row>
    <row r="1061" ht="15">
      <c r="J1061" s="15"/>
    </row>
    <row r="1062" ht="15">
      <c r="J1062" s="15"/>
    </row>
    <row r="1063" ht="15">
      <c r="J1063" s="15"/>
    </row>
    <row r="1064" ht="15">
      <c r="J1064" s="15"/>
    </row>
    <row r="1065" ht="15">
      <c r="J1065" s="15"/>
    </row>
    <row r="1066" ht="15">
      <c r="J1066" s="15"/>
    </row>
    <row r="1067" ht="15">
      <c r="J1067" s="15"/>
    </row>
    <row r="1068" ht="15">
      <c r="J1068" s="15"/>
    </row>
    <row r="1069" ht="15">
      <c r="J1069" s="15"/>
    </row>
    <row r="1070" ht="15">
      <c r="J1070" s="15"/>
    </row>
    <row r="1071" ht="15">
      <c r="J1071" s="15"/>
    </row>
    <row r="1072" ht="15">
      <c r="J1072" s="15"/>
    </row>
    <row r="1073" ht="15">
      <c r="J1073" s="15"/>
    </row>
    <row r="1074" ht="15">
      <c r="J1074" s="15"/>
    </row>
    <row r="1075" ht="15">
      <c r="J1075" s="15"/>
    </row>
    <row r="1076" ht="15">
      <c r="J1076" s="15"/>
    </row>
    <row r="1077" ht="15">
      <c r="J1077" s="15"/>
    </row>
    <row r="1078" ht="15">
      <c r="J1078" s="15"/>
    </row>
    <row r="1079" ht="15">
      <c r="J1079" s="15"/>
    </row>
    <row r="1080" ht="15">
      <c r="J1080" s="15"/>
    </row>
    <row r="1081" ht="15">
      <c r="J1081" s="15"/>
    </row>
    <row r="1082" ht="15">
      <c r="J1082" s="15"/>
    </row>
    <row r="1083" ht="15">
      <c r="J1083" s="15"/>
    </row>
    <row r="1084" ht="15">
      <c r="J1084" s="15"/>
    </row>
    <row r="1085" ht="15">
      <c r="J1085" s="15"/>
    </row>
    <row r="1086" ht="15">
      <c r="J1086" s="15"/>
    </row>
    <row r="1087" ht="15">
      <c r="J1087" s="15"/>
    </row>
    <row r="1088" ht="15">
      <c r="J1088" s="15"/>
    </row>
    <row r="1089" ht="15">
      <c r="J1089" s="15"/>
    </row>
    <row r="1090" ht="15">
      <c r="J1090" s="15"/>
    </row>
    <row r="1091" ht="15">
      <c r="J1091" s="15"/>
    </row>
    <row r="1092" ht="15">
      <c r="J1092" s="15"/>
    </row>
    <row r="1093" ht="15">
      <c r="J1093" s="15"/>
    </row>
    <row r="1094" ht="15">
      <c r="J1094" s="15"/>
    </row>
    <row r="1095" ht="15">
      <c r="J1095" s="15"/>
    </row>
    <row r="1096" ht="15">
      <c r="J1096" s="15"/>
    </row>
    <row r="1097" ht="15">
      <c r="J1097" s="15"/>
    </row>
    <row r="1098" ht="15">
      <c r="J1098" s="15"/>
    </row>
    <row r="1099" ht="15">
      <c r="J1099" s="15"/>
    </row>
    <row r="1100" ht="15">
      <c r="J1100" s="15"/>
    </row>
    <row r="1101" ht="15">
      <c r="J1101" s="15"/>
    </row>
    <row r="1102" ht="15">
      <c r="J1102" s="15"/>
    </row>
    <row r="1103" ht="15">
      <c r="J1103" s="15"/>
    </row>
    <row r="1104" ht="15">
      <c r="J1104" s="15"/>
    </row>
    <row r="1105" ht="15">
      <c r="J1105" s="15"/>
    </row>
    <row r="1106" ht="15">
      <c r="J1106" s="15"/>
    </row>
    <row r="1107" ht="15">
      <c r="J1107" s="15"/>
    </row>
    <row r="1108" ht="15">
      <c r="J1108" s="15"/>
    </row>
    <row r="1109" ht="15">
      <c r="J1109" s="15"/>
    </row>
    <row r="1110" ht="15">
      <c r="J1110" s="15"/>
    </row>
    <row r="1111" ht="15">
      <c r="J1111" s="15"/>
    </row>
    <row r="1112" ht="15">
      <c r="J1112" s="15"/>
    </row>
    <row r="1113" ht="15">
      <c r="J1113" s="15"/>
    </row>
    <row r="1114" ht="15">
      <c r="J1114" s="15"/>
    </row>
    <row r="1115" ht="15">
      <c r="J1115" s="15"/>
    </row>
    <row r="1116" ht="15">
      <c r="J1116" s="15"/>
    </row>
    <row r="1117" ht="15">
      <c r="J1117" s="15"/>
    </row>
    <row r="1118" ht="15">
      <c r="J1118" s="15"/>
    </row>
    <row r="1119" ht="15">
      <c r="J1119" s="15"/>
    </row>
    <row r="1120" ht="15">
      <c r="J1120" s="15"/>
    </row>
    <row r="1121" ht="15">
      <c r="J1121" s="15"/>
    </row>
    <row r="1122" ht="15">
      <c r="J1122" s="15"/>
    </row>
    <row r="1123" ht="15">
      <c r="J1123" s="15"/>
    </row>
    <row r="1124" ht="15">
      <c r="J1124" s="15"/>
    </row>
    <row r="1125" ht="15">
      <c r="J1125" s="15"/>
    </row>
    <row r="1126" ht="15">
      <c r="J1126" s="15"/>
    </row>
    <row r="1127" ht="15">
      <c r="J1127" s="15"/>
    </row>
    <row r="1128" ht="15">
      <c r="J1128" s="15"/>
    </row>
    <row r="1129" ht="15">
      <c r="J1129" s="15"/>
    </row>
    <row r="1130" ht="15">
      <c r="J1130" s="15"/>
    </row>
    <row r="1131" ht="15">
      <c r="J1131" s="15"/>
    </row>
    <row r="1132" ht="15">
      <c r="J1132" s="15"/>
    </row>
    <row r="1133" ht="15">
      <c r="J1133" s="15"/>
    </row>
    <row r="1134" ht="15">
      <c r="J1134" s="15"/>
    </row>
    <row r="1135" ht="15">
      <c r="J1135" s="15"/>
    </row>
    <row r="1136" ht="15">
      <c r="J1136" s="15"/>
    </row>
    <row r="1137" ht="15">
      <c r="J1137" s="15"/>
    </row>
    <row r="1138" ht="15">
      <c r="J1138" s="15"/>
    </row>
    <row r="1139" ht="15">
      <c r="J1139" s="15"/>
    </row>
    <row r="1140" ht="15">
      <c r="J1140" s="15"/>
    </row>
    <row r="1141" ht="15">
      <c r="J1141" s="15"/>
    </row>
    <row r="1142" ht="15">
      <c r="J1142" s="15"/>
    </row>
    <row r="1143" ht="15">
      <c r="J1143" s="15"/>
    </row>
    <row r="1144" ht="15">
      <c r="J1144" s="15"/>
    </row>
    <row r="1145" ht="15">
      <c r="J1145" s="15"/>
    </row>
    <row r="1146" ht="15">
      <c r="J1146" s="15"/>
    </row>
    <row r="1147" ht="15">
      <c r="J1147" s="15"/>
    </row>
  </sheetData>
  <sheetProtection algorithmName="SHA-512" hashValue="Hhtxg87+J4pJFnnPp1u4+7xemB7kCrgOwA1Us9GsYYLsqNjioyEM/6qDz/h9ufDGyhRKPAoqeZAmmLJdPO/otQ==" saltValue="/v+7vfu75yOwou4XpwI+8g==" spinCount="100000" sheet="1" objects="1" scenarios="1"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ADC3D3432EF045B83E4FF049C0EF75" ma:contentTypeVersion="14" ma:contentTypeDescription="Vytvoří nový dokument" ma:contentTypeScope="" ma:versionID="4c3b5896ad0d03a2507b4670e0012f26">
  <xsd:schema xmlns:xsd="http://www.w3.org/2001/XMLSchema" xmlns:xs="http://www.w3.org/2001/XMLSchema" xmlns:p="http://schemas.microsoft.com/office/2006/metadata/properties" xmlns:ns2="9e901002-42fc-479d-bd44-b55d44aaa772" xmlns:ns3="496d99ff-e70c-4cf1-9883-995fc207864f" targetNamespace="http://schemas.microsoft.com/office/2006/metadata/properties" ma:root="true" ma:fieldsID="8d296004dbd8405c5e726f0533e4e189" ns2:_="" ns3:_="">
    <xsd:import namespace="9e901002-42fc-479d-bd44-b55d44aaa772"/>
    <xsd:import namespace="496d99ff-e70c-4cf1-9883-995fc2078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01002-42fc-479d-bd44-b55d44aaa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d99ff-e70c-4cf1-9883-995fc207864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54b02c4-288f-4c2e-a06e-4cf231e9a5e8}" ma:internalName="TaxCatchAll" ma:showField="CatchAllData" ma:web="496d99ff-e70c-4cf1-9883-995fc2078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6d99ff-e70c-4cf1-9883-995fc207864f" xsi:nil="true"/>
    <lcf76f155ced4ddcb4097134ff3c332f xmlns="9e901002-42fc-479d-bd44-b55d44aaa77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85609-37F9-4171-BDDA-BB8BEBF927C4}"/>
</file>

<file path=customXml/itemProps2.xml><?xml version="1.0" encoding="utf-8"?>
<ds:datastoreItem xmlns:ds="http://schemas.openxmlformats.org/officeDocument/2006/customXml" ds:itemID="{40F9ADAA-C2BE-417E-9D4A-A7FBEE2923F4}"/>
</file>

<file path=customXml/itemProps3.xml><?xml version="1.0" encoding="utf-8"?>
<ds:datastoreItem xmlns:ds="http://schemas.openxmlformats.org/officeDocument/2006/customXml" ds:itemID="{2D69B640-64A8-4429-BCB3-D85002EBD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Uživatel typu Host</cp:lastModifiedBy>
  <dcterms:created xsi:type="dcterms:W3CDTF">2011-12-18T09:20:50Z</dcterms:created>
  <dcterms:modified xsi:type="dcterms:W3CDTF">2023-10-17T13:37:54Z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0x010100DAADC3D3432EF045B83E4FF049C0EF75</vt:lpwstr>
  </property>
  <property fmtid="{D5CDD505-2E9C-101B-9397-08002B2CF9AE}" pid="3" name="MediaServiceImageTags">
    <vt:lpwstr/>
  </property>
</Properties>
</file>