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defaultThemeVersion="166925"/>
  <mc:AlternateContent xmlns:mc="http://schemas.openxmlformats.org/markup-compatibility/2006">
    <mc:Choice Requires="x15">
      <x15ac:absPath xmlns:x15ac="http://schemas.microsoft.com/office/spreadsheetml/2010/11/ac" url="https://cunicz.sharepoint.com/sites/PracovnskupinaCAFM-ZD/Sdilene dokumenty/ZD/02_PTK/"/>
    </mc:Choice>
  </mc:AlternateContent>
  <xr:revisionPtr revIDLastSave="1186" documentId="14_{31DE84E3-3E3C-4BC4-B649-1CEE33591233}" xr6:coauthVersionLast="47" xr6:coauthVersionMax="47" xr10:uidLastSave="{C4454988-E416-438C-A308-496418D9CDFB}"/>
  <workbookProtection workbookAlgorithmName="SHA-512" workbookHashValue="uWm4IjC5/IZVY8g+eTy2pmwQ41xCRC37QTuRGsL9K1Mz4KXrL8FEzVeZVdTj98da+rquqKR8KI1r48FY9XwIwQ==" workbookSaltValue="iJR4hlyiqBMXltvEDbeTZg==" workbookSpinCount="100000" lockStructure="1"/>
  <bookViews>
    <workbookView xWindow="-108" yWindow="-108" windowWidth="23256" windowHeight="12456" firstSheet="1" activeTab="1" xr2:uid="{00000000-000D-0000-FFFF-FFFF00000000}"/>
  </bookViews>
  <sheets>
    <sheet name="Init" sheetId="2" state="hidden" r:id="rId1"/>
    <sheet name="Pokyny" sheetId="3" r:id="rId2"/>
    <sheet name="Povinné" sheetId="4" r:id="rId3"/>
    <sheet name="Hodnocené" sheetId="6" r:id="rId4"/>
    <sheet name="FunkcionalitySystemu" sheetId="1" state="hidden"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6" i="1" l="1"/>
  <c r="L56" i="4"/>
  <c r="L57" i="4"/>
  <c r="L58" i="4"/>
  <c r="N90" i="1"/>
  <c r="M88" i="1"/>
  <c r="M87" i="1"/>
  <c r="M86" i="1"/>
  <c r="O90" i="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3" i="1"/>
  <c r="M4" i="6"/>
  <c r="M5" i="6"/>
  <c r="M6" i="6"/>
  <c r="M7" i="6"/>
  <c r="M8" i="6"/>
  <c r="M9" i="6"/>
  <c r="M10" i="6"/>
  <c r="M11" i="6"/>
  <c r="M12" i="6"/>
  <c r="M13" i="6"/>
  <c r="M14" i="6"/>
  <c r="M15" i="6"/>
  <c r="M16" i="6"/>
  <c r="M17" i="6"/>
  <c r="M18" i="6"/>
  <c r="M19" i="6"/>
  <c r="M20" i="6"/>
  <c r="M21" i="6"/>
  <c r="M22" i="6"/>
  <c r="M23" i="6"/>
  <c r="M24" i="6"/>
  <c r="M25" i="6"/>
  <c r="M26" i="6"/>
  <c r="M27" i="6"/>
  <c r="M28" i="6"/>
  <c r="M29" i="6"/>
  <c r="M30" i="6"/>
  <c r="M31" i="6"/>
  <c r="M3" i="6"/>
  <c r="L35" i="6"/>
  <c r="L34" i="6"/>
  <c r="L33" i="6"/>
  <c r="C33" i="6"/>
  <c r="N37" i="6" s="1"/>
  <c r="H31" i="6"/>
  <c r="F31" i="6"/>
  <c r="H30" i="6"/>
  <c r="F30" i="6"/>
  <c r="H29" i="6"/>
  <c r="F29" i="6"/>
  <c r="A29" i="6" s="1"/>
  <c r="H28" i="6"/>
  <c r="F28" i="6"/>
  <c r="A28" i="6" s="1"/>
  <c r="H27" i="6"/>
  <c r="F27" i="6"/>
  <c r="H26" i="6"/>
  <c r="F26" i="6"/>
  <c r="A26" i="6" s="1"/>
  <c r="H25" i="6"/>
  <c r="F25" i="6"/>
  <c r="H24" i="6"/>
  <c r="F24" i="6"/>
  <c r="A24" i="6" s="1"/>
  <c r="H23" i="6"/>
  <c r="F23" i="6"/>
  <c r="A23" i="6" s="1"/>
  <c r="H22" i="6"/>
  <c r="F22" i="6"/>
  <c r="A22" i="6" s="1"/>
  <c r="H21" i="6"/>
  <c r="F21" i="6"/>
  <c r="A21" i="6" s="1"/>
  <c r="H20" i="6"/>
  <c r="F20" i="6"/>
  <c r="H19" i="6"/>
  <c r="F19" i="6"/>
  <c r="A19" i="6" s="1"/>
  <c r="H18" i="6"/>
  <c r="F18" i="6"/>
  <c r="H17" i="6"/>
  <c r="F17" i="6"/>
  <c r="H16" i="6"/>
  <c r="F16" i="6"/>
  <c r="A16" i="6" s="1"/>
  <c r="H15" i="6"/>
  <c r="F15" i="6"/>
  <c r="A15" i="6" s="1"/>
  <c r="H14" i="6"/>
  <c r="F14" i="6"/>
  <c r="H13" i="6"/>
  <c r="F13" i="6"/>
  <c r="A13" i="6" s="1"/>
  <c r="H12" i="6"/>
  <c r="F12" i="6"/>
  <c r="A12" i="6" s="1"/>
  <c r="H11" i="6"/>
  <c r="F11" i="6"/>
  <c r="H10" i="6"/>
  <c r="F10" i="6"/>
  <c r="A10" i="6" s="1"/>
  <c r="H9" i="6"/>
  <c r="F9" i="6"/>
  <c r="H8" i="6"/>
  <c r="F8" i="6"/>
  <c r="A8" i="6" s="1"/>
  <c r="H7" i="6"/>
  <c r="F7" i="6"/>
  <c r="A7" i="6" s="1"/>
  <c r="H6" i="6"/>
  <c r="F6" i="6"/>
  <c r="A6" i="6" s="1"/>
  <c r="H5" i="6"/>
  <c r="F5" i="6"/>
  <c r="H4" i="6"/>
  <c r="F4" i="6"/>
  <c r="H3" i="6"/>
  <c r="F3" i="6"/>
  <c r="A3" i="6" s="1"/>
  <c r="H55" i="4"/>
  <c r="F55" i="4"/>
  <c r="A55" i="4" s="1"/>
  <c r="H54" i="4"/>
  <c r="F54" i="4"/>
  <c r="H53" i="4"/>
  <c r="F53" i="4"/>
  <c r="A53" i="4" s="1"/>
  <c r="H52" i="4"/>
  <c r="F52" i="4"/>
  <c r="H51" i="4"/>
  <c r="F51" i="4"/>
  <c r="H50" i="4"/>
  <c r="F50" i="4"/>
  <c r="H49" i="4"/>
  <c r="F49" i="4"/>
  <c r="H48" i="4"/>
  <c r="F48" i="4"/>
  <c r="H47" i="4"/>
  <c r="F47" i="4"/>
  <c r="H46" i="4"/>
  <c r="F46" i="4"/>
  <c r="H45" i="4"/>
  <c r="F45" i="4"/>
  <c r="H44" i="4"/>
  <c r="F44" i="4"/>
  <c r="H43" i="4"/>
  <c r="F43" i="4"/>
  <c r="H42" i="4"/>
  <c r="F42" i="4"/>
  <c r="H41" i="4"/>
  <c r="F41" i="4"/>
  <c r="H40" i="4"/>
  <c r="F40" i="4"/>
  <c r="A40" i="4" s="1"/>
  <c r="H39" i="4"/>
  <c r="F39" i="4"/>
  <c r="H38" i="4"/>
  <c r="F38" i="4"/>
  <c r="H37" i="4"/>
  <c r="F37" i="4"/>
  <c r="A37" i="4" s="1"/>
  <c r="H36" i="4"/>
  <c r="F36" i="4"/>
  <c r="H35" i="4"/>
  <c r="F35" i="4"/>
  <c r="H34" i="4"/>
  <c r="F34" i="4"/>
  <c r="H33" i="4"/>
  <c r="F33" i="4"/>
  <c r="A33" i="4" s="1"/>
  <c r="H32" i="4"/>
  <c r="F32" i="4"/>
  <c r="H31" i="4"/>
  <c r="F31" i="4"/>
  <c r="H30" i="4"/>
  <c r="F30" i="4"/>
  <c r="H29" i="4"/>
  <c r="F29" i="4"/>
  <c r="H28" i="4"/>
  <c r="F28" i="4"/>
  <c r="H27" i="4"/>
  <c r="F27" i="4"/>
  <c r="H26" i="4"/>
  <c r="F26" i="4"/>
  <c r="H25" i="4"/>
  <c r="F25" i="4"/>
  <c r="A25" i="4" s="1"/>
  <c r="H24" i="4"/>
  <c r="F24" i="4"/>
  <c r="H23" i="4"/>
  <c r="F23" i="4"/>
  <c r="H22" i="4"/>
  <c r="F22" i="4"/>
  <c r="H21" i="4"/>
  <c r="F21" i="4"/>
  <c r="H20" i="4"/>
  <c r="F20" i="4"/>
  <c r="H19" i="4"/>
  <c r="F19" i="4"/>
  <c r="H18" i="4"/>
  <c r="F18" i="4"/>
  <c r="H17" i="4"/>
  <c r="F17" i="4"/>
  <c r="H16" i="4"/>
  <c r="F16" i="4"/>
  <c r="H15" i="4"/>
  <c r="F15" i="4"/>
  <c r="H14" i="4"/>
  <c r="F14" i="4"/>
  <c r="H13" i="4"/>
  <c r="F13" i="4"/>
  <c r="H12" i="4"/>
  <c r="F12" i="4"/>
  <c r="H11" i="4"/>
  <c r="F11" i="4"/>
  <c r="H10" i="4"/>
  <c r="F10" i="4"/>
  <c r="H9" i="4"/>
  <c r="F9" i="4"/>
  <c r="H8" i="4"/>
  <c r="F8" i="4"/>
  <c r="A8" i="4" s="1"/>
  <c r="H7" i="4"/>
  <c r="F7" i="4"/>
  <c r="A7" i="4" s="1"/>
  <c r="H6" i="4"/>
  <c r="F6" i="4"/>
  <c r="H5" i="4"/>
  <c r="F5" i="4"/>
  <c r="H4" i="4"/>
  <c r="F4" i="4"/>
  <c r="H3" i="4"/>
  <c r="F3" i="4"/>
  <c r="A3" i="4" s="1"/>
  <c r="B88" i="1"/>
  <c r="B87" i="1"/>
  <c r="G10" i="1"/>
  <c r="I10" i="1"/>
  <c r="A31" i="6" l="1"/>
  <c r="M37" i="6"/>
  <c r="A54" i="4"/>
  <c r="A18" i="6"/>
  <c r="A4" i="6"/>
  <c r="A20" i="6"/>
  <c r="A27" i="6"/>
  <c r="A9" i="6"/>
  <c r="A25" i="6"/>
  <c r="A14" i="6"/>
  <c r="A17" i="6"/>
  <c r="A30" i="6"/>
  <c r="A5" i="6"/>
  <c r="A11" i="6"/>
  <c r="A50" i="4"/>
  <c r="A45" i="4"/>
  <c r="A44" i="4"/>
  <c r="A9" i="4"/>
  <c r="A6" i="4"/>
  <c r="A23" i="4"/>
  <c r="A35" i="4"/>
  <c r="A20" i="4"/>
  <c r="A24" i="4"/>
  <c r="A27" i="4"/>
  <c r="A12" i="4"/>
  <c r="A47" i="4"/>
  <c r="A16" i="4"/>
  <c r="A11" i="4"/>
  <c r="A10" i="4"/>
  <c r="A18" i="4"/>
  <c r="A28" i="4"/>
  <c r="A38" i="4"/>
  <c r="A15" i="4"/>
  <c r="A51" i="4"/>
  <c r="A19" i="4"/>
  <c r="A31" i="4"/>
  <c r="A52" i="4"/>
  <c r="A5" i="4"/>
  <c r="A21" i="4"/>
  <c r="A14" i="4"/>
  <c r="A36" i="4"/>
  <c r="A43" i="4"/>
  <c r="A32" i="4"/>
  <c r="A39" i="4"/>
  <c r="A17" i="4"/>
  <c r="A48" i="4"/>
  <c r="A13" i="4"/>
  <c r="A29" i="4"/>
  <c r="A34" i="4"/>
  <c r="A4" i="4"/>
  <c r="A41" i="4"/>
  <c r="A46" i="4"/>
  <c r="A49" i="4"/>
  <c r="A30" i="4"/>
  <c r="A42" i="4"/>
  <c r="A22" i="4"/>
  <c r="A26" i="4"/>
  <c r="A10" i="1"/>
  <c r="G84" i="1"/>
  <c r="A84" i="1" s="1"/>
  <c r="I84" i="1"/>
  <c r="G64" i="1"/>
  <c r="I64" i="1"/>
  <c r="A64" i="1" l="1"/>
  <c r="D39" i="1"/>
  <c r="G39" i="1"/>
  <c r="I39" i="1"/>
  <c r="G71" i="1"/>
  <c r="I71" i="1"/>
  <c r="A71" i="1" l="1"/>
  <c r="A39" i="1"/>
  <c r="G77" i="1"/>
  <c r="A77" i="1" s="1"/>
  <c r="I77" i="1"/>
  <c r="D16" i="2"/>
  <c r="D15" i="2"/>
  <c r="D19" i="2"/>
  <c r="D17" i="2"/>
  <c r="D18" i="2"/>
  <c r="D20" i="2"/>
  <c r="D21" i="2"/>
  <c r="D22" i="2"/>
  <c r="D76" i="1"/>
  <c r="G76" i="1"/>
  <c r="I76" i="1"/>
  <c r="A76" i="1" l="1"/>
  <c r="D4" i="1"/>
  <c r="D5" i="1"/>
  <c r="D7" i="1"/>
  <c r="D8" i="1"/>
  <c r="D11" i="1"/>
  <c r="D12" i="1"/>
  <c r="D13" i="1"/>
  <c r="D16" i="1"/>
  <c r="D17" i="1"/>
  <c r="D18" i="1"/>
  <c r="D19" i="1"/>
  <c r="D20" i="1"/>
  <c r="D21" i="1"/>
  <c r="D22" i="1"/>
  <c r="D24" i="1"/>
  <c r="D25" i="1"/>
  <c r="D26" i="1"/>
  <c r="D29" i="1"/>
  <c r="D30" i="1"/>
  <c r="D31" i="1"/>
  <c r="D37" i="1"/>
  <c r="D40" i="1"/>
  <c r="D41" i="1"/>
  <c r="D42" i="1"/>
  <c r="D43" i="1"/>
  <c r="D44" i="1"/>
  <c r="D45" i="1"/>
  <c r="D46" i="1"/>
  <c r="D47" i="1"/>
  <c r="D48" i="1"/>
  <c r="D49" i="1"/>
  <c r="D50" i="1"/>
  <c r="D52" i="1"/>
  <c r="D53" i="1"/>
  <c r="D56" i="1"/>
  <c r="D57" i="1"/>
  <c r="D58" i="1"/>
  <c r="D59" i="1"/>
  <c r="D60" i="1"/>
  <c r="D61" i="1"/>
  <c r="D62" i="1"/>
  <c r="D63" i="1"/>
  <c r="D66" i="1"/>
  <c r="D67" i="1"/>
  <c r="D68" i="1"/>
  <c r="D70" i="1"/>
  <c r="D73" i="1"/>
  <c r="D74" i="1"/>
  <c r="D75" i="1"/>
  <c r="D80" i="1"/>
  <c r="D81" i="1"/>
  <c r="D3" i="1"/>
  <c r="C86" i="1"/>
  <c r="D10" i="1" s="1"/>
  <c r="I55" i="1"/>
  <c r="I54" i="1"/>
  <c r="D28" i="1" l="1"/>
  <c r="D27" i="1"/>
  <c r="D79" i="1"/>
  <c r="D78" i="1"/>
  <c r="D64" i="1"/>
  <c r="D84" i="1"/>
  <c r="D83" i="1"/>
  <c r="D71" i="1"/>
  <c r="D36" i="1"/>
  <c r="D34" i="1"/>
  <c r="D82" i="1"/>
  <c r="D77" i="1"/>
  <c r="D33" i="1"/>
  <c r="D32" i="1"/>
  <c r="D65" i="1"/>
  <c r="D69" i="1"/>
  <c r="D72" i="1"/>
  <c r="D38" i="1"/>
  <c r="D51" i="1"/>
  <c r="D55" i="1"/>
  <c r="D54" i="1"/>
  <c r="D23" i="1"/>
  <c r="D35" i="1"/>
  <c r="D15" i="1"/>
  <c r="D14" i="1"/>
  <c r="D9" i="1"/>
  <c r="D6" i="1"/>
  <c r="G7" i="1" l="1"/>
  <c r="I7" i="1"/>
  <c r="I21" i="1"/>
  <c r="I29" i="1"/>
  <c r="I31" i="1"/>
  <c r="G9" i="1"/>
  <c r="I9" i="1"/>
  <c r="G5" i="1"/>
  <c r="I5" i="1"/>
  <c r="A7" i="1" l="1"/>
  <c r="A9" i="1"/>
  <c r="A5" i="1"/>
  <c r="G8" i="1"/>
  <c r="I8" i="1"/>
  <c r="A8" i="1" l="1"/>
  <c r="I73" i="1"/>
  <c r="I74" i="1"/>
  <c r="I75" i="1"/>
  <c r="I65" i="1"/>
  <c r="G80" i="1"/>
  <c r="I80" i="1"/>
  <c r="G81" i="1"/>
  <c r="I81" i="1"/>
  <c r="G82" i="1"/>
  <c r="G83" i="1"/>
  <c r="I82" i="1"/>
  <c r="I83" i="1"/>
  <c r="I53" i="1"/>
  <c r="I51" i="1"/>
  <c r="I50" i="1"/>
  <c r="I49" i="1"/>
  <c r="I48" i="1"/>
  <c r="I28" i="1"/>
  <c r="Q1" i="1"/>
  <c r="I72" i="1"/>
  <c r="A81" i="1" l="1"/>
  <c r="A80" i="1"/>
  <c r="A83" i="1"/>
  <c r="A82" i="1"/>
  <c r="D4" i="2" l="1"/>
  <c r="D5" i="2"/>
  <c r="D6" i="2"/>
  <c r="D7" i="2"/>
  <c r="D8" i="2"/>
  <c r="D9" i="2"/>
  <c r="D10" i="2"/>
  <c r="G65" i="1" s="1"/>
  <c r="A65" i="1" s="1"/>
  <c r="D11" i="2"/>
  <c r="G72" i="1" s="1"/>
  <c r="A72" i="1" s="1"/>
  <c r="D12" i="2"/>
  <c r="D13" i="2"/>
  <c r="D14" i="2"/>
  <c r="D23" i="2"/>
  <c r="G73" i="1" l="1"/>
  <c r="A73" i="1" s="1"/>
  <c r="G74" i="1"/>
  <c r="A74" i="1" s="1"/>
  <c r="G75" i="1"/>
  <c r="A75" i="1" s="1"/>
  <c r="G21" i="1"/>
  <c r="A21" i="1" s="1"/>
  <c r="G28" i="1"/>
  <c r="A28" i="1" s="1"/>
  <c r="G55" i="1"/>
  <c r="A55" i="1" s="1"/>
  <c r="G54" i="1"/>
  <c r="A54" i="1" s="1"/>
  <c r="G48" i="1"/>
  <c r="A48" i="1" s="1"/>
  <c r="G53" i="1"/>
  <c r="A53" i="1" s="1"/>
  <c r="G51" i="1"/>
  <c r="A51" i="1" s="1"/>
  <c r="G49" i="1"/>
  <c r="A49" i="1" s="1"/>
  <c r="G50" i="1"/>
  <c r="A50" i="1" s="1"/>
  <c r="G29" i="1"/>
  <c r="A29" i="1" s="1"/>
  <c r="G31" i="1"/>
  <c r="A31" i="1" s="1"/>
  <c r="I45" i="1"/>
  <c r="I67" i="1"/>
  <c r="I68" i="1"/>
  <c r="I69" i="1"/>
  <c r="I70" i="1"/>
  <c r="I30" i="1" l="1"/>
  <c r="I66" i="1"/>
  <c r="I40" i="1"/>
  <c r="I41" i="1"/>
  <c r="I42" i="1"/>
  <c r="I43" i="1"/>
  <c r="I25" i="1"/>
  <c r="I52" i="1"/>
  <c r="D3" i="2"/>
  <c r="G13" i="1" s="1"/>
  <c r="G30" i="1"/>
  <c r="G37" i="1"/>
  <c r="G52" i="1"/>
  <c r="G78" i="1"/>
  <c r="D2" i="2"/>
  <c r="G3" i="1" s="1"/>
  <c r="G11" i="1"/>
  <c r="I36" i="1"/>
  <c r="I37" i="1"/>
  <c r="I38" i="1"/>
  <c r="I44" i="1"/>
  <c r="A30" i="1" l="1"/>
  <c r="A37" i="1"/>
  <c r="A52" i="1"/>
  <c r="G79" i="1"/>
  <c r="G33" i="1"/>
  <c r="G15" i="1"/>
  <c r="G47" i="1"/>
  <c r="G14" i="1"/>
  <c r="G59" i="1"/>
  <c r="G63" i="1"/>
  <c r="G58" i="1"/>
  <c r="G62" i="1"/>
  <c r="G56" i="1"/>
  <c r="G12" i="1"/>
  <c r="G35" i="1"/>
  <c r="G34" i="1"/>
  <c r="G32" i="1"/>
  <c r="G27" i="1"/>
  <c r="G57" i="1"/>
  <c r="G46" i="1"/>
  <c r="G16" i="1"/>
  <c r="A36" i="1"/>
  <c r="G61" i="1"/>
  <c r="G60" i="1"/>
  <c r="G23" i="1"/>
  <c r="G20" i="1"/>
  <c r="G25" i="1"/>
  <c r="A25" i="1" s="1"/>
  <c r="G26" i="1"/>
  <c r="G6" i="1"/>
  <c r="G38" i="1"/>
  <c r="A38" i="1" s="1"/>
  <c r="G4" i="1"/>
  <c r="G70" i="1"/>
  <c r="A70" i="1" s="1"/>
  <c r="G67" i="1"/>
  <c r="A67" i="1" s="1"/>
  <c r="G68" i="1"/>
  <c r="A68" i="1" s="1"/>
  <c r="G69" i="1"/>
  <c r="A69" i="1" s="1"/>
  <c r="G45" i="1"/>
  <c r="A45" i="1" s="1"/>
  <c r="G43" i="1"/>
  <c r="A43" i="1" s="1"/>
  <c r="G42" i="1"/>
  <c r="A42" i="1" s="1"/>
  <c r="G22" i="1"/>
  <c r="G41" i="1"/>
  <c r="A41" i="1" s="1"/>
  <c r="G40" i="1"/>
  <c r="A40" i="1" s="1"/>
  <c r="G19" i="1"/>
  <c r="G18" i="1"/>
  <c r="G66" i="1"/>
  <c r="A66" i="1" s="1"/>
  <c r="G17" i="1"/>
  <c r="G24" i="1"/>
  <c r="G44" i="1"/>
  <c r="A44" i="1" s="1"/>
  <c r="I57" i="1" l="1"/>
  <c r="A57" i="1" s="1"/>
  <c r="I59" i="1"/>
  <c r="A59" i="1" s="1"/>
  <c r="I22" i="1"/>
  <c r="A22" i="1" s="1"/>
  <c r="I23" i="1"/>
  <c r="A23" i="1" s="1"/>
  <c r="I24" i="1"/>
  <c r="A24" i="1" s="1"/>
  <c r="I26" i="1"/>
  <c r="A26" i="1" s="1"/>
  <c r="I16" i="1" l="1"/>
  <c r="A16" i="1" s="1"/>
  <c r="I3" i="1"/>
  <c r="A3" i="1" s="1"/>
  <c r="I4" i="1"/>
  <c r="A4" i="1" s="1"/>
  <c r="I6" i="1"/>
  <c r="A6" i="1" s="1"/>
  <c r="I11" i="1"/>
  <c r="A11" i="1" s="1"/>
  <c r="I12" i="1"/>
  <c r="A12" i="1" s="1"/>
  <c r="I13" i="1"/>
  <c r="A13" i="1" s="1"/>
  <c r="I14" i="1"/>
  <c r="A14" i="1" s="1"/>
  <c r="I15" i="1"/>
  <c r="A15" i="1" s="1"/>
  <c r="I17" i="1"/>
  <c r="A17" i="1" s="1"/>
  <c r="I18" i="1"/>
  <c r="A18" i="1" s="1"/>
  <c r="I19" i="1"/>
  <c r="A19" i="1" s="1"/>
  <c r="I20" i="1"/>
  <c r="A20" i="1" s="1"/>
  <c r="I32" i="1"/>
  <c r="A32" i="1" s="1"/>
  <c r="I33" i="1"/>
  <c r="A33" i="1" s="1"/>
  <c r="I34" i="1"/>
  <c r="A34" i="1" s="1"/>
  <c r="I35" i="1"/>
  <c r="A35" i="1" s="1"/>
  <c r="I46" i="1"/>
  <c r="A46" i="1" s="1"/>
  <c r="I47" i="1"/>
  <c r="A47" i="1" s="1"/>
  <c r="I56" i="1"/>
  <c r="A56" i="1" s="1"/>
  <c r="I58" i="1"/>
  <c r="A58" i="1" s="1"/>
  <c r="I60" i="1"/>
  <c r="A60" i="1" s="1"/>
  <c r="I61" i="1"/>
  <c r="A61" i="1" s="1"/>
  <c r="I62" i="1"/>
  <c r="A62" i="1" s="1"/>
  <c r="I63" i="1"/>
  <c r="A63" i="1" s="1"/>
  <c r="I78" i="1"/>
  <c r="A78" i="1" s="1"/>
  <c r="I79" i="1"/>
  <c r="A79" i="1" s="1"/>
  <c r="I27" i="1"/>
  <c r="A27" i="1" s="1"/>
</calcChain>
</file>

<file path=xl/sharedStrings.xml><?xml version="1.0" encoding="utf-8"?>
<sst xmlns="http://schemas.openxmlformats.org/spreadsheetml/2006/main" count="985" uniqueCount="260">
  <si>
    <t>Oblasti</t>
  </si>
  <si>
    <t>Zkratka</t>
  </si>
  <si>
    <t>Pořadí</t>
  </si>
  <si>
    <t>Zkratka+poradi</t>
  </si>
  <si>
    <t>Podoblasti</t>
  </si>
  <si>
    <t>Barva</t>
  </si>
  <si>
    <t>ANO/NE</t>
  </si>
  <si>
    <t>Evidence</t>
  </si>
  <si>
    <t>EVI</t>
  </si>
  <si>
    <t>01</t>
  </si>
  <si>
    <t>Plánované a operativní činnosti</t>
  </si>
  <si>
    <t>POČ</t>
  </si>
  <si>
    <t>Klasifikace</t>
  </si>
  <si>
    <t>KLA</t>
  </si>
  <si>
    <t>02</t>
  </si>
  <si>
    <t>HelpDesk</t>
  </si>
  <si>
    <t>HED</t>
  </si>
  <si>
    <t>Datová část</t>
  </si>
  <si>
    <t>DAT</t>
  </si>
  <si>
    <t>03</t>
  </si>
  <si>
    <t>Skladové hospodářství</t>
  </si>
  <si>
    <t>SKH</t>
  </si>
  <si>
    <t>Napojení</t>
  </si>
  <si>
    <t>NAP</t>
  </si>
  <si>
    <t>04</t>
  </si>
  <si>
    <t>Přehledy</t>
  </si>
  <si>
    <t>PŘE</t>
  </si>
  <si>
    <t>Uživatelské rozhraní</t>
  </si>
  <si>
    <t>UŽR</t>
  </si>
  <si>
    <t>05</t>
  </si>
  <si>
    <t>Obecné funkcionality</t>
  </si>
  <si>
    <t>OBF</t>
  </si>
  <si>
    <t>06</t>
  </si>
  <si>
    <t>Geografický informační systém</t>
  </si>
  <si>
    <t>GIS</t>
  </si>
  <si>
    <t>Přístupy a oprávnění</t>
  </si>
  <si>
    <t>OPR</t>
  </si>
  <si>
    <t>07</t>
  </si>
  <si>
    <t>Model stavby</t>
  </si>
  <si>
    <t>BIM</t>
  </si>
  <si>
    <t>ÚDR</t>
  </si>
  <si>
    <t>08</t>
  </si>
  <si>
    <t>2D dokumentace</t>
  </si>
  <si>
    <t>CAD</t>
  </si>
  <si>
    <t>Energie</t>
  </si>
  <si>
    <t>ENE</t>
  </si>
  <si>
    <t>09</t>
  </si>
  <si>
    <t>Dokumenty</t>
  </si>
  <si>
    <t>DOK</t>
  </si>
  <si>
    <t>10</t>
  </si>
  <si>
    <t>Nájmy</t>
  </si>
  <si>
    <t>NÁJ</t>
  </si>
  <si>
    <t>11</t>
  </si>
  <si>
    <t>Odpadové hospodářství</t>
  </si>
  <si>
    <t>ODP</t>
  </si>
  <si>
    <t>12</t>
  </si>
  <si>
    <t>Správa movitého majetku</t>
  </si>
  <si>
    <t>SMM</t>
  </si>
  <si>
    <t>Management prostor</t>
  </si>
  <si>
    <t>MAP</t>
  </si>
  <si>
    <t>Nákupy a objednávky</t>
  </si>
  <si>
    <t>NAO</t>
  </si>
  <si>
    <t>GRA</t>
  </si>
  <si>
    <t>14</t>
  </si>
  <si>
    <t>Mobilní aplikace</t>
  </si>
  <si>
    <t>APP</t>
  </si>
  <si>
    <t>SKL</t>
  </si>
  <si>
    <t>Smlouvy</t>
  </si>
  <si>
    <t>SML</t>
  </si>
  <si>
    <t>ID</t>
  </si>
  <si>
    <t>Povinný požadavek</t>
  </si>
  <si>
    <t>Váha nepovinného požadavku</t>
  </si>
  <si>
    <t>% vaha</t>
  </si>
  <si>
    <t>Uživ. Nastav. *</t>
  </si>
  <si>
    <t>Oblast</t>
  </si>
  <si>
    <t>ID_Oblast</t>
  </si>
  <si>
    <t>Podoblast</t>
  </si>
  <si>
    <t>ID_Podoblast</t>
  </si>
  <si>
    <t>ID_cislo</t>
  </si>
  <si>
    <t>Název požadavku</t>
  </si>
  <si>
    <t>Podrobný popis požadavku</t>
  </si>
  <si>
    <t>Evidence datových objektů</t>
  </si>
  <si>
    <t>Systém umožňuje rozšiřovat typy datových objektů.</t>
  </si>
  <si>
    <t>Provazby datových objektů nezávisle na klasifikaci</t>
  </si>
  <si>
    <t xml:space="preserve">Systém umožňuje vytvořit provazbu mezi datovými objekty nezávisle na klasifikaci, např. je možné u zařízení vybrat jiná nadřízená/podřízená zařízení. Například lze u konkrétního světla nadřadit skze kód jistič, na které je světlo napojeno. Nařazený/podřízený objekt lze otevřít proklikem. </t>
  </si>
  <si>
    <t>Skupiny datových objektů</t>
  </si>
  <si>
    <t>Systém umožňuje vytvořit skupiny datových objektů nezávisle na klasifikaci. Skupiny objetků slouží v podstatě uměle k vyhrazení určitých prostor nebo technologií. Např. lze označit 5 místností jako byt. Může být řešeno jako samostatný datový objekt, tagy, případně jinak dle návrhu dodavatele.</t>
  </si>
  <si>
    <t>Správci objektů a uživatelé místností</t>
  </si>
  <si>
    <t>Systém umožňuje k datovým objektům zejména nemovitostí přiřadit správce i uživatele z oganizační struktury UK. Lze přiřadit více správců i uživatelů najednou. Tento bod nemusí být nutně souviset s oprávněními uvnitř systému, evidováno kvůli ostatním centrálním systémům UK.</t>
  </si>
  <si>
    <t>Evidence soukromých/právnických osob</t>
  </si>
  <si>
    <t>Systém umožňuje evidovat soukromé/právnické osoby. Lze definovat atributy, které bude obsahovat.</t>
  </si>
  <si>
    <t>Systém umožňuje k právnickým osobám dohledat a vyplnit údaje ze základních veřejných registrů jako je např. ARES.</t>
  </si>
  <si>
    <t>Hierarchická klasifikace nemovitostí</t>
  </si>
  <si>
    <t>Klasifikace hierarchická - místní</t>
  </si>
  <si>
    <t>Systém umožňuje datové objekty zatřídit a zobrazit v hierarchické struktuře dle struktury nemovitostí, tzn. prvky technologií lze např. zobrazit dle konkrétní místnosti nezávisle na zatřízení do funkčního systému.
Minimálně je požadováno 6 úrovní (tzn. na úroveň dílčí plochy).</t>
  </si>
  <si>
    <t>Klasifikace hierarchická - funkční</t>
  </si>
  <si>
    <t>Systém umožňuje typové prvky zatřídit a zobrazit v hierarchické struktuře dle funčních systémů, tzn. prvky technologií lze zobrazit dle profese, konkrétního funkčního systému a podsystému nezávisle na umístění např. VZT -&gt; VZT lokální -&gt; klapky -&gt; regulační klapka.
Minimálně jsou požadovány 4 úrovně.</t>
  </si>
  <si>
    <t>Rošiřitelná klasifikace hierarchická - místní</t>
  </si>
  <si>
    <t>Úrovně klasifikace lze libovolně rozšiřovat o další úrovně.</t>
  </si>
  <si>
    <t>Rošiřitelná klasifikace hierarchická - funkční</t>
  </si>
  <si>
    <t>Vlastní/upravitelná datová struktura</t>
  </si>
  <si>
    <t>Systém umožňuje tvorbu vlastní datové struktury tzn. Vytváření typů datových objektů, jejich klasifikaci (zatřídění) a vytváření atributů (vlastností). Atributy budou přiřazovány k typům datových objektů na základě funkční hierarchické klasifikace a lze u nich definovat datový typ, typ ovládacího prvku a omezit hodnoty na předem definované čísleníky.
Datová struktura, v úrovni nezbytných parametrů pro chod CAFM systému, bude stanovena ve spolupráci s dodavatelem. Veškeré atributy CAFM systému včetně těch, které jsou nutné pro chod systému a nelze je uživatelsky měnit, budou poskytnuty pro potřeby vlastního datového standardu. Pro tyto účely bude ve fázi implementace vytvořena párovací tabulka nebo budou převzaty do datového standardu UK. V tom případě bude datová struktura pouze rozšiřitelná.</t>
  </si>
  <si>
    <t>Tvorba číselníků</t>
  </si>
  <si>
    <t>Systém umožňuje tvorbu vlastních čísleníků pro hodnotová pole atributů. Číselníkem v obecném smyslu rozumíme uspořádaný seznam (diskrétních) hodnot, které může atribut nabývat.</t>
  </si>
  <si>
    <t>Hierarchické (víceúrovňové) číselníky</t>
  </si>
  <si>
    <t>Systém umožňuje tvorbu víceúrovňových číselníků. Hodnoty atributů lze omezit dle výběru hodnoty jiného atributu. Například lze vybrat v závislosti na provázání kategorie a názvu místnosti v číselníku pouze ty standardizované názvy místností, které jsou propojeny s příslušnou kategorií. Uživatel vybere kategorii místnosti "Komunikace" a dostane na výběr v názvu místnosti "chodba, schodiště, ...".</t>
  </si>
  <si>
    <t>Úprava číselníků</t>
  </si>
  <si>
    <t>Systém umožňuje úpravy číselníků u již použitých hodnot v záznamech. Buďto zkrze číselníkové kódy/ID, kde dochází k ukládání těchto kódů a uživateli se zobrazuje sémantická interpretace, nebo skrze kaskádové aktualizace.</t>
  </si>
  <si>
    <t>Požadované hodnoty</t>
  </si>
  <si>
    <t>V rámci jednotlivých karet evidence, formulářů (např. činností údržby) a ostatních částí systémů lze definnovat které hodnoty atributů jsou vyžadované (uživatel nemůže při zakládání datového objektu/vyplňování ponechat pole prázdné a přitom datový objekt uložit)</t>
  </si>
  <si>
    <t>Číselné řady</t>
  </si>
  <si>
    <t xml:space="preserve">Systém umožňuje vytvářet vlastní číslené řady. Číselné řady lze přiřadit k vytváření nebo úpravám datových objektů. Číselné řady lze skládat z pevně definované části textu (kódu) a dynamické části (např. čísla, které se při vyváření záznamu vždy zvětšuje o 1, již vyplněné hodnoty atributu např. budovy nebo části aktuáního datumu). Lze definovat formát výsledného záznamu. </t>
  </si>
  <si>
    <t>Kumulativně počítat číslené hodnoty z nižších úrovní klasifikace</t>
  </si>
  <si>
    <t>Systém umožňuje u vybraných atributů s číselnými hodnotami sčítat a zobrazovat výsledky podřazených datových objektů u jejich nadřazených datových objektů (parent). Například čistá podlahová plocha je plněna do hodnoty atributu podlahové plochy místnosti. Hodnotu atributu lze zobrazit jako součet všech místností a ploch na úrovni podlaží. Současně je možné na úrovni části objektu/objektu zobrazit celkovou sumu za všechny podlaží a tudíž za část objektu/celý objekt.</t>
  </si>
  <si>
    <t>Vytváření výpočetních vzorců</t>
  </si>
  <si>
    <t>Systém umožňuje vytváření výpočetních vzorců pro číslené hodnoty. Například lze nastavit výpočet hodnoty objemu místnosti tak, že pro výpočet se použije plocha místnoti a vynásobí se svěltou výškou místnosti.</t>
  </si>
  <si>
    <t>Export dat ze systému</t>
  </si>
  <si>
    <t>Systém umožňuje export uživatelsky definované množiny dat ve formátu CSV nebo XSLX.</t>
  </si>
  <si>
    <t>Import dat do systému</t>
  </si>
  <si>
    <t>Systém umožňuje import dat do systému ve formátu CSV nebo XSLX. Může být v předem definované struktuře.</t>
  </si>
  <si>
    <t>Hromadné aktualizace dat</t>
  </si>
  <si>
    <t>Systém umožňuje hromadnou úpravu hodnot atributů evidence. Hromadnou úpravu lze realizovat skrze výběr dle zadaného kritéria nebo skrze aktualizaci přes import dat.</t>
  </si>
  <si>
    <t>Zpětná kompatibilita dat</t>
  </si>
  <si>
    <t>Systém umožňuje zpětnou kompatibilitu negrafických informací s modelem.</t>
  </si>
  <si>
    <t>Napojení na veřejná data ČÚZK (katastru nemovitostí a RUIAN)</t>
  </si>
  <si>
    <t>Samotné uživatelské rozhraní je pro běžného uživatele přístupné pouze skrze webový prohlížeč. Pro specifické úkony systémového andmistrátora UK může být uživatelské rozhraní v samostatné aplikaci.</t>
  </si>
  <si>
    <t>Lokalizace</t>
  </si>
  <si>
    <t>Uživatelské rozhraní je kompletně lokaizováno do českého jazyka. Není požadováno pro části administrátorských modulů, například prohlížeček a editorů CAD a BIM. Uživatelská prohlížečka lokalizována je požadována.</t>
  </si>
  <si>
    <t>Vyhledávání v atributech</t>
  </si>
  <si>
    <t>Systém umožňuje vyhledávání nebo filtrování ve všech datových objektech na základě vybraného atributu. Vyhledávací pole může navrhovat výběr z výsledků.</t>
  </si>
  <si>
    <t>Fulltextové vyhledávání v atributech</t>
  </si>
  <si>
    <t>Systém umožňuje fulltextové vyhledávání ve všech atributech v rámci jednoho vyhledávácího pole. Vyhledávací pole může navrhovat výběr z výsledků.</t>
  </si>
  <si>
    <t>Navigace na nadřazené objekty</t>
  </si>
  <si>
    <r>
      <t>Systém umožňuje zobrazení a proklik na nadřazené úrovně datového objektu. U nemovitost řešeno místně, u technologií a ostatních zařízení dle funkčních systémů. Typicky umístěno v horní části obrazovky, např. u regulační klapky: VZT -&gt; VZT lokální -&gt; klapky -&gt; regulační klapka (</t>
    </r>
    <r>
      <rPr>
        <i/>
        <sz val="11"/>
        <color theme="1"/>
        <rFont val="Calibri"/>
        <family val="2"/>
        <charset val="238"/>
        <scheme val="minor"/>
      </rPr>
      <t>ID prvku</t>
    </r>
    <r>
      <rPr>
        <sz val="11"/>
        <color theme="1"/>
        <rFont val="Calibri"/>
        <family val="2"/>
        <scheme val="minor"/>
      </rPr>
      <t>)</t>
    </r>
  </si>
  <si>
    <t>Upravitelné uživatelské rozhraní</t>
  </si>
  <si>
    <t>Systém umožňuje úpravu prvků uživatelského rozhraní např. nastavitelné grafy, nastavitelné tabulky apod. dle role uživatele.</t>
  </si>
  <si>
    <t>Generování a tisk (nebo export) QR kódů k datovým objektům</t>
  </si>
  <si>
    <t>Systém umožňuje hormadné vyváření QR kódů k datovým objektům. Tyto kódy lze hromadně tisknout a exportovat.</t>
  </si>
  <si>
    <t>Pokročilé generování QR kódů</t>
  </si>
  <si>
    <t>Systém umožňuje (možné v kombinaci i s jiným softwarem) vytváření podrobných štítků včetně nastavení vzhledu. Např. v systému dojde k výběru datových objektů k tisku a předem definované informace se přenesou do softwaru na tisk štítků (Zebra Designer Pro, případně jiný SW), kde je již vytvořena šablona.</t>
  </si>
  <si>
    <t>Tiskové reporty</t>
  </si>
  <si>
    <t>Systém umožňuje vytváření tiskových reportů z výběru dat formulářů, karet zařízení, apod. do předpřipravených formulářů/vzhledů. Výstupní formáty: PDF, DOCX, XSLX
V rámci implementace budou nastaveny základní tiskové reporty dle rozsahu smlouvy.</t>
  </si>
  <si>
    <t>Uživatelské tiskové reporty</t>
  </si>
  <si>
    <t>Systém umožňuje uživatelsky nastavitelné tiskové reporty.</t>
  </si>
  <si>
    <t>Notifikace</t>
  </si>
  <si>
    <t>Systém umožňuje notifikace uživatelů skrze email.</t>
  </si>
  <si>
    <t>Správa uživatelů</t>
  </si>
  <si>
    <t>Systém umožňuje spravovat přístup k systému a oprávnění jednotlivých uživatelů.</t>
  </si>
  <si>
    <t>Role uživatelů</t>
  </si>
  <si>
    <t>Systém umožňuje vytvářet a spravovat role uživatelů. Na základě přidělených rolí jsou řízeny oprávnění částí systému. Např. administrátor, zaměstnanec, externí dodavatel, technik, …</t>
  </si>
  <si>
    <t>Skupiny uživatelů</t>
  </si>
  <si>
    <t>Systém umožňuje vytvářet a spravovat skupiny zaměstnanců. Na základě přidělených skupin jsou řízeny oprávnění částí systému. Např. technik elektro a technik VZT</t>
  </si>
  <si>
    <t>Přístupy dle interního členění UK</t>
  </si>
  <si>
    <t>Systém umožňuje omezit přístupová práva na základě hierarchické klasifikace - místní. Podstatné je umožnit dle přiřazení skupiny uživatelů k interní entitě (fakultě, součásti) a té omezit přístup na konkrétní datové objekty (budovy, technologie). Oprávnění by se mělo vztahovat i na všechny podřízené objekty a s nimi související činnosti. Nemělo by být realizováno skrze funkce uživatelů, aby zůstaly obecně nastavitelné pro celou UK, ale například skrze skupiny případně jiným způsobem. Konkrétní způsob technického řešení je na dodavateli systému.</t>
  </si>
  <si>
    <t>Přístup pro externí dodavatele</t>
  </si>
  <si>
    <t>Systém umožňuje zavádět externí dodavatele a spravovat jejich oprávnění na konkrétní budovy a technologie. Např. lze na konkrétní budově zřídit přístup dodavateli k celému systému VTZ, který se o chod stará.</t>
  </si>
  <si>
    <t>Auditní stopa</t>
  </si>
  <si>
    <t>Systém eviduje auditní stopu všech uživatelů, eviduje změny, jejich obsah, kdo je provedl, jejich čas a případně další údaje. Auditní stopa je přístupná roli systémového administrátora UK.</t>
  </si>
  <si>
    <t>Činnosti obecně</t>
  </si>
  <si>
    <t>Systém umožňuje evidovat operativní činnosti údržby, které jsou řešeny v závislosti na požadavku technika/uživatele/jiné osoby. Systém umožňuje evidovat plánované činnosti údržby, které se opakují v pevných časových nebo limitních intervalech, nebo jsou opakovaně jednotlivě plánovány.</t>
  </si>
  <si>
    <t>Seznamy typových plánovaných činností údržby</t>
  </si>
  <si>
    <t xml:space="preserve">Systém umožňuje vytvářet typové plánované činnosti údržby. Typové činnosti lze přiřazovat k typům prvků evidence v závislosti na klasifikaci (např. lze předdefinovat běžné činnosti pro VTZ jednotku). V rámci vytvoření typové činnosti lze předefinovat atributy, které bude obsahovat, včetně předefinovaných vybraných hodnot (např. lze vytvořit typovou revizi VZT jednotky, která je svázána s klasifikací (u technologií funkční) nebo obecným typem zařízení). U konkrétní technologie/skupiny technologí lze následně činnost přiřadit z předdefinovaného seznamu, doplnit datum poslední revize a další údaje. </t>
  </si>
  <si>
    <t>Seznamy typových operativních činností údržby</t>
  </si>
  <si>
    <t>Systém umožňuje vytvářet typové operativní činnosti údržby. V rámci vytvoření typové činnosti lze předefinovat atributy, které bude obsahovat, včetně předefinovaných vybraných hodnot (např. termín splnění požadavku, stav, …).</t>
  </si>
  <si>
    <t>Samostatné vytvoření plánovaných činností</t>
  </si>
  <si>
    <t>Systém umožňuje nehledě na seznam typových činností vytvořit novou činnost ke konkrétnímu prvku evidence v obecném formátu, který bude nastaven. Bude využito v ojedinilých případech, kdy nebude žádoucí vytvářet typovou činnost.</t>
  </si>
  <si>
    <t>Bližší specifikace činností údržby</t>
  </si>
  <si>
    <t>Tento požadavek doplňuje předcházejí požadavky údržby kvůli bližší specifikaci. Systém umožňuje u plánovaných i operativních činností:
- vybrat více prvků evidence současně, ke kterým se činnost vztahuje (lze alternativně řešit hromadnými úkony, evidovat činnosti na každé zařízení a společnou funkcionalitou vyřešit všechny tyto úkony najednou)
- stanovit odpovědné pracoviště/externí firmu
- delegovat konkrétního zaměstnace/skupiny zaměstnanců na provedení úkolu
- definovat dílčí úkoly nutné ke splnění požadavku (může být řešeno svázáním více požadavků do skupiny)
- upravit termíny
- připojit dokumenty (zejména servisní a revizní protokoly)
- tisk pracovního příkazu nebo jiné sestavy s použitím údajů činnosti v definované šabloně do PDF</t>
  </si>
  <si>
    <t>Doplňová specifikace činností údržby</t>
  </si>
  <si>
    <t>Tento požadavek doplňuje předcházejí požadavky údržby kvůli bližší specifikaci. Systém umožňuje u plánovaných činností:
- specifikovat použitý materiál (i ze skladových položek), lidské zdroje
- vytvořit výkaz práce
- evidovat nabídky na nákup/externí realizaci</t>
  </si>
  <si>
    <t>Zobrazení plánovaných a operativních činnosti</t>
  </si>
  <si>
    <t>Systém umožňuje zobrazit plánované a operativní činnosti na kartě zařízení. V případě činností pro více zařízení najednou lze řešit skrze proklik.</t>
  </si>
  <si>
    <t>Workflow</t>
  </si>
  <si>
    <t>Systém umožňuje nastavit workflow nad činnostimi údržby. Lze vytvářet předefinovaná workflow např. v závislosti na kategorii operativní činnosti. V rámci workflow lze nastavit jednotlivé pořadadí dotčených skupin/uživatelů, notifikace, vyřešení a schválení činnosti. Workflow údržby bude obecně stanoveno v rámci implementace, předpoklad je vytvoření jednotek typů workflow údržby. Při implementaci může dojít i k rozhodnutí, že postačí pouze jeden typ.</t>
  </si>
  <si>
    <t>Předpřipravený seznam činností</t>
  </si>
  <si>
    <t>Systém umožňuje využít předem od dodavatele připravený seznam činností údržby. Lze poskytnout např. v testovacím prostředí a Objednatel jej využije pro svou vlastní strukturu zařízení.</t>
  </si>
  <si>
    <t>Aktualizace činností od Dodavatele</t>
  </si>
  <si>
    <t>Dodavatel spolu se systémem dodává aktualizace činností např. v závislosti na změnách legislativy (min. perioda aktualizace 1 rok).</t>
  </si>
  <si>
    <t>Evidence měřidel</t>
  </si>
  <si>
    <t>Systém umožňuje evidenci měřidel energií. Měřidla jako datový objekt mohou být založena v rámci evidence technologií anebo jsou propojeny minimálně odkazem.</t>
  </si>
  <si>
    <t>Evidence odběrných míst</t>
  </si>
  <si>
    <t>Systém umožňuje evidenci odběrných míst nezávisle na struktuře nemovitostí. Na jedno odběrné místo lze napojit více měřidel z různých objektů.</t>
  </si>
  <si>
    <t>Systém umožňuje zatřídit měřidla v hierarchické struktuře dle struktury nemovitostí. Např. lze zobrazit měřidla dle konkrétní budovy nebo místnosti nezávisle na zatřízení do funkčního systému.</t>
  </si>
  <si>
    <t>Klasifikace hierarchická - návazná měřidla</t>
  </si>
  <si>
    <t>Systém umožňuje měřidla zatřídit a zobrazit v hierarchické struktuře. Lze vytvářet podružná měřidla.</t>
  </si>
  <si>
    <t>Hodnoty odečtů - mauální zadávání</t>
  </si>
  <si>
    <t>Systém umožňuje zadávat manuálně hodnoty při odečtech energie.</t>
  </si>
  <si>
    <t>Hodnoty odečtů - automatické získávání dat</t>
  </si>
  <si>
    <t>Systém umožňuje získávat hodnoty odečtů z externích zdrojů, např. automatickými odečty za využití IoT technologií.</t>
  </si>
  <si>
    <t>Zobrazení vývoje spotřeby energie</t>
  </si>
  <si>
    <t>Systém umožňuje zobrazení vývoje spotřeby na úrovni jednotlivých měřidel i budovy/odběrného místa jako celku.</t>
  </si>
  <si>
    <t>Vícetarifní měřiče</t>
  </si>
  <si>
    <t>Systém umožňuje odečty u vícetarifních měřičů.</t>
  </si>
  <si>
    <t>Predikce spotřeby</t>
  </si>
  <si>
    <t>Systém umožňuje predikci spotřeby dat pro následující měsíce.</t>
  </si>
  <si>
    <t>Rozúčtování nájemníkům</t>
  </si>
  <si>
    <t>Systém umožňuje rozúčtování spotřeby energie na jednotlivé nájemce. Rozúčtování lze provádět z konkrétního měřiče na základě poměru pronajaté plochy, nebo lze určit procentem z celkové spotřeby.</t>
  </si>
  <si>
    <t>Evidence dokumentů</t>
  </si>
  <si>
    <t>Systém umožňuje evidovat dokumenty včetně jejich metadat u datových objektů minimálně evidence a činností. V případě, že systém není schopen evidovat metadata, je požadováno, aby byly dokumenty spjaty vždy s konkrétní činností, úkonem nebo jiným datovým objektem který požadovaná data nese. Například kategorii dokumentu, datum vypršení smlouvy, apod.</t>
  </si>
  <si>
    <t>Uživatelské vazby dokumentů na jiné datové objekty</t>
  </si>
  <si>
    <t>Systém umožňuje provázat dokumenty s více datovými objekty a u těchto objektů dokumenty zobrazit nebo stáhnout. Například dokument revize bude nahrán pouze jednou, bude nahrán např. k činnosti, která zahrnuje množinu zařízení. Dokument je možné zobrazit u každého jednoho zařízení.</t>
  </si>
  <si>
    <t>Verzování dokumentů</t>
  </si>
  <si>
    <t>Systém umožňuje automaticky verzovat dokumenty bez nutnosti změny názvu. Verze dokumentů je možné zobrazit a případně obnovit jako aktuální verzi.</t>
  </si>
  <si>
    <t>Přímé zobrazení dokumentů</t>
  </si>
  <si>
    <t>Systém umožňuje přímé zobrazení souborů ve formátu (PDF, DOCX, XLSX) bez nutnosti stažení.</t>
  </si>
  <si>
    <t>Přímé zobrazení bitmapových grafických souborů</t>
  </si>
  <si>
    <t>Systém umožňuje přímé zobrazení bitmapových grafických souborů bez licence SW třetí strany. Minimální požadavkem je náhled souboru např. v rámci karty zařízení, soubor v plném rozlišení je možné zobrazit až po stažení na lokální PC.</t>
  </si>
  <si>
    <t>Optimalizace bitmapových grafických souborů</t>
  </si>
  <si>
    <t>Systém umožňuje optimalizaci bitmapových grafických souborů k omezení velikosti nadměrně kvalitních souborů.</t>
  </si>
  <si>
    <t>Schvalovací workflow</t>
  </si>
  <si>
    <t>Systém umožňuje nastavit schvalovací workflow nad samostatnými dokumenty. V tomto požadavku se nejedná o schvalování např. činností údržby. Lze vytvářet předefinovaná workflow v závislosti na kategorii dokumentu. V rámci schvalovacího workflow lze přiřadit konkrétní skupinu osob/osobu k samotnému schválení i pouze k náhledu schvalování. Dále lze nastavit delegování na konkrétní osobu, např. vedoucím pracovníkem přiřazené skupiny.</t>
  </si>
  <si>
    <t>Evidence lokalit a budov, které má UK v nájmu</t>
  </si>
  <si>
    <t>Systém umožňuje evidovat lokality a budovy, které má UK v nájmu. Lze evidovat dlouhodobé i krátkodobé nájmy. V systému lze evidovat i budovy, které nemají nájemní stav, ty jsou odlišeny od ostatního majetku (např. fakultní nemocnice, ústavy, apod.).</t>
  </si>
  <si>
    <t>Evidence nájemních vztahů</t>
  </si>
  <si>
    <t>Systém umožňuje evidovat nájemní vztahy. V rámci nájemní vztahu lze definovat atributy, které bude obsahovat. K nájemnímu vztahu lze přiřadit právnické i soukromé osoby ze seznamu. Nájemní vztahy jsou přiřazeny ke konkrétním objektům evidenci (Nemovitostem). U datovýchho objektů nemovitostí (Budov, místností, ...) lze přiřadit nájemce.</t>
  </si>
  <si>
    <t>Propisování nájemců do nemovitostí</t>
  </si>
  <si>
    <t>Nájemce se automaticky propisuje do datového objektu nemovitosti (Budovy, místnosti, ...) z nájemního vztahu.</t>
  </si>
  <si>
    <t>Evidence smluv</t>
  </si>
  <si>
    <t>Systém umožňuje evidenci nájemních a servisních smluv jako datového objektu se základními údaji (číslo smlouvy, typ, název, datum platnosti do, …). Smlouvy lze provázat na datové objekty evidence.</t>
  </si>
  <si>
    <t>Evidence veškerých smluv</t>
  </si>
  <si>
    <t>Systém umožňuje evidenci veškerých smluv jako datového objektu se základními údaji (číslo smlouvy, typ, název, datum platnosti do, …).</t>
  </si>
  <si>
    <t>Podporované operační systémy</t>
  </si>
  <si>
    <t>Mobilní aplikace je podporována v operačním systému Android a iOS.</t>
  </si>
  <si>
    <t>Zadávání a řešešní činností údržby</t>
  </si>
  <si>
    <t>Mobilní aplikace umožňuje zadávat, zobrazit, řešit a vyřešit činnosti údržby. Z mobilního zařízení lze přímo fotit/nahrát fotografie k činnostem údržby. Mobilní aplikace umožňuje čtení QR kódu.</t>
  </si>
  <si>
    <t>Optimalizace fotografií</t>
  </si>
  <si>
    <t>Mobilní aplikace umožňuje optimalizaci fotografií k omezení velikosti nadměrně kvalitních fotografií.</t>
  </si>
  <si>
    <t>Mobilní aplikace umožňuje notifikace uživatelů skrze push notifikace.</t>
  </si>
  <si>
    <t>Práce offline</t>
  </si>
  <si>
    <t>Mobilní aplikace umožňuje práci v offline režimu.</t>
  </si>
  <si>
    <t>SUMA</t>
  </si>
  <si>
    <t>Povinných pož.:</t>
  </si>
  <si>
    <t>Nepovinných pož.:</t>
  </si>
  <si>
    <t>Systém umožňuje evidovat libovolné typy datových objektů a to zejména nikoliv však výlučně:
- Nemovitosti (typ: Pozemek, Lokalita, Budova, Část budovy, Podlaží, Místnost, Dílčí plocha)
- Stavební prvky a konstrukce
- Funkční systémy, zařízení a technologie
- Movité věci
- Dopravní a technickou infrastrukturu
- Venkovní plochy a zeleň</t>
  </si>
  <si>
    <t>Systém umožňuje datové objekty nemovitostí řadit minimálně do 6-ti úrovní (lokalita -&gt; budova -&gt; část budovy -&gt; podlaží -&gt; místnost -&gt; dílčí plocha).</t>
  </si>
  <si>
    <t>Ano</t>
  </si>
  <si>
    <t>Ne</t>
  </si>
  <si>
    <t>Poznámka účástníka</t>
  </si>
  <si>
    <t>Účastník splňuje požadavek (Ano/Ne)</t>
  </si>
  <si>
    <t>ARES a ostatní veřejné registry osob</t>
  </si>
  <si>
    <t>Rozšiřitelná evidence typů datových objektů</t>
  </si>
  <si>
    <t>Systém umožňuje výměnu základních údajů z dat ČÚZK, např. doplnit a aktualizovat data pozemků skrze WSDP.</t>
  </si>
  <si>
    <t>Systém má vlastní prohlížečku BIM modelů (formát minimálně IFC). Prohlížečka umožňuje základní pohledy, řezy, filtrování prvků dle atributů modelů a proklik na zařízení v sytému.</t>
  </si>
  <si>
    <t>Systém má vlastní prohlížečku CAD výkresů (formáty min DWG a DXF). Pro zobrazení výkresů, které nejsou součástí grafiky v GIS, např. výkresy detailů, historické výkresy apod. Prohlížečka umožňuje vypínat a zapínat hladiny.</t>
  </si>
  <si>
    <t>Systém umožňuje zpracování BIM modelů (minimálně ve formátu IFC). Zpracováním se rozumí import prvků dle klasifikace, tzn. založení datových objektů a nahrání negrafických informací (hodnot jejich atributů). Hodnoty atributů mohou být řešeny skrze mapovací tabulku.</t>
  </si>
  <si>
    <t>Zpracování modelů</t>
  </si>
  <si>
    <t>Prohlížečka modelů</t>
  </si>
  <si>
    <t>Prohlížečka výkresů</t>
  </si>
  <si>
    <t>ANO</t>
  </si>
  <si>
    <t>NE</t>
  </si>
  <si>
    <t>Nevyplněno</t>
  </si>
  <si>
    <t>Body</t>
  </si>
  <si>
    <t>SUMA BODŮ (Váha nepovinného požadavku)</t>
  </si>
  <si>
    <t>* Požadavky označené  "Ano" ve sloupci "Uživ. Nastav." musí být uživatelsky nastavitelné systémovým administrátorem UK bez nutnosti zásahu dodavatele/poskytovatele. Úpravy nastavení požadavků označené "Ne" lze řešit skrze zásah dodavatele. Nezvtahuje se na běžné využítí funkcionalit (např. nastavení filtru, v tomto případě by se jednalo o konfiguraci vyhledávacích polí, kde a jakým způsobem mají vyhledávat).</t>
  </si>
  <si>
    <t>Žlutě označená pole jsou určena k vyplnění dodavatelem.</t>
  </si>
  <si>
    <t>Poznámka účástníka (nepovinné pole)</t>
  </si>
  <si>
    <t>Grafické podklady</t>
  </si>
  <si>
    <t>Provoz a údržba</t>
  </si>
  <si>
    <t>Technické požadavky na CAFM systém</t>
  </si>
  <si>
    <t>Požadavky jsou rozděleny na "Povinné" a "Hodnocené", požadavky jsou uvedeny na stejnojmenných listech.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</si>
</sst>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1"/>
      <name val="Calibri"/>
      <family val="2"/>
      <scheme val="minor"/>
    </font>
    <font>
      <sz val="11"/>
      <color rgb="FFFFFFFF"/>
      <name val="Calibri"/>
      <family val="2"/>
      <charset val="238"/>
    </font>
    <font>
      <b/>
      <sz val="11"/>
      <color rgb="FFFFFFFF"/>
      <name val="Calibri"/>
      <family val="2"/>
      <charset val="238"/>
    </font>
    <font>
      <b/>
      <sz val="18"/>
      <color rgb="FFFFFFFF"/>
      <name val="Calibri"/>
      <family val="2"/>
      <charset val="238"/>
    </font>
    <font>
      <sz val="8"/>
      <name val="Calibri"/>
      <family val="2"/>
      <scheme val="minor"/>
    </font>
    <font>
      <i/>
      <sz val="11"/>
      <color theme="1"/>
      <name val="Calibri"/>
      <family val="2"/>
      <charset val="238"/>
      <scheme val="minor"/>
    </font>
    <font>
      <b/>
      <i/>
      <sz val="11"/>
      <color rgb="FFFFFFFF"/>
      <name val="Calibri"/>
      <family val="2"/>
      <charset val="238"/>
    </font>
    <font>
      <sz val="11"/>
      <color theme="1"/>
      <name val="Calibri"/>
      <family val="2"/>
      <charset val="238"/>
      <scheme val="minor"/>
    </font>
    <font>
      <sz val="11"/>
      <color theme="1"/>
      <name val="Calibri"/>
      <family val="2"/>
      <scheme val="minor"/>
    </font>
    <font>
      <b/>
      <sz val="11"/>
      <color theme="1"/>
      <name val="Calibri"/>
      <family val="2"/>
      <charset val="238"/>
      <scheme val="minor"/>
    </font>
    <font>
      <b/>
      <sz val="18"/>
      <name val="Calibri"/>
      <family val="2"/>
      <charset val="238"/>
    </font>
  </fonts>
  <fills count="4">
    <fill>
      <patternFill patternType="none"/>
    </fill>
    <fill>
      <patternFill patternType="gray125"/>
    </fill>
    <fill>
      <patternFill patternType="solid">
        <fgColor rgb="FFA4262C"/>
        <bgColor indexed="64"/>
      </patternFill>
    </fill>
    <fill>
      <patternFill patternType="solid">
        <fgColor rgb="FFFFFF00"/>
        <bgColor indexed="64"/>
      </patternFill>
    </fill>
  </fills>
  <borders count="2">
    <border>
      <left/>
      <right/>
      <top/>
      <bottom/>
      <diagonal/>
    </border>
    <border>
      <left/>
      <right/>
      <top/>
      <bottom style="medium">
        <color auto="1"/>
      </bottom>
      <diagonal/>
    </border>
  </borders>
  <cellStyleXfs count="2">
    <xf numFmtId="0" fontId="0" fillId="0" borderId="0"/>
    <xf numFmtId="9" fontId="8" fillId="0" borderId="0" applyFont="0" applyFill="0" applyBorder="0" applyAlignment="0" applyProtection="0"/>
  </cellStyleXfs>
  <cellXfs count="36">
    <xf numFmtId="0" fontId="0" fillId="0" borderId="0" xfId="0"/>
    <xf numFmtId="0" fontId="2" fillId="2" borderId="0" xfId="0" applyFont="1" applyFill="1"/>
    <xf numFmtId="49" fontId="0" fillId="0" borderId="0" xfId="0" applyNumberFormat="1" applyAlignment="1">
      <alignment horizontal="center"/>
    </xf>
    <xf numFmtId="0" fontId="0" fillId="0" borderId="0" xfId="0" applyAlignment="1">
      <alignment horizontal="center"/>
    </xf>
    <xf numFmtId="0" fontId="3" fillId="2" borderId="0" xfId="0" applyFont="1" applyFill="1" applyAlignment="1">
      <alignment vertical="center"/>
    </xf>
    <xf numFmtId="0" fontId="1" fillId="2" borderId="0" xfId="0" applyFont="1" applyFill="1" applyAlignment="1">
      <alignment vertical="center"/>
    </xf>
    <xf numFmtId="0" fontId="0" fillId="0" borderId="0" xfId="0" applyAlignment="1">
      <alignment vertical="center"/>
    </xf>
    <xf numFmtId="0" fontId="2" fillId="2" borderId="0" xfId="0" applyFont="1" applyFill="1" applyAlignment="1">
      <alignment horizontal="center" vertical="center"/>
    </xf>
    <xf numFmtId="0" fontId="2" fillId="2" borderId="0" xfId="0" applyFont="1" applyFill="1" applyAlignment="1">
      <alignment horizontal="center" vertical="center" wrapText="1"/>
    </xf>
    <xf numFmtId="0" fontId="6" fillId="2" borderId="0" xfId="0" applyFont="1" applyFill="1" applyAlignment="1">
      <alignment horizontal="center" vertical="center"/>
    </xf>
    <xf numFmtId="0" fontId="0" fillId="0" borderId="0" xfId="0" applyAlignment="1">
      <alignment horizontal="left" vertical="center"/>
    </xf>
    <xf numFmtId="0" fontId="0" fillId="0" borderId="0" xfId="0" applyAlignment="1">
      <alignment horizontal="center" vertical="center"/>
    </xf>
    <xf numFmtId="1" fontId="0" fillId="0" borderId="0" xfId="0" applyNumberFormat="1" applyAlignment="1">
      <alignment vertical="center"/>
    </xf>
    <xf numFmtId="0" fontId="0" fillId="0" borderId="0" xfId="0" applyAlignment="1">
      <alignment vertical="center" wrapText="1"/>
    </xf>
    <xf numFmtId="2" fontId="0" fillId="0" borderId="0" xfId="0" applyNumberFormat="1" applyAlignment="1">
      <alignment vertical="center"/>
    </xf>
    <xf numFmtId="0" fontId="7" fillId="0" borderId="0" xfId="0" applyFont="1" applyAlignment="1">
      <alignment vertical="center" wrapText="1"/>
    </xf>
    <xf numFmtId="0" fontId="2" fillId="2" borderId="0" xfId="0" applyFont="1" applyFill="1" applyAlignment="1">
      <alignment horizontal="right" vertical="center"/>
    </xf>
    <xf numFmtId="0" fontId="0" fillId="3" borderId="0" xfId="0" applyFill="1" applyAlignment="1">
      <alignment horizontal="center" vertical="center" wrapText="1"/>
    </xf>
    <xf numFmtId="0" fontId="0" fillId="0" borderId="1" xfId="0" applyBorder="1" applyAlignment="1">
      <alignment horizontal="left" vertical="center"/>
    </xf>
    <xf numFmtId="0" fontId="0" fillId="0" borderId="1" xfId="0" applyBorder="1" applyAlignment="1">
      <alignment horizontal="center" vertical="center"/>
    </xf>
    <xf numFmtId="0" fontId="0" fillId="0" borderId="1" xfId="0" applyBorder="1" applyAlignment="1">
      <alignment vertical="center"/>
    </xf>
    <xf numFmtId="2" fontId="0" fillId="0" borderId="1" xfId="0" applyNumberFormat="1" applyBorder="1" applyAlignment="1">
      <alignment vertical="center"/>
    </xf>
    <xf numFmtId="1" fontId="0" fillId="0" borderId="1" xfId="0" applyNumberFormat="1" applyBorder="1" applyAlignment="1">
      <alignment vertical="center"/>
    </xf>
    <xf numFmtId="0" fontId="0" fillId="0" borderId="1" xfId="0" applyBorder="1" applyAlignment="1">
      <alignment vertical="center" wrapText="1"/>
    </xf>
    <xf numFmtId="9" fontId="0" fillId="0" borderId="0" xfId="1" applyFont="1" applyAlignment="1">
      <alignment horizontal="center" vertical="center"/>
    </xf>
    <xf numFmtId="0" fontId="0" fillId="2" borderId="0" xfId="0" applyFill="1" applyAlignment="1">
      <alignment vertical="center"/>
    </xf>
    <xf numFmtId="0" fontId="9" fillId="0" borderId="0" xfId="0" applyFont="1" applyAlignment="1">
      <alignment vertical="center"/>
    </xf>
    <xf numFmtId="0" fontId="9" fillId="0" borderId="0" xfId="0" applyFont="1" applyAlignment="1">
      <alignment horizontal="right" vertical="center"/>
    </xf>
    <xf numFmtId="0" fontId="2" fillId="2" borderId="0" xfId="0" applyFont="1" applyFill="1" applyAlignment="1">
      <alignment vertical="center" wrapText="1"/>
    </xf>
    <xf numFmtId="0" fontId="0" fillId="3" borderId="0" xfId="0" applyFill="1" applyAlignment="1">
      <alignment vertical="center" wrapText="1"/>
    </xf>
    <xf numFmtId="0" fontId="5" fillId="0" borderId="0" xfId="0" applyFont="1" applyAlignment="1">
      <alignment vertical="center" wrapText="1"/>
    </xf>
    <xf numFmtId="0" fontId="0" fillId="3" borderId="0" xfId="0" applyFill="1"/>
    <xf numFmtId="0" fontId="0" fillId="0" borderId="0" xfId="0" applyAlignment="1">
      <alignment wrapText="1"/>
    </xf>
    <xf numFmtId="0" fontId="0" fillId="3" borderId="0" xfId="0" applyFill="1" applyAlignment="1" applyProtection="1">
      <alignment horizontal="center" vertical="center" wrapText="1"/>
      <protection locked="0"/>
    </xf>
    <xf numFmtId="0" fontId="0" fillId="3" borderId="0" xfId="0" applyFill="1" applyAlignment="1" applyProtection="1">
      <alignment vertical="center" wrapText="1"/>
      <protection locked="0"/>
    </xf>
    <xf numFmtId="0" fontId="10" fillId="0" borderId="0" xfId="0" applyFont="1" applyAlignment="1">
      <alignment vertical="center"/>
    </xf>
  </cellXfs>
  <cellStyles count="2">
    <cellStyle name="Normální" xfId="0" builtinId="0"/>
    <cellStyle name="Procenta" xfId="1" builtinId="5"/>
  </cellStyles>
  <dxfs count="133">
    <dxf>
      <fill>
        <patternFill>
          <bgColor theme="7" tint="0.79998168889431442"/>
        </patternFill>
      </fill>
    </dxf>
    <dxf>
      <fill>
        <patternFill>
          <bgColor theme="3" tint="0.59996337778862885"/>
        </patternFill>
      </fill>
    </dxf>
    <dxf>
      <fill>
        <patternFill>
          <bgColor theme="5" tint="0.39994506668294322"/>
        </patternFill>
      </fill>
    </dxf>
    <dxf>
      <fill>
        <patternFill>
          <bgColor theme="3" tint="0.79998168889431442"/>
        </patternFill>
      </fill>
    </dxf>
    <dxf>
      <fill>
        <patternFill>
          <bgColor theme="9" tint="0.59996337778862885"/>
        </patternFill>
      </fill>
    </dxf>
    <dxf>
      <fill>
        <patternFill>
          <bgColor theme="7" tint="0.39994506668294322"/>
        </patternFill>
      </fill>
    </dxf>
    <dxf>
      <fill>
        <patternFill>
          <bgColor theme="6" tint="0.59996337778862885"/>
        </patternFill>
      </fill>
    </dxf>
    <dxf>
      <fill>
        <patternFill>
          <bgColor rgb="FFFF9BBC"/>
        </patternFill>
      </fill>
    </dxf>
    <dxf>
      <fill>
        <patternFill>
          <bgColor rgb="FFBA8CDC"/>
        </patternFill>
      </fill>
    </dxf>
    <dxf>
      <fill>
        <patternFill>
          <bgColor theme="8" tint="0.79998168889431442"/>
        </patternFill>
      </fill>
    </dxf>
    <dxf>
      <fill>
        <patternFill>
          <bgColor rgb="FFF09456"/>
        </patternFill>
      </fill>
    </dxf>
    <dxf>
      <fill>
        <patternFill>
          <bgColor rgb="FF61BBFF"/>
        </patternFill>
      </fill>
    </dxf>
    <dxf>
      <fill>
        <patternFill>
          <bgColor rgb="FF92D050"/>
        </patternFill>
      </fill>
    </dxf>
    <dxf>
      <fill>
        <patternFill>
          <bgColor rgb="FFFF5B5F"/>
        </patternFill>
      </fill>
    </dxf>
    <dxf>
      <fill>
        <patternFill>
          <bgColor rgb="FFF09456"/>
        </patternFill>
      </fill>
    </dxf>
    <dxf>
      <fill>
        <patternFill>
          <bgColor rgb="FF61BBFF"/>
        </patternFill>
      </fill>
    </dxf>
    <dxf>
      <fill>
        <patternFill>
          <bgColor theme="7" tint="0.79998168889431442"/>
        </patternFill>
      </fill>
    </dxf>
    <dxf>
      <fill>
        <patternFill>
          <bgColor theme="3" tint="0.79998168889431442"/>
        </patternFill>
      </fill>
    </dxf>
    <dxf>
      <fill>
        <patternFill>
          <bgColor theme="5" tint="0.39994506668294322"/>
        </patternFill>
      </fill>
    </dxf>
    <dxf>
      <fill>
        <patternFill>
          <bgColor theme="3" tint="0.59996337778862885"/>
        </patternFill>
      </fill>
    </dxf>
    <dxf>
      <fill>
        <patternFill>
          <bgColor theme="9" tint="0.59996337778862885"/>
        </patternFill>
      </fill>
    </dxf>
    <dxf>
      <fill>
        <patternFill>
          <bgColor theme="7" tint="0.39994506668294322"/>
        </patternFill>
      </fill>
    </dxf>
    <dxf>
      <fill>
        <patternFill>
          <bgColor theme="6" tint="0.59996337778862885"/>
        </patternFill>
      </fill>
    </dxf>
    <dxf>
      <fill>
        <patternFill>
          <bgColor rgb="FFFF9BBC"/>
        </patternFill>
      </fill>
    </dxf>
    <dxf>
      <fill>
        <patternFill>
          <bgColor rgb="FFBA8CDC"/>
        </patternFill>
      </fill>
    </dxf>
    <dxf>
      <fill>
        <patternFill>
          <bgColor theme="8" tint="0.79998168889431442"/>
        </patternFill>
      </fill>
    </dxf>
    <dxf>
      <fill>
        <patternFill>
          <bgColor rgb="FF92D050"/>
        </patternFill>
      </fill>
    </dxf>
    <dxf>
      <fill>
        <patternFill>
          <bgColor rgb="FFFF5B5F"/>
        </patternFill>
      </fill>
    </dxf>
    <dxf>
      <fill>
        <patternFill>
          <bgColor rgb="FF92D050"/>
        </patternFill>
      </fill>
    </dxf>
    <dxf>
      <fill>
        <patternFill>
          <bgColor theme="7" tint="0.39994506668294322"/>
        </patternFill>
      </fill>
    </dxf>
    <dxf>
      <fill>
        <patternFill>
          <bgColor rgb="FF92D050"/>
        </patternFill>
      </fill>
    </dxf>
    <dxf>
      <fill>
        <patternFill>
          <bgColor rgb="FFFF5B5F"/>
        </patternFill>
      </fill>
    </dxf>
    <dxf>
      <border>
        <left/>
        <right/>
        <top style="thin">
          <color theme="0" tint="-0.24994659260841701"/>
        </top>
        <bottom style="thin">
          <color theme="0" tint="-0.24994659260841701"/>
        </bottom>
      </border>
    </dxf>
    <dxf>
      <fill>
        <patternFill>
          <bgColor rgb="FFFF5B5F"/>
        </patternFill>
      </fill>
    </dxf>
    <dxf>
      <fill>
        <patternFill>
          <bgColor rgb="FF92D050"/>
        </patternFill>
      </fill>
    </dxf>
    <dxf>
      <fill>
        <patternFill>
          <bgColor theme="7" tint="0.79998168889431442"/>
        </patternFill>
      </fill>
    </dxf>
    <dxf>
      <fill>
        <patternFill>
          <bgColor theme="3" tint="0.79998168889431442"/>
        </patternFill>
      </fill>
    </dxf>
    <dxf>
      <fill>
        <patternFill>
          <bgColor theme="5" tint="0.39994506668294322"/>
        </patternFill>
      </fill>
    </dxf>
    <dxf>
      <fill>
        <patternFill>
          <bgColor theme="3" tint="0.59996337778862885"/>
        </patternFill>
      </fill>
    </dxf>
    <dxf>
      <fill>
        <patternFill>
          <bgColor theme="9" tint="0.59996337778862885"/>
        </patternFill>
      </fill>
    </dxf>
    <dxf>
      <fill>
        <patternFill>
          <bgColor theme="7" tint="0.39994506668294322"/>
        </patternFill>
      </fill>
    </dxf>
    <dxf>
      <fill>
        <patternFill>
          <bgColor theme="6" tint="0.59996337778862885"/>
        </patternFill>
      </fill>
    </dxf>
    <dxf>
      <fill>
        <patternFill>
          <bgColor rgb="FFFF9BBC"/>
        </patternFill>
      </fill>
    </dxf>
    <dxf>
      <fill>
        <patternFill>
          <bgColor rgb="FFBA8CDC"/>
        </patternFill>
      </fill>
    </dxf>
    <dxf>
      <fill>
        <patternFill>
          <bgColor theme="8" tint="0.79998168889431442"/>
        </patternFill>
      </fill>
    </dxf>
    <dxf>
      <fill>
        <patternFill>
          <bgColor rgb="FFF09456"/>
        </patternFill>
      </fill>
    </dxf>
    <dxf>
      <fill>
        <patternFill>
          <bgColor rgb="FF61BBFF"/>
        </patternFill>
      </fill>
    </dxf>
    <dxf>
      <fill>
        <patternFill>
          <bgColor rgb="FF92D050"/>
        </patternFill>
      </fill>
    </dxf>
    <dxf>
      <fill>
        <patternFill>
          <bgColor theme="7" tint="0.39994506668294322"/>
        </patternFill>
      </fill>
    </dxf>
    <dxf>
      <fill>
        <patternFill>
          <bgColor rgb="FFFF5B5F"/>
        </patternFill>
      </fill>
    </dxf>
    <dxf>
      <fill>
        <patternFill>
          <bgColor rgb="FF92D050"/>
        </patternFill>
      </fill>
    </dxf>
    <dxf>
      <border>
        <left/>
        <right/>
        <top style="thin">
          <color theme="0" tint="-0.24994659260841701"/>
        </top>
        <bottom style="thin">
          <color theme="0" tint="-0.24994659260841701"/>
        </bottom>
      </border>
    </dxf>
    <dxf>
      <fill>
        <patternFill>
          <bgColor theme="7" tint="0.79998168889431442"/>
        </patternFill>
      </fill>
    </dxf>
    <dxf>
      <fill>
        <patternFill>
          <bgColor theme="3" tint="0.79998168889431442"/>
        </patternFill>
      </fill>
    </dxf>
    <dxf>
      <fill>
        <patternFill>
          <bgColor theme="5" tint="0.39994506668294322"/>
        </patternFill>
      </fill>
    </dxf>
    <dxf>
      <fill>
        <patternFill>
          <bgColor theme="3" tint="0.59996337778862885"/>
        </patternFill>
      </fill>
    </dxf>
    <dxf>
      <fill>
        <patternFill>
          <bgColor theme="9" tint="0.59996337778862885"/>
        </patternFill>
      </fill>
    </dxf>
    <dxf>
      <fill>
        <patternFill>
          <bgColor theme="7" tint="0.39994506668294322"/>
        </patternFill>
      </fill>
    </dxf>
    <dxf>
      <fill>
        <patternFill>
          <bgColor theme="6" tint="0.59996337778862885"/>
        </patternFill>
      </fill>
    </dxf>
    <dxf>
      <fill>
        <patternFill>
          <bgColor rgb="FFFF9BBC"/>
        </patternFill>
      </fill>
    </dxf>
    <dxf>
      <fill>
        <patternFill>
          <bgColor rgb="FFBA8CDC"/>
        </patternFill>
      </fill>
    </dxf>
    <dxf>
      <fill>
        <patternFill>
          <bgColor theme="8" tint="0.79998168889431442"/>
        </patternFill>
      </fill>
    </dxf>
    <dxf>
      <fill>
        <patternFill>
          <bgColor rgb="FFF09456"/>
        </patternFill>
      </fill>
    </dxf>
    <dxf>
      <fill>
        <patternFill>
          <bgColor rgb="FF61BBFF"/>
        </patternFill>
      </fill>
    </dxf>
    <dxf>
      <border>
        <left/>
        <right/>
        <top style="thin">
          <color theme="0" tint="-0.24994659260841701"/>
        </top>
        <bottom style="thin">
          <color theme="0" tint="-0.24994659260841701"/>
        </bottom>
      </border>
    </dxf>
    <dxf>
      <fill>
        <patternFill>
          <bgColor rgb="FFFF5B5F"/>
        </patternFill>
      </fill>
    </dxf>
    <dxf>
      <fill>
        <patternFill>
          <bgColor rgb="FF92D050"/>
        </patternFill>
      </fill>
    </dxf>
    <dxf>
      <fill>
        <patternFill>
          <bgColor theme="7" tint="0.79998168889431442"/>
        </patternFill>
      </fill>
    </dxf>
    <dxf>
      <fill>
        <patternFill>
          <bgColor theme="3" tint="0.79998168889431442"/>
        </patternFill>
      </fill>
    </dxf>
    <dxf>
      <fill>
        <patternFill>
          <bgColor theme="5" tint="0.39994506668294322"/>
        </patternFill>
      </fill>
    </dxf>
    <dxf>
      <fill>
        <patternFill>
          <bgColor theme="3" tint="0.59996337778862885"/>
        </patternFill>
      </fill>
    </dxf>
    <dxf>
      <fill>
        <patternFill>
          <bgColor theme="9" tint="0.59996337778862885"/>
        </patternFill>
      </fill>
    </dxf>
    <dxf>
      <fill>
        <patternFill>
          <bgColor theme="7" tint="0.39994506668294322"/>
        </patternFill>
      </fill>
    </dxf>
    <dxf>
      <fill>
        <patternFill>
          <bgColor theme="6" tint="0.59996337778862885"/>
        </patternFill>
      </fill>
    </dxf>
    <dxf>
      <fill>
        <patternFill>
          <bgColor rgb="FFFF9BBC"/>
        </patternFill>
      </fill>
    </dxf>
    <dxf>
      <fill>
        <patternFill>
          <bgColor rgb="FFBA8CDC"/>
        </patternFill>
      </fill>
    </dxf>
    <dxf>
      <fill>
        <patternFill>
          <bgColor theme="8" tint="0.79998168889431442"/>
        </patternFill>
      </fill>
    </dxf>
    <dxf>
      <fill>
        <patternFill>
          <bgColor rgb="FFF09456"/>
        </patternFill>
      </fill>
    </dxf>
    <dxf>
      <fill>
        <patternFill>
          <bgColor rgb="FF61BBFF"/>
        </patternFill>
      </fill>
    </dxf>
    <dxf>
      <fill>
        <patternFill>
          <bgColor rgb="FF92D050"/>
        </patternFill>
      </fill>
    </dxf>
    <dxf>
      <fill>
        <patternFill>
          <bgColor theme="7" tint="0.39994506668294322"/>
        </patternFill>
      </fill>
    </dxf>
    <dxf>
      <fill>
        <patternFill>
          <bgColor rgb="FFFF5B5F"/>
        </patternFill>
      </fill>
    </dxf>
    <dxf>
      <fill>
        <patternFill>
          <bgColor rgb="FF92D050"/>
        </patternFill>
      </fill>
    </dxf>
    <dxf>
      <border>
        <left/>
        <right/>
        <top style="thin">
          <color theme="0" tint="-0.24994659260841701"/>
        </top>
        <bottom style="thin">
          <color theme="0" tint="-0.24994659260841701"/>
        </bottom>
      </border>
    </dxf>
    <dxf>
      <fill>
        <patternFill>
          <fgColor indexed="64"/>
          <bgColor rgb="FFFFFF00"/>
        </patternFill>
      </fill>
      <alignment horizontal="general" vertical="center" textRotation="0" wrapText="1" indent="0" justifyLastLine="0" shrinkToFit="0" readingOrder="0"/>
    </dxf>
    <dxf>
      <font>
        <i/>
        <charset val="238"/>
      </font>
      <fill>
        <patternFill patternType="none">
          <fgColor indexed="64"/>
          <bgColor auto="1"/>
        </patternFill>
      </fill>
      <alignment horizontal="general" vertical="center" textRotation="0" wrapText="1" indent="0" justifyLastLine="0" shrinkToFit="0" readingOrder="0"/>
    </dxf>
    <dxf>
      <fill>
        <patternFill patternType="solid">
          <fgColor indexed="64"/>
          <bgColor rgb="FFFFFF00"/>
        </patternFill>
      </fill>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numFmt numFmtId="1" formatCode="0"/>
      <alignment horizontal="general" vertical="center" textRotation="0" indent="0" justifyLastLine="0" shrinkToFit="0" readingOrder="0"/>
    </dxf>
    <dxf>
      <numFmt numFmtId="2" formatCode="0.00"/>
      <alignment horizontal="general" vertical="center" textRotation="0" wrapText="0" indent="0" justifyLastLine="0" shrinkToFit="0" readingOrder="0"/>
    </dxf>
    <dxf>
      <alignment horizontal="general" vertical="center" textRotation="0" wrapText="1" indent="0" justifyLastLine="0" shrinkToFit="0" readingOrder="0"/>
    </dxf>
    <dxf>
      <alignment horizontal="general" vertical="center" textRotation="0" indent="0" justifyLastLine="0" shrinkToFit="0" readingOrder="0"/>
    </dxf>
    <dxf>
      <alignment horizontal="general" vertical="center" textRotation="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left" vertical="center" textRotation="0" wrapText="0" indent="0" justifyLastLine="0" shrinkToFit="0" readingOrder="0"/>
    </dxf>
    <dxf>
      <alignment vertical="center" textRotation="0" indent="0" justifyLastLine="0" shrinkToFit="0" readingOrder="0"/>
    </dxf>
    <dxf>
      <font>
        <b/>
        <i val="0"/>
        <strike val="0"/>
        <condense val="0"/>
        <extend val="0"/>
        <outline val="0"/>
        <shadow val="0"/>
        <u val="none"/>
        <vertAlign val="baseline"/>
        <sz val="11"/>
        <color rgb="FFFFFFFF"/>
        <name val="Calibri"/>
        <family val="2"/>
        <charset val="238"/>
        <scheme val="none"/>
      </font>
      <fill>
        <patternFill patternType="solid">
          <fgColor indexed="64"/>
          <bgColor rgb="FFA4262C"/>
        </patternFill>
      </fill>
      <alignment horizontal="center" vertical="center" textRotation="0" wrapText="0" indent="0" justifyLastLine="0" shrinkToFit="0" readingOrder="0"/>
    </dxf>
    <dxf>
      <fill>
        <patternFill>
          <fgColor indexed="64"/>
          <bgColor rgb="FFFFFF00"/>
        </patternFill>
      </fill>
      <alignment horizontal="general" vertical="center" textRotation="0" wrapText="1" indent="0" justifyLastLine="0" shrinkToFit="0" readingOrder="0"/>
      <protection locked="0" hidden="0"/>
    </dxf>
    <dxf>
      <font>
        <i/>
        <charset val="238"/>
      </font>
      <fill>
        <patternFill patternType="solid">
          <fgColor indexed="64"/>
          <bgColor rgb="FFFFFF00"/>
        </patternFill>
      </fill>
      <alignment horizontal="general" vertical="center" textRotation="0" wrapText="1" indent="0" justifyLastLine="0" shrinkToFit="0" readingOrder="0"/>
    </dxf>
    <dxf>
      <fill>
        <patternFill patternType="solid">
          <fgColor indexed="64"/>
          <bgColor rgb="FFFFFF00"/>
        </patternFill>
      </fill>
      <alignment horizontal="center" vertical="center" textRotation="0" wrapText="1" indent="0" justifyLastLine="0" shrinkToFit="0" readingOrder="0"/>
      <protection locked="0" hidden="0"/>
    </dxf>
    <dxf>
      <alignment horizontal="general" vertical="center" textRotation="0" wrapText="1" indent="0" justifyLastLine="0" shrinkToFit="0" readingOrder="0"/>
    </dxf>
    <dxf>
      <alignment horizontal="general" vertical="center" textRotation="0" wrapText="1" indent="0" justifyLastLine="0" shrinkToFit="0" readingOrder="0"/>
    </dxf>
    <dxf>
      <numFmt numFmtId="1" formatCode="0"/>
      <alignment horizontal="general" vertical="center" textRotation="0" indent="0" justifyLastLine="0" shrinkToFit="0" readingOrder="0"/>
    </dxf>
    <dxf>
      <numFmt numFmtId="2" formatCode="0.00"/>
      <alignment horizontal="general" vertical="center" textRotation="0" wrapText="0" indent="0" justifyLastLine="0" shrinkToFit="0" readingOrder="0"/>
    </dxf>
    <dxf>
      <alignment horizontal="general" vertical="center" textRotation="0" wrapText="1" indent="0" justifyLastLine="0" shrinkToFit="0" readingOrder="0"/>
    </dxf>
    <dxf>
      <alignment horizontal="general" vertical="center" textRotation="0" indent="0" justifyLastLine="0" shrinkToFit="0" readingOrder="0"/>
    </dxf>
    <dxf>
      <alignment horizontal="general" vertical="center" textRotation="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left" vertical="center" textRotation="0" wrapText="0" indent="0" justifyLastLine="0" shrinkToFit="0" readingOrder="0"/>
    </dxf>
    <dxf>
      <alignment vertical="center" textRotation="0" indent="0" justifyLastLine="0" shrinkToFit="0" readingOrder="0"/>
    </dxf>
    <dxf>
      <font>
        <b/>
        <i val="0"/>
        <strike val="0"/>
        <condense val="0"/>
        <extend val="0"/>
        <outline val="0"/>
        <shadow val="0"/>
        <u val="none"/>
        <vertAlign val="baseline"/>
        <sz val="11"/>
        <color rgb="FFFFFFFF"/>
        <name val="Calibri"/>
        <family val="2"/>
        <charset val="238"/>
        <scheme val="none"/>
      </font>
      <fill>
        <patternFill patternType="solid">
          <fgColor indexed="64"/>
          <bgColor rgb="FFA4262C"/>
        </patternFill>
      </fill>
      <alignment horizontal="center" vertical="center" textRotation="0" wrapText="0" indent="0" justifyLastLine="0" shrinkToFit="0" readingOrder="0"/>
    </dxf>
    <dxf>
      <fill>
        <patternFill>
          <fgColor indexed="64"/>
          <bgColor rgb="FFFFFF00"/>
        </patternFill>
      </fill>
      <alignment horizontal="general" vertical="center" textRotation="0" wrapText="1" indent="0" justifyLastLine="0" shrinkToFit="0" readingOrder="0"/>
      <protection locked="0" hidden="0"/>
    </dxf>
    <dxf>
      <fill>
        <patternFill patternType="solid">
          <fgColor indexed="64"/>
          <bgColor rgb="FFFFFF00"/>
        </patternFill>
      </fill>
      <alignment horizontal="center" vertical="center" textRotation="0" wrapText="1" indent="0" justifyLastLine="0" shrinkToFit="0" readingOrder="0"/>
      <protection locked="0" hidden="0"/>
    </dxf>
    <dxf>
      <alignment horizontal="general" vertical="center" textRotation="0" wrapText="1" indent="0" justifyLastLine="0" shrinkToFit="0" readingOrder="0"/>
    </dxf>
    <dxf>
      <alignment horizontal="general" vertical="center" textRotation="0" wrapText="1" indent="0" justifyLastLine="0" shrinkToFit="0" readingOrder="0"/>
    </dxf>
    <dxf>
      <numFmt numFmtId="1" formatCode="0"/>
      <alignment horizontal="general" vertical="center" textRotation="0" indent="0" justifyLastLine="0" shrinkToFit="0" readingOrder="0"/>
    </dxf>
    <dxf>
      <numFmt numFmtId="2" formatCode="0.00"/>
      <alignment horizontal="general" vertical="center" textRotation="0" wrapText="0" indent="0" justifyLastLine="0" shrinkToFit="0" readingOrder="0"/>
    </dxf>
    <dxf>
      <alignment horizontal="general" vertical="center" textRotation="0" wrapText="1" indent="0" justifyLastLine="0" shrinkToFit="0" readingOrder="0"/>
    </dxf>
    <dxf>
      <alignment horizontal="general" vertical="center" textRotation="0" indent="0" justifyLastLine="0" shrinkToFit="0" readingOrder="0"/>
    </dxf>
    <dxf>
      <alignment horizontal="general" vertical="center" textRotation="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left" vertical="center" textRotation="0" wrapText="0" indent="0" justifyLastLine="0" shrinkToFit="0" readingOrder="0"/>
    </dxf>
    <dxf>
      <alignment vertical="center" textRotation="0" indent="0" justifyLastLine="0" shrinkToFit="0" readingOrder="0"/>
    </dxf>
    <dxf>
      <font>
        <b/>
        <i val="0"/>
        <strike val="0"/>
        <condense val="0"/>
        <extend val="0"/>
        <outline val="0"/>
        <shadow val="0"/>
        <u val="none"/>
        <vertAlign val="baseline"/>
        <sz val="11"/>
        <color rgb="FFFFFFFF"/>
        <name val="Calibri"/>
        <family val="2"/>
        <charset val="238"/>
        <scheme val="none"/>
      </font>
      <fill>
        <patternFill patternType="solid">
          <fgColor indexed="64"/>
          <bgColor rgb="FFA4262C"/>
        </patternFill>
      </fill>
      <alignment horizontal="center" vertical="center" textRotation="0" wrapText="0" indent="0" justifyLastLine="0" shrinkToFit="0" readingOrder="0"/>
    </dxf>
    <dxf>
      <border>
        <left style="thin">
          <color auto="1"/>
        </left>
        <right style="thin">
          <color auto="1"/>
        </right>
        <top style="thin">
          <color auto="1"/>
        </top>
        <bottom style="thin">
          <color auto="1"/>
        </bottom>
      </border>
    </dxf>
  </dxfs>
  <tableStyles count="1" defaultTableStyle="TableStyleMedium2" defaultPivotStyle="PivotStyleMedium9">
    <tableStyle name="Styl tabulky 1" pivot="0" count="1" xr9:uid="{251B67ED-8034-46CF-BA88-3866CB4D7B98}">
      <tableStyleElement type="wholeTable" dxfId="132"/>
    </tableStyle>
  </tableStyles>
  <colors>
    <mruColors>
      <color rgb="FFFF9BBC"/>
      <color rgb="FFA4262C"/>
      <color rgb="FF47B0FF"/>
      <color rgb="FFFF5B5F"/>
      <color rgb="FF61BBFF"/>
      <color rgb="FFF09456"/>
      <color rgb="FF89B0FF"/>
      <color rgb="FFFF7DA8"/>
      <color rgb="FFBA8CDC"/>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E931221-422C-434B-B70F-4D06804F9BD3}" name="Povinne" displayName="Povinne" ref="A2:M55" totalsRowShown="0" headerRowDxfId="131" dataDxfId="130">
  <autoFilter ref="A2:M55" xr:uid="{CE931221-422C-434B-B70F-4D06804F9BD3}"/>
  <sortState xmlns:xlrd2="http://schemas.microsoft.com/office/spreadsheetml/2017/richdata2" ref="A3:M55">
    <sortCondition ref="A2:A55"/>
  </sortState>
  <tableColumns count="13">
    <tableColumn id="6" xr3:uid="{4B788979-ED1E-42E4-9E28-C5FDCD40C9D6}" name="ID" dataDxfId="129">
      <calculatedColumnFormula>Povinne[[#This Row],[ID_Oblast]]&amp;"_"&amp;TEXT(Povinne[[#This Row],[ID_cislo]],"000")&amp;IF(Povinne[[#This Row],[ID_Podoblast]]="","","_"&amp;Povinne[[#This Row],[ID_Podoblast]])</calculatedColumnFormula>
    </tableColumn>
    <tableColumn id="8" xr3:uid="{4320005F-BB3D-416E-BF76-AE5BD635E84E}" name="Povinný požadavek" dataDxfId="128"/>
    <tableColumn id="14" xr3:uid="{ADAC310E-CD72-4632-B741-E4C36BB70EFE}" name="Váha nepovinného požadavku" dataDxfId="127"/>
    <tableColumn id="13" xr3:uid="{0A7E232F-56A0-4B16-BE61-D5FF7E07C78E}" name="Uživ. Nastav. *" dataDxfId="126"/>
    <tableColumn id="1" xr3:uid="{11EE9CE9-EF76-46CE-8713-667B6AB96F78}" name="Oblast" dataDxfId="125"/>
    <tableColumn id="7" xr3:uid="{90119EC2-F06E-47A6-B348-64C1D1C6C8AA}" name="ID_Oblast" dataDxfId="124">
      <calculatedColumnFormula>IFERROR(VLOOKUP(Povinne[[#This Row],[Oblast]],Init!$A$2:$D$20,4,FALSE),"")</calculatedColumnFormula>
    </tableColumn>
    <tableColumn id="12" xr3:uid="{BA571553-130F-4E37-B8CF-A6A62D276611}" name="Podoblast" dataDxfId="123"/>
    <tableColumn id="10" xr3:uid="{CEE47BA4-EDAA-44BF-BC77-390EC29E26B8}" name="ID_Podoblast" dataDxfId="122">
      <calculatedColumnFormula>IFERROR(VLOOKUP(Povinne[[#This Row],[Podoblast]],Init!$F$2:$G$20,2,FALSE),"")</calculatedColumnFormula>
    </tableColumn>
    <tableColumn id="3" xr3:uid="{4669A858-1DAA-4063-9613-029540A9F3BE}" name="ID_cislo" dataDxfId="121"/>
    <tableColumn id="4" xr3:uid="{C3F281AD-1153-4BD7-9E15-88DA8EE2C5BD}" name="Název požadavku" dataDxfId="120"/>
    <tableColumn id="5" xr3:uid="{6AAAFA61-AE7A-475A-A0C8-142B1C3DF21B}" name="Podrobný popis požadavku" dataDxfId="119"/>
    <tableColumn id="16" xr3:uid="{ED606F5F-1010-4373-BF3F-7A2E855206B8}" name="Účastník splňuje požadavek (Ano/Ne)" dataDxfId="118"/>
    <tableColumn id="9" xr3:uid="{85637B70-0B03-4BDF-B4EA-3533FA1B2F9C}" name="Poznámka účástníka (nepovinné pole)" dataDxfId="117"/>
  </tableColumns>
  <tableStyleInfo name="Styl tabulky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6367014A-B30C-4378-8CAA-0662371AC7DD}" name="Hodnocene" displayName="Hodnocene" ref="A2:N31" totalsRowShown="0" headerRowDxfId="116" dataDxfId="115">
  <autoFilter ref="A2:N31" xr:uid="{A6798F69-5BB4-44BB-83BB-F0E9A68C0201}"/>
  <sortState xmlns:xlrd2="http://schemas.microsoft.com/office/spreadsheetml/2017/richdata2" ref="A3:N31">
    <sortCondition ref="B2:B31"/>
  </sortState>
  <tableColumns count="14">
    <tableColumn id="6" xr3:uid="{FA87E50D-7589-4505-A207-BD94BFBFF845}" name="ID" dataDxfId="114">
      <calculatedColumnFormula>Hodnocene[[#This Row],[ID_Oblast]]&amp;"_"&amp;TEXT(Hodnocene[[#This Row],[ID_cislo]],"000")&amp;IF(Hodnocene[[#This Row],[ID_Podoblast]]="","","_"&amp;Hodnocene[[#This Row],[ID_Podoblast]])</calculatedColumnFormula>
    </tableColumn>
    <tableColumn id="8" xr3:uid="{7391647A-FCA3-425E-A345-E801356DC510}" name="Povinný požadavek" dataDxfId="113"/>
    <tableColumn id="14" xr3:uid="{27DD7D8B-A40F-4583-BACA-812FEBC4EBFE}" name="Váha nepovinného požadavku" dataDxfId="112"/>
    <tableColumn id="13" xr3:uid="{ADB1B000-70CF-4575-BEEB-B30FCD249958}" name="Uživ. Nastav. *" dataDxfId="111"/>
    <tableColumn id="1" xr3:uid="{E763CAA9-6DF1-4B80-B469-89B50CECE897}" name="Oblast" dataDxfId="110"/>
    <tableColumn id="7" xr3:uid="{BCED3616-A6F5-4772-AB1A-BE0A89581F68}" name="ID_Oblast" dataDxfId="109">
      <calculatedColumnFormula>IFERROR(VLOOKUP(Hodnocene[[#This Row],[Oblast]],Init!$A$2:$D$20,4,FALSE),"")</calculatedColumnFormula>
    </tableColumn>
    <tableColumn id="12" xr3:uid="{811BBA1C-7B48-4E12-9E1D-8537158F7F3B}" name="Podoblast" dataDxfId="108"/>
    <tableColumn id="10" xr3:uid="{1E54BD12-F37C-40DC-B960-7CC4465992F2}" name="ID_Podoblast" dataDxfId="107">
      <calculatedColumnFormula>IFERROR(VLOOKUP(Hodnocene[[#This Row],[Podoblast]],Init!$F$2:$G$20,2,FALSE),"")</calculatedColumnFormula>
    </tableColumn>
    <tableColumn id="3" xr3:uid="{72230D2C-DAB2-463B-BB8F-E04CCEA22593}" name="ID_cislo" dataDxfId="106"/>
    <tableColumn id="4" xr3:uid="{46B030A6-EC27-4107-BE45-42A18F1CA24E}" name="Název požadavku" dataDxfId="105"/>
    <tableColumn id="5" xr3:uid="{3BBFCF6F-499C-413C-844A-2EEBF36CEF31}" name="Podrobný popis požadavku" dataDxfId="104"/>
    <tableColumn id="16" xr3:uid="{D1872202-56F0-45C5-9593-88514F2211F8}" name="Účastník splňuje požadavek (Ano/Ne)" dataDxfId="103"/>
    <tableColumn id="11" xr3:uid="{24791388-CE9B-4821-9D57-14A43897E813}" name="Body" dataDxfId="102">
      <calculatedColumnFormula>IF(Hodnocene[[#This Row],[Účastník splňuje požadavek (Ano/Ne)]]="Ano",Hodnocene[[#This Row],[Váha nepovinného požadavku]],0)</calculatedColumnFormula>
    </tableColumn>
    <tableColumn id="9" xr3:uid="{70271F93-F771-48CD-86C5-0A53A8C53D6A}" name="Poznámka účástníka (nepovinné pole)" dataDxfId="101"/>
  </tableColumns>
  <tableStyleInfo name="Styl tabulky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6798F69-5BB4-44BB-83BB-F0E9A68C0201}" name="Funkcionality" displayName="Funkcionality" ref="A2:O84" totalsRowShown="0" headerRowDxfId="100" dataDxfId="99">
  <autoFilter ref="A2:O84" xr:uid="{A6798F69-5BB4-44BB-83BB-F0E9A68C0201}"/>
  <sortState xmlns:xlrd2="http://schemas.microsoft.com/office/spreadsheetml/2017/richdata2" ref="A3:O83">
    <sortCondition ref="A2:A83"/>
  </sortState>
  <tableColumns count="15">
    <tableColumn id="6" xr3:uid="{C88591AF-5FBE-41EA-B681-FFB1C78F3555}" name="ID" dataDxfId="98">
      <calculatedColumnFormula>Funkcionality[[#This Row],[ID_Oblast]]&amp;"_"&amp;TEXT(Funkcionality[[#This Row],[ID_cislo]],"000")&amp;IF(Funkcionality[[#This Row],[ID_Podoblast]]="","","_"&amp;Funkcionality[[#This Row],[ID_Podoblast]])</calculatedColumnFormula>
    </tableColumn>
    <tableColumn id="8" xr3:uid="{3112FF86-38E4-40DA-9434-39B665D31855}" name="Povinný požadavek" dataDxfId="97"/>
    <tableColumn id="14" xr3:uid="{8A9FA2DF-CDC7-4E9D-9421-518D95936DC2}" name="Váha nepovinného požadavku" dataDxfId="96"/>
    <tableColumn id="15" xr3:uid="{E6FCE549-188F-4710-8709-A7B9AD282FE3}" name="% vaha" dataDxfId="95">
      <calculatedColumnFormula>IF(Funkcionality[[#This Row],[Váha nepovinného požadavku]]=0,"",Funkcionality[[#This Row],[Váha nepovinného požadavku]]/$C$86)</calculatedColumnFormula>
    </tableColumn>
    <tableColumn id="13" xr3:uid="{E399CB49-55AD-444C-AC45-363E3D7A8227}" name="Uživ. Nastav. *" dataDxfId="94"/>
    <tableColumn id="1" xr3:uid="{894D51B0-927A-4449-8D34-BE5A0D11CA17}" name="Oblast" dataDxfId="93"/>
    <tableColumn id="7" xr3:uid="{C0FC141D-0BA1-4060-BCEA-C213D14B1B24}" name="ID_Oblast" dataDxfId="92">
      <calculatedColumnFormula>IFERROR(VLOOKUP(Funkcionality[[#This Row],[Oblast]],Init!$A$2:$D$20,4,FALSE),"")</calculatedColumnFormula>
    </tableColumn>
    <tableColumn id="12" xr3:uid="{660E9B38-2C70-4A04-AE33-A8305C9933D3}" name="Podoblast" dataDxfId="91"/>
    <tableColumn id="10" xr3:uid="{A3D22C9A-F12A-4EED-9DD1-34E6FCC91C87}" name="ID_Podoblast" dataDxfId="90">
      <calculatedColumnFormula>IFERROR(VLOOKUP(Funkcionality[[#This Row],[Podoblast]],Init!$F$2:$G$20,2,FALSE),"")</calculatedColumnFormula>
    </tableColumn>
    <tableColumn id="3" xr3:uid="{69709494-99F7-4C68-8F6C-744A51AF4921}" name="ID_cislo" dataDxfId="89"/>
    <tableColumn id="4" xr3:uid="{5CAE4F30-9CE2-4151-B7DE-909EC0879258}" name="Název požadavku" dataDxfId="88"/>
    <tableColumn id="5" xr3:uid="{1239EBE7-0787-437A-92AD-E5F1935D9689}" name="Podrobný popis požadavku" dataDxfId="87"/>
    <tableColumn id="16" xr3:uid="{567011F1-6B93-4A04-9150-8FD82E9D3DA7}" name="Účastník splňuje požadavek (Ano/Ne)" dataDxfId="86"/>
    <tableColumn id="11" xr3:uid="{CF7FFEEA-F491-479C-991C-BABB5A60E64F}" name="Body" dataDxfId="85">
      <calculatedColumnFormula>IF(Funkcionality[[#This Row],[Účastník splňuje požadavek (Ano/Ne)]]="Ano",Funkcionality[[#This Row],[% vaha]],0)</calculatedColumnFormula>
    </tableColumn>
    <tableColumn id="9" xr3:uid="{4763DA6C-B0EF-4BE0-A8DF-00EF4CC38161}" name="Poznámka účástníka" dataDxfId="84"/>
  </tableColumns>
  <tableStyleInfo name="Styl tabulky 1" showFirstColumn="0" showLastColumn="0" showRowStripes="1" showColumnStripes="0"/>
</table>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93791-CB82-45AB-9110-EA0A301F72FD}">
  <sheetPr>
    <tabColor rgb="FFC00000"/>
  </sheetPr>
  <dimension ref="A1:J23"/>
  <sheetViews>
    <sheetView workbookViewId="0">
      <selection activeCell="F31" sqref="F31"/>
    </sheetView>
  </sheetViews>
  <sheetFormatPr defaultRowHeight="14.4" x14ac:dyDescent="0.3"/>
  <cols>
    <col min="1" max="1" width="23.5546875" customWidth="1"/>
    <col min="2" max="2" width="11" customWidth="1"/>
    <col min="3" max="4" width="7.77734375" customWidth="1"/>
    <col min="6" max="6" width="27.21875" customWidth="1"/>
  </cols>
  <sheetData>
    <row r="1" spans="1:10" x14ac:dyDescent="0.3">
      <c r="A1" s="1" t="s">
        <v>0</v>
      </c>
      <c r="B1" s="1" t="s">
        <v>1</v>
      </c>
      <c r="C1" s="1" t="s">
        <v>2</v>
      </c>
      <c r="D1" s="1" t="s">
        <v>3</v>
      </c>
      <c r="F1" s="1" t="s">
        <v>4</v>
      </c>
      <c r="G1" s="1" t="s">
        <v>1</v>
      </c>
      <c r="H1" s="1" t="s">
        <v>5</v>
      </c>
      <c r="J1" s="1" t="s">
        <v>6</v>
      </c>
    </row>
    <row r="2" spans="1:10" x14ac:dyDescent="0.3">
      <c r="A2" t="s">
        <v>7</v>
      </c>
      <c r="B2" t="s">
        <v>8</v>
      </c>
      <c r="C2" s="2" t="s">
        <v>9</v>
      </c>
      <c r="D2" t="str">
        <f>C2&amp;"_"&amp;B2</f>
        <v>01_EVI</v>
      </c>
      <c r="F2" t="s">
        <v>10</v>
      </c>
      <c r="G2" t="s">
        <v>11</v>
      </c>
      <c r="J2" t="s">
        <v>235</v>
      </c>
    </row>
    <row r="3" spans="1:10" x14ac:dyDescent="0.3">
      <c r="A3" t="s">
        <v>12</v>
      </c>
      <c r="B3" t="s">
        <v>13</v>
      </c>
      <c r="C3" s="2" t="s">
        <v>14</v>
      </c>
      <c r="D3" t="str">
        <f>C3&amp;"_"&amp;B3</f>
        <v>02_KLA</v>
      </c>
      <c r="F3" t="s">
        <v>15</v>
      </c>
      <c r="G3" t="s">
        <v>16</v>
      </c>
      <c r="J3" t="s">
        <v>236</v>
      </c>
    </row>
    <row r="4" spans="1:10" x14ac:dyDescent="0.3">
      <c r="A4" t="s">
        <v>17</v>
      </c>
      <c r="B4" t="s">
        <v>18</v>
      </c>
      <c r="C4" s="2" t="s">
        <v>19</v>
      </c>
      <c r="D4" t="str">
        <f t="shared" ref="D4:D23" si="0">C4&amp;"_"&amp;B4</f>
        <v>03_DAT</v>
      </c>
      <c r="F4" t="s">
        <v>20</v>
      </c>
      <c r="G4" t="s">
        <v>21</v>
      </c>
    </row>
    <row r="5" spans="1:10" x14ac:dyDescent="0.3">
      <c r="A5" t="s">
        <v>22</v>
      </c>
      <c r="B5" t="s">
        <v>23</v>
      </c>
      <c r="C5" s="2" t="s">
        <v>24</v>
      </c>
      <c r="D5" t="str">
        <f t="shared" si="0"/>
        <v>04_NAP</v>
      </c>
      <c r="F5" t="s">
        <v>25</v>
      </c>
      <c r="G5" t="s">
        <v>26</v>
      </c>
    </row>
    <row r="6" spans="1:10" x14ac:dyDescent="0.3">
      <c r="A6" t="s">
        <v>27</v>
      </c>
      <c r="B6" t="s">
        <v>28</v>
      </c>
      <c r="C6" s="2" t="s">
        <v>29</v>
      </c>
      <c r="D6" t="str">
        <f t="shared" si="0"/>
        <v>05_UŽR</v>
      </c>
    </row>
    <row r="7" spans="1:10" x14ac:dyDescent="0.3">
      <c r="A7" t="s">
        <v>30</v>
      </c>
      <c r="B7" t="s">
        <v>31</v>
      </c>
      <c r="C7" s="2" t="s">
        <v>32</v>
      </c>
      <c r="D7" t="str">
        <f t="shared" si="0"/>
        <v>06_OBF</v>
      </c>
      <c r="F7" t="s">
        <v>33</v>
      </c>
      <c r="G7" t="s">
        <v>34</v>
      </c>
    </row>
    <row r="8" spans="1:10" x14ac:dyDescent="0.3">
      <c r="A8" t="s">
        <v>35</v>
      </c>
      <c r="B8" t="s">
        <v>36</v>
      </c>
      <c r="C8" s="2" t="s">
        <v>37</v>
      </c>
      <c r="D8" t="str">
        <f t="shared" si="0"/>
        <v>07_OPR</v>
      </c>
      <c r="F8" t="s">
        <v>38</v>
      </c>
      <c r="G8" t="s">
        <v>39</v>
      </c>
    </row>
    <row r="9" spans="1:10" x14ac:dyDescent="0.3">
      <c r="A9" t="s">
        <v>257</v>
      </c>
      <c r="B9" t="s">
        <v>40</v>
      </c>
      <c r="C9" s="2" t="s">
        <v>41</v>
      </c>
      <c r="D9" t="str">
        <f t="shared" si="0"/>
        <v>08_ÚDR</v>
      </c>
      <c r="F9" t="s">
        <v>42</v>
      </c>
      <c r="G9" t="s">
        <v>43</v>
      </c>
    </row>
    <row r="10" spans="1:10" x14ac:dyDescent="0.3">
      <c r="A10" t="s">
        <v>44</v>
      </c>
      <c r="B10" t="s">
        <v>45</v>
      </c>
      <c r="C10" s="2" t="s">
        <v>46</v>
      </c>
      <c r="D10" t="str">
        <f t="shared" si="0"/>
        <v>09_ENE</v>
      </c>
    </row>
    <row r="11" spans="1:10" x14ac:dyDescent="0.3">
      <c r="A11" t="s">
        <v>47</v>
      </c>
      <c r="B11" t="s">
        <v>48</v>
      </c>
      <c r="C11" s="2" t="s">
        <v>49</v>
      </c>
      <c r="D11" t="str">
        <f t="shared" si="0"/>
        <v>10_DOK</v>
      </c>
    </row>
    <row r="12" spans="1:10" x14ac:dyDescent="0.3">
      <c r="A12" t="s">
        <v>50</v>
      </c>
      <c r="B12" t="s">
        <v>51</v>
      </c>
      <c r="C12" s="2" t="s">
        <v>52</v>
      </c>
      <c r="D12" t="str">
        <f t="shared" si="0"/>
        <v>11_NÁJ</v>
      </c>
    </row>
    <row r="13" spans="1:10" x14ac:dyDescent="0.3">
      <c r="A13" t="s">
        <v>53</v>
      </c>
      <c r="B13" t="s">
        <v>54</v>
      </c>
      <c r="C13" s="2" t="s">
        <v>55</v>
      </c>
      <c r="D13" t="str">
        <f t="shared" si="0"/>
        <v>12_ODP</v>
      </c>
    </row>
    <row r="14" spans="1:10" x14ac:dyDescent="0.3">
      <c r="A14" t="s">
        <v>56</v>
      </c>
      <c r="B14" t="s">
        <v>57</v>
      </c>
      <c r="C14" s="2"/>
      <c r="D14" t="str">
        <f t="shared" si="0"/>
        <v>_SMM</v>
      </c>
    </row>
    <row r="15" spans="1:10" x14ac:dyDescent="0.3">
      <c r="A15" t="s">
        <v>58</v>
      </c>
      <c r="B15" t="s">
        <v>59</v>
      </c>
      <c r="C15" s="2"/>
      <c r="D15" t="str">
        <f t="shared" si="0"/>
        <v>_MAP</v>
      </c>
    </row>
    <row r="16" spans="1:10" x14ac:dyDescent="0.3">
      <c r="A16" t="s">
        <v>60</v>
      </c>
      <c r="B16" t="s">
        <v>61</v>
      </c>
      <c r="C16" s="2"/>
      <c r="D16" t="str">
        <f t="shared" si="0"/>
        <v>_NAO</v>
      </c>
    </row>
    <row r="17" spans="1:4" x14ac:dyDescent="0.3">
      <c r="A17" t="s">
        <v>256</v>
      </c>
      <c r="B17" t="s">
        <v>62</v>
      </c>
      <c r="C17" s="2" t="s">
        <v>63</v>
      </c>
      <c r="D17" t="str">
        <f t="shared" si="0"/>
        <v>14_GRA</v>
      </c>
    </row>
    <row r="18" spans="1:4" x14ac:dyDescent="0.3">
      <c r="A18" t="s">
        <v>64</v>
      </c>
      <c r="B18" t="s">
        <v>65</v>
      </c>
      <c r="C18" s="3">
        <v>15</v>
      </c>
      <c r="D18" t="str">
        <f t="shared" si="0"/>
        <v>15_APP</v>
      </c>
    </row>
    <row r="19" spans="1:4" x14ac:dyDescent="0.3">
      <c r="A19" t="s">
        <v>20</v>
      </c>
      <c r="B19" t="s">
        <v>66</v>
      </c>
      <c r="C19" s="3"/>
      <c r="D19" t="str">
        <f t="shared" si="0"/>
        <v>_SKL</v>
      </c>
    </row>
    <row r="20" spans="1:4" x14ac:dyDescent="0.3">
      <c r="A20" t="s">
        <v>67</v>
      </c>
      <c r="B20" t="s">
        <v>68</v>
      </c>
      <c r="C20" s="3">
        <v>13</v>
      </c>
      <c r="D20" t="str">
        <f t="shared" si="0"/>
        <v>13_SML</v>
      </c>
    </row>
    <row r="21" spans="1:4" x14ac:dyDescent="0.3">
      <c r="C21" s="3"/>
      <c r="D21" t="str">
        <f t="shared" si="0"/>
        <v>_</v>
      </c>
    </row>
    <row r="22" spans="1:4" x14ac:dyDescent="0.3">
      <c r="C22" s="3"/>
      <c r="D22" t="str">
        <f t="shared" si="0"/>
        <v>_</v>
      </c>
    </row>
    <row r="23" spans="1:4" x14ac:dyDescent="0.3">
      <c r="C23" s="3"/>
      <c r="D23" t="str">
        <f t="shared" si="0"/>
        <v>_</v>
      </c>
    </row>
  </sheetData>
  <phoneticPr fontId="4" type="noConversion"/>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0946F-D8D0-4B7A-B226-663ABB1B5E12}">
  <dimension ref="A1:A7"/>
  <sheetViews>
    <sheetView tabSelected="1" workbookViewId="0">
      <selection activeCell="A14" sqref="A14"/>
    </sheetView>
  </sheetViews>
  <sheetFormatPr defaultRowHeight="14.4" x14ac:dyDescent="0.3"/>
  <cols>
    <col min="1" max="1" width="164.44140625" customWidth="1"/>
  </cols>
  <sheetData>
    <row r="1" spans="1:1" ht="23.4" x14ac:dyDescent="0.3">
      <c r="A1" s="35" t="s">
        <v>258</v>
      </c>
    </row>
    <row r="2" spans="1:1" x14ac:dyDescent="0.3">
      <c r="A2" t="s">
        <v>259</v>
      </c>
    </row>
    <row r="5" spans="1:1" ht="43.2" x14ac:dyDescent="0.3">
      <c r="A5" s="32" t="s">
        <v>253</v>
      </c>
    </row>
    <row r="7" spans="1:1" x14ac:dyDescent="0.3">
      <c r="A7" s="31" t="s">
        <v>254</v>
      </c>
    </row>
  </sheetData>
  <sheetProtection algorithmName="SHA-512" hashValue="uv+q8hR2K9tXh1yFBttMiZujy4IWM6X4jfL3kh1SNZ/iJ+ZI9WVhBifBc8mwinB7ch0zFNoKBe9lrbCVgBd3LQ==" saltValue="E1COeJZdaK3KWH9E+yxlvA==" spinCount="100000" sheet="1" objects="1" scenarios="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234C3F-5EE1-4B2F-84DB-D8006DEB4AFD}">
  <dimension ref="A1:M58"/>
  <sheetViews>
    <sheetView zoomScale="90" zoomScaleNormal="90" workbookViewId="0">
      <selection activeCell="K7" sqref="K7"/>
    </sheetView>
  </sheetViews>
  <sheetFormatPr defaultRowHeight="14.4" x14ac:dyDescent="0.3"/>
  <cols>
    <col min="1" max="1" width="16.77734375" customWidth="1"/>
    <col min="2" max="2" width="8.77734375" customWidth="1"/>
    <col min="3" max="3" width="8.77734375" hidden="1" customWidth="1"/>
    <col min="4" max="4" width="8.77734375" customWidth="1"/>
    <col min="5" max="5" width="20.77734375" customWidth="1"/>
    <col min="6" max="6" width="8.77734375" hidden="1" customWidth="1"/>
    <col min="7" max="7" width="15.77734375" customWidth="1"/>
    <col min="8" max="9" width="8.77734375" hidden="1" customWidth="1"/>
    <col min="10" max="10" width="45.77734375" customWidth="1"/>
    <col min="11" max="11" width="100.77734375" customWidth="1"/>
    <col min="12" max="12" width="10.77734375" customWidth="1"/>
    <col min="13" max="13" width="80.77734375" customWidth="1"/>
  </cols>
  <sheetData>
    <row r="1" spans="1:13" ht="25.05" customHeight="1" x14ac:dyDescent="0.3">
      <c r="A1" s="4" t="s">
        <v>258</v>
      </c>
      <c r="B1" s="4"/>
      <c r="C1" s="4"/>
      <c r="D1" s="4"/>
      <c r="E1" s="5"/>
      <c r="F1" s="5"/>
      <c r="G1" s="5"/>
      <c r="H1" s="5"/>
      <c r="I1" s="5"/>
      <c r="J1" s="16"/>
      <c r="K1" s="16"/>
      <c r="L1" s="5"/>
      <c r="M1" s="5"/>
    </row>
    <row r="2" spans="1:13" ht="73.05" customHeight="1" x14ac:dyDescent="0.3">
      <c r="A2" s="7" t="s">
        <v>69</v>
      </c>
      <c r="B2" s="8" t="s">
        <v>70</v>
      </c>
      <c r="C2" s="8" t="s">
        <v>71</v>
      </c>
      <c r="D2" s="8" t="s">
        <v>73</v>
      </c>
      <c r="E2" s="7" t="s">
        <v>74</v>
      </c>
      <c r="F2" s="7" t="s">
        <v>75</v>
      </c>
      <c r="G2" s="7" t="s">
        <v>76</v>
      </c>
      <c r="H2" s="7" t="s">
        <v>77</v>
      </c>
      <c r="I2" s="7" t="s">
        <v>78</v>
      </c>
      <c r="J2" s="7" t="s">
        <v>79</v>
      </c>
      <c r="K2" s="7" t="s">
        <v>80</v>
      </c>
      <c r="L2" s="8" t="s">
        <v>238</v>
      </c>
      <c r="M2" s="9" t="s">
        <v>255</v>
      </c>
    </row>
    <row r="3" spans="1:13" ht="100.8" x14ac:dyDescent="0.3">
      <c r="A3" s="10" t="str">
        <f>Povinne[[#This Row],[ID_Oblast]]&amp;"_"&amp;TEXT(Povinne[[#This Row],[ID_cislo]],"000")&amp;IF(Povinne[[#This Row],[ID_Podoblast]]="","","_"&amp;Povinne[[#This Row],[ID_Podoblast]])</f>
        <v>01_EVI_001</v>
      </c>
      <c r="B3" s="11" t="s">
        <v>235</v>
      </c>
      <c r="C3" s="11"/>
      <c r="D3" s="11" t="s">
        <v>235</v>
      </c>
      <c r="E3" s="6" t="s">
        <v>7</v>
      </c>
      <c r="F3" s="6" t="str">
        <f>IFERROR(VLOOKUP(Povinne[[#This Row],[Oblast]],Init!$A$2:$D$20,4,FALSE),"")</f>
        <v>01_EVI</v>
      </c>
      <c r="G3" s="13"/>
      <c r="H3" s="6" t="str">
        <f>IFERROR(VLOOKUP(Povinne[[#This Row],[Podoblast]],Init!$F$2:$G$20,2,FALSE),"")</f>
        <v/>
      </c>
      <c r="I3" s="12">
        <v>1</v>
      </c>
      <c r="J3" s="13" t="s">
        <v>81</v>
      </c>
      <c r="K3" s="13" t="s">
        <v>233</v>
      </c>
      <c r="L3" s="33"/>
      <c r="M3" s="34"/>
    </row>
    <row r="4" spans="1:13" x14ac:dyDescent="0.3">
      <c r="A4" s="10" t="str">
        <f>Povinne[[#This Row],[ID_Oblast]]&amp;"_"&amp;TEXT(Povinne[[#This Row],[ID_cislo]],"000")&amp;IF(Povinne[[#This Row],[ID_Podoblast]]="","","_"&amp;Povinne[[#This Row],[ID_Podoblast]])</f>
        <v>01_EVI_002</v>
      </c>
      <c r="B4" s="11" t="s">
        <v>235</v>
      </c>
      <c r="C4" s="11"/>
      <c r="D4" s="11" t="s">
        <v>235</v>
      </c>
      <c r="E4" s="6" t="s">
        <v>7</v>
      </c>
      <c r="F4" s="6" t="str">
        <f>IFERROR(VLOOKUP(Povinne[[#This Row],[Oblast]],Init!$A$2:$D$20,4,FALSE),"")</f>
        <v>01_EVI</v>
      </c>
      <c r="G4" s="13"/>
      <c r="H4" s="6" t="str">
        <f>IFERROR(VLOOKUP(Povinne[[#This Row],[Podoblast]],Init!$F$2:$G$20,2,FALSE),"")</f>
        <v/>
      </c>
      <c r="I4" s="12">
        <v>2</v>
      </c>
      <c r="J4" s="13" t="s">
        <v>240</v>
      </c>
      <c r="K4" s="13" t="s">
        <v>82</v>
      </c>
      <c r="L4" s="33"/>
      <c r="M4" s="34"/>
    </row>
    <row r="5" spans="1:13" ht="43.2" x14ac:dyDescent="0.3">
      <c r="A5" s="10" t="str">
        <f>Povinne[[#This Row],[ID_Oblast]]&amp;"_"&amp;TEXT(Povinne[[#This Row],[ID_cislo]],"000")&amp;IF(Povinne[[#This Row],[ID_Podoblast]]="","","_"&amp;Povinne[[#This Row],[ID_Podoblast]])</f>
        <v>01_EVI_003</v>
      </c>
      <c r="B5" s="11" t="s">
        <v>235</v>
      </c>
      <c r="C5" s="11"/>
      <c r="D5" s="11" t="s">
        <v>236</v>
      </c>
      <c r="E5" s="6" t="s">
        <v>7</v>
      </c>
      <c r="F5" s="6" t="str">
        <f>IFERROR(VLOOKUP(Povinne[[#This Row],[Oblast]],Init!$A$2:$D$20,4,FALSE),"")</f>
        <v>01_EVI</v>
      </c>
      <c r="G5" s="13"/>
      <c r="H5" s="14" t="str">
        <f>IFERROR(VLOOKUP(Povinne[[#This Row],[Podoblast]],Init!$F$2:$G$20,2,FALSE),"")</f>
        <v/>
      </c>
      <c r="I5" s="12">
        <v>3</v>
      </c>
      <c r="J5" s="13" t="s">
        <v>83</v>
      </c>
      <c r="K5" s="13" t="s">
        <v>84</v>
      </c>
      <c r="L5" s="33"/>
      <c r="M5" s="34"/>
    </row>
    <row r="6" spans="1:13" ht="43.2" x14ac:dyDescent="0.3">
      <c r="A6" s="10" t="str">
        <f>Povinne[[#This Row],[ID_Oblast]]&amp;"_"&amp;TEXT(Povinne[[#This Row],[ID_cislo]],"000")&amp;IF(Povinne[[#This Row],[ID_Podoblast]]="","","_"&amp;Povinne[[#This Row],[ID_Podoblast]])</f>
        <v>01_EVI_005</v>
      </c>
      <c r="B6" s="11" t="s">
        <v>235</v>
      </c>
      <c r="C6" s="11"/>
      <c r="D6" s="11" t="s">
        <v>236</v>
      </c>
      <c r="E6" s="6" t="s">
        <v>7</v>
      </c>
      <c r="F6" s="6" t="str">
        <f>IFERROR(VLOOKUP(Povinne[[#This Row],[Oblast]],Init!$A$2:$D$20,4,FALSE),"")</f>
        <v>01_EVI</v>
      </c>
      <c r="G6" s="13"/>
      <c r="H6" s="14" t="str">
        <f>IFERROR(VLOOKUP(Povinne[[#This Row],[Podoblast]],Init!$F$2:$G$20,2,FALSE),"")</f>
        <v/>
      </c>
      <c r="I6" s="12">
        <v>5</v>
      </c>
      <c r="J6" s="13" t="s">
        <v>87</v>
      </c>
      <c r="K6" s="13" t="s">
        <v>88</v>
      </c>
      <c r="L6" s="33"/>
      <c r="M6" s="34"/>
    </row>
    <row r="7" spans="1:13" x14ac:dyDescent="0.3">
      <c r="A7" s="10" t="str">
        <f>Povinne[[#This Row],[ID_Oblast]]&amp;"_"&amp;TEXT(Povinne[[#This Row],[ID_cislo]],"000")&amp;IF(Povinne[[#This Row],[ID_Podoblast]]="","","_"&amp;Povinne[[#This Row],[ID_Podoblast]])</f>
        <v>01_EVI_006</v>
      </c>
      <c r="B7" s="11" t="s">
        <v>235</v>
      </c>
      <c r="C7" s="11"/>
      <c r="D7" s="11" t="s">
        <v>235</v>
      </c>
      <c r="E7" s="6" t="s">
        <v>7</v>
      </c>
      <c r="F7" s="6" t="str">
        <f>IFERROR(VLOOKUP(Povinne[[#This Row],[Oblast]],Init!$A$2:$D$20,4,FALSE),"")</f>
        <v>01_EVI</v>
      </c>
      <c r="G7" s="13"/>
      <c r="H7" s="14" t="str">
        <f>IFERROR(VLOOKUP(Povinne[[#This Row],[Podoblast]],Init!$F$2:$G$20,2,FALSE),"")</f>
        <v/>
      </c>
      <c r="I7" s="12">
        <v>6</v>
      </c>
      <c r="J7" s="13" t="s">
        <v>89</v>
      </c>
      <c r="K7" s="13" t="s">
        <v>90</v>
      </c>
      <c r="L7" s="33"/>
      <c r="M7" s="34"/>
    </row>
    <row r="8" spans="1:13" ht="28.8" x14ac:dyDescent="0.3">
      <c r="A8" s="10" t="str">
        <f>Povinne[[#This Row],[ID_Oblast]]&amp;"_"&amp;TEXT(Povinne[[#This Row],[ID_cislo]],"000")&amp;IF(Povinne[[#This Row],[ID_Podoblast]]="","","_"&amp;Povinne[[#This Row],[ID_Podoblast]])</f>
        <v>02_KLA_001</v>
      </c>
      <c r="B8" s="11" t="s">
        <v>235</v>
      </c>
      <c r="C8" s="11"/>
      <c r="D8" s="11" t="s">
        <v>236</v>
      </c>
      <c r="E8" s="6" t="s">
        <v>12</v>
      </c>
      <c r="F8" s="6" t="str">
        <f>IFERROR(VLOOKUP(Povinne[[#This Row],[Oblast]],Init!$A$2:$D$20,4,FALSE),"")</f>
        <v>02_KLA</v>
      </c>
      <c r="G8" s="13"/>
      <c r="H8" s="6" t="str">
        <f>IFERROR(VLOOKUP(Povinne[[#This Row],[Podoblast]],Init!$F$2:$G$20,2,FALSE),"")</f>
        <v/>
      </c>
      <c r="I8" s="12">
        <v>1</v>
      </c>
      <c r="J8" s="13" t="s">
        <v>92</v>
      </c>
      <c r="K8" s="13" t="s">
        <v>234</v>
      </c>
      <c r="L8" s="33"/>
      <c r="M8" s="34"/>
    </row>
    <row r="9" spans="1:13" ht="57.6" x14ac:dyDescent="0.3">
      <c r="A9" s="10" t="str">
        <f>Povinne[[#This Row],[ID_Oblast]]&amp;"_"&amp;TEXT(Povinne[[#This Row],[ID_cislo]],"000")&amp;IF(Povinne[[#This Row],[ID_Podoblast]]="","","_"&amp;Povinne[[#This Row],[ID_Podoblast]])</f>
        <v>02_KLA_002</v>
      </c>
      <c r="B9" s="11" t="s">
        <v>235</v>
      </c>
      <c r="C9" s="11"/>
      <c r="D9" s="11" t="s">
        <v>236</v>
      </c>
      <c r="E9" s="6" t="s">
        <v>12</v>
      </c>
      <c r="F9" s="6" t="str">
        <f>IFERROR(VLOOKUP(Povinne[[#This Row],[Oblast]],Init!$A$2:$D$20,4,FALSE),"")</f>
        <v>02_KLA</v>
      </c>
      <c r="G9" s="13"/>
      <c r="H9" s="6" t="str">
        <f>IFERROR(VLOOKUP(Povinne[[#This Row],[Podoblast]],Init!$F$2:$G$20,2,FALSE),"")</f>
        <v/>
      </c>
      <c r="I9" s="12">
        <v>2</v>
      </c>
      <c r="J9" s="13" t="s">
        <v>93</v>
      </c>
      <c r="K9" s="13" t="s">
        <v>94</v>
      </c>
      <c r="L9" s="33"/>
      <c r="M9" s="34"/>
    </row>
    <row r="10" spans="1:13" ht="72" x14ac:dyDescent="0.3">
      <c r="A10" s="10" t="str">
        <f>Povinne[[#This Row],[ID_Oblast]]&amp;"_"&amp;TEXT(Povinne[[#This Row],[ID_cislo]],"000")&amp;IF(Povinne[[#This Row],[ID_Podoblast]]="","","_"&amp;Povinne[[#This Row],[ID_Podoblast]])</f>
        <v>02_KLA_003</v>
      </c>
      <c r="B10" s="11" t="s">
        <v>235</v>
      </c>
      <c r="C10" s="11"/>
      <c r="D10" s="11" t="s">
        <v>235</v>
      </c>
      <c r="E10" s="6" t="s">
        <v>12</v>
      </c>
      <c r="F10" s="6" t="str">
        <f>IFERROR(VLOOKUP(Povinne[[#This Row],[Oblast]],Init!$A$2:$D$20,4,FALSE),"")</f>
        <v>02_KLA</v>
      </c>
      <c r="G10" s="13"/>
      <c r="H10" s="6" t="str">
        <f>IFERROR(VLOOKUP(Povinne[[#This Row],[Podoblast]],Init!$F$2:$G$20,2,FALSE),"")</f>
        <v/>
      </c>
      <c r="I10" s="12">
        <v>3</v>
      </c>
      <c r="J10" s="13" t="s">
        <v>95</v>
      </c>
      <c r="K10" s="13" t="s">
        <v>96</v>
      </c>
      <c r="L10" s="33"/>
      <c r="M10" s="34"/>
    </row>
    <row r="11" spans="1:13" ht="115.2" x14ac:dyDescent="0.3">
      <c r="A11" s="10" t="str">
        <f>Povinne[[#This Row],[ID_Oblast]]&amp;"_"&amp;TEXT(Povinne[[#This Row],[ID_cislo]],"000")&amp;IF(Povinne[[#This Row],[ID_Podoblast]]="","","_"&amp;Povinne[[#This Row],[ID_Podoblast]])</f>
        <v>03_DAT_001</v>
      </c>
      <c r="B11" s="11" t="s">
        <v>235</v>
      </c>
      <c r="C11" s="11"/>
      <c r="D11" s="11" t="s">
        <v>235</v>
      </c>
      <c r="E11" s="6" t="s">
        <v>17</v>
      </c>
      <c r="F11" s="6" t="str">
        <f>IFERROR(VLOOKUP(Povinne[[#This Row],[Oblast]],Init!$A$2:$D$20,4,FALSE),"")</f>
        <v>03_DAT</v>
      </c>
      <c r="G11" s="13"/>
      <c r="H11" s="6" t="str">
        <f>IFERROR(VLOOKUP(Povinne[[#This Row],[Podoblast]],Init!$F$2:$G$20,2,FALSE),"")</f>
        <v/>
      </c>
      <c r="I11" s="12">
        <v>1</v>
      </c>
      <c r="J11" s="13" t="s">
        <v>100</v>
      </c>
      <c r="K11" s="13" t="s">
        <v>101</v>
      </c>
      <c r="L11" s="33"/>
      <c r="M11" s="34"/>
    </row>
    <row r="12" spans="1:13" ht="28.8" x14ac:dyDescent="0.3">
      <c r="A12" s="10" t="str">
        <f>Povinne[[#This Row],[ID_Oblast]]&amp;"_"&amp;TEXT(Povinne[[#This Row],[ID_cislo]],"000")&amp;IF(Povinne[[#This Row],[ID_Podoblast]]="","","_"&amp;Povinne[[#This Row],[ID_Podoblast]])</f>
        <v>03_DAT_002</v>
      </c>
      <c r="B12" s="11" t="s">
        <v>235</v>
      </c>
      <c r="C12" s="11"/>
      <c r="D12" s="11" t="s">
        <v>235</v>
      </c>
      <c r="E12" s="6" t="s">
        <v>17</v>
      </c>
      <c r="F12" s="6" t="str">
        <f>IFERROR(VLOOKUP(Povinne[[#This Row],[Oblast]],Init!$A$2:$D$20,4,FALSE),"")</f>
        <v>03_DAT</v>
      </c>
      <c r="G12" s="13"/>
      <c r="H12" s="6" t="str">
        <f>IFERROR(VLOOKUP(Povinne[[#This Row],[Podoblast]],Init!$F$2:$G$20,2,FALSE),"")</f>
        <v/>
      </c>
      <c r="I12" s="12">
        <v>2</v>
      </c>
      <c r="J12" s="13" t="s">
        <v>102</v>
      </c>
      <c r="K12" s="13" t="s">
        <v>103</v>
      </c>
      <c r="L12" s="33"/>
      <c r="M12" s="34"/>
    </row>
    <row r="13" spans="1:13" ht="57.6" x14ac:dyDescent="0.3">
      <c r="A13" s="10" t="str">
        <f>Povinne[[#This Row],[ID_Oblast]]&amp;"_"&amp;TEXT(Povinne[[#This Row],[ID_cislo]],"000")&amp;IF(Povinne[[#This Row],[ID_Podoblast]]="","","_"&amp;Povinne[[#This Row],[ID_Podoblast]])</f>
        <v>03_DAT_003</v>
      </c>
      <c r="B13" s="11" t="s">
        <v>235</v>
      </c>
      <c r="C13" s="11"/>
      <c r="D13" s="11" t="s">
        <v>235</v>
      </c>
      <c r="E13" s="6" t="s">
        <v>17</v>
      </c>
      <c r="F13" s="6" t="str">
        <f>IFERROR(VLOOKUP(Povinne[[#This Row],[Oblast]],Init!$A$2:$D$20,4,FALSE),"")</f>
        <v>03_DAT</v>
      </c>
      <c r="G13" s="13"/>
      <c r="H13" s="6" t="str">
        <f>IFERROR(VLOOKUP(Povinne[[#This Row],[Podoblast]],Init!$F$2:$G$20,2,FALSE),"")</f>
        <v/>
      </c>
      <c r="I13" s="12">
        <v>3</v>
      </c>
      <c r="J13" s="13" t="s">
        <v>104</v>
      </c>
      <c r="K13" s="13" t="s">
        <v>105</v>
      </c>
      <c r="L13" s="33"/>
      <c r="M13" s="34"/>
    </row>
    <row r="14" spans="1:13" ht="28.8" x14ac:dyDescent="0.3">
      <c r="A14" s="10" t="str">
        <f>Povinne[[#This Row],[ID_Oblast]]&amp;"_"&amp;TEXT(Povinne[[#This Row],[ID_cislo]],"000")&amp;IF(Povinne[[#This Row],[ID_Podoblast]]="","","_"&amp;Povinne[[#This Row],[ID_Podoblast]])</f>
        <v>03_DAT_004</v>
      </c>
      <c r="B14" s="11" t="s">
        <v>235</v>
      </c>
      <c r="C14" s="11"/>
      <c r="D14" s="11" t="s">
        <v>235</v>
      </c>
      <c r="E14" s="6" t="s">
        <v>17</v>
      </c>
      <c r="F14" s="6" t="str">
        <f>IFERROR(VLOOKUP(Povinne[[#This Row],[Oblast]],Init!$A$2:$D$20,4,FALSE),"")</f>
        <v>03_DAT</v>
      </c>
      <c r="G14" s="13"/>
      <c r="H14" s="6" t="str">
        <f>IFERROR(VLOOKUP(Povinne[[#This Row],[Podoblast]],Init!$F$2:$G$20,2,FALSE),"")</f>
        <v/>
      </c>
      <c r="I14" s="12">
        <v>4</v>
      </c>
      <c r="J14" s="13" t="s">
        <v>106</v>
      </c>
      <c r="K14" s="13" t="s">
        <v>107</v>
      </c>
      <c r="L14" s="33"/>
      <c r="M14" s="34"/>
    </row>
    <row r="15" spans="1:13" ht="43.2" x14ac:dyDescent="0.3">
      <c r="A15" s="10" t="str">
        <f>Povinne[[#This Row],[ID_Oblast]]&amp;"_"&amp;TEXT(Povinne[[#This Row],[ID_cislo]],"000")&amp;IF(Povinne[[#This Row],[ID_Podoblast]]="","","_"&amp;Povinne[[#This Row],[ID_Podoblast]])</f>
        <v>03_DAT_005</v>
      </c>
      <c r="B15" s="11" t="s">
        <v>235</v>
      </c>
      <c r="C15" s="11"/>
      <c r="D15" s="11" t="s">
        <v>235</v>
      </c>
      <c r="E15" s="6" t="s">
        <v>17</v>
      </c>
      <c r="F15" s="6" t="str">
        <f>IFERROR(VLOOKUP(Povinne[[#This Row],[Oblast]],Init!$A$2:$D$20,4,FALSE),"")</f>
        <v>03_DAT</v>
      </c>
      <c r="G15" s="13"/>
      <c r="H15" s="6" t="str">
        <f>IFERROR(VLOOKUP(Povinne[[#This Row],[Podoblast]],Init!$F$2:$G$20,2,FALSE),"")</f>
        <v/>
      </c>
      <c r="I15" s="12">
        <v>5</v>
      </c>
      <c r="J15" s="13" t="s">
        <v>108</v>
      </c>
      <c r="K15" s="13" t="s">
        <v>109</v>
      </c>
      <c r="L15" s="33"/>
      <c r="M15" s="34"/>
    </row>
    <row r="16" spans="1:13" ht="57.6" x14ac:dyDescent="0.3">
      <c r="A16" s="10" t="str">
        <f>Povinne[[#This Row],[ID_Oblast]]&amp;"_"&amp;TEXT(Povinne[[#This Row],[ID_cislo]],"000")&amp;IF(Povinne[[#This Row],[ID_Podoblast]]="","","_"&amp;Povinne[[#This Row],[ID_Podoblast]])</f>
        <v>03_DAT_006</v>
      </c>
      <c r="B16" s="11" t="s">
        <v>235</v>
      </c>
      <c r="C16" s="11"/>
      <c r="D16" s="11" t="s">
        <v>235</v>
      </c>
      <c r="E16" s="6" t="s">
        <v>17</v>
      </c>
      <c r="F16" s="6" t="str">
        <f>IFERROR(VLOOKUP(Povinne[[#This Row],[Oblast]],Init!$A$2:$D$20,4,FALSE),"")</f>
        <v>03_DAT</v>
      </c>
      <c r="G16" s="13"/>
      <c r="H16" s="14" t="str">
        <f>IFERROR(VLOOKUP(Povinne[[#This Row],[Podoblast]],Init!$F$2:$G$20,2,FALSE),"")</f>
        <v/>
      </c>
      <c r="I16" s="12">
        <v>6</v>
      </c>
      <c r="J16" s="13" t="s">
        <v>110</v>
      </c>
      <c r="K16" s="15" t="s">
        <v>111</v>
      </c>
      <c r="L16" s="33"/>
      <c r="M16" s="34"/>
    </row>
    <row r="17" spans="1:13" ht="72" x14ac:dyDescent="0.3">
      <c r="A17" s="10" t="str">
        <f>Povinne[[#This Row],[ID_Oblast]]&amp;"_"&amp;TEXT(Povinne[[#This Row],[ID_cislo]],"000")&amp;IF(Povinne[[#This Row],[ID_Podoblast]]="","","_"&amp;Povinne[[#This Row],[ID_Podoblast]])</f>
        <v>03_DAT_007</v>
      </c>
      <c r="B17" s="11" t="s">
        <v>235</v>
      </c>
      <c r="C17" s="11"/>
      <c r="D17" s="11" t="s">
        <v>235</v>
      </c>
      <c r="E17" s="6" t="s">
        <v>17</v>
      </c>
      <c r="F17" s="6" t="str">
        <f>IFERROR(VLOOKUP(Povinne[[#This Row],[Oblast]],Init!$A$2:$D$20,4,FALSE),"")</f>
        <v>03_DAT</v>
      </c>
      <c r="G17" s="13"/>
      <c r="H17" s="14" t="str">
        <f>IFERROR(VLOOKUP(Povinne[[#This Row],[Podoblast]],Init!$F$2:$G$20,2,FALSE),"")</f>
        <v/>
      </c>
      <c r="I17" s="12">
        <v>7</v>
      </c>
      <c r="J17" s="13" t="s">
        <v>112</v>
      </c>
      <c r="K17" s="13" t="s">
        <v>113</v>
      </c>
      <c r="L17" s="33"/>
      <c r="M17" s="34"/>
    </row>
    <row r="18" spans="1:13" x14ac:dyDescent="0.3">
      <c r="A18" s="10" t="str">
        <f>Povinne[[#This Row],[ID_Oblast]]&amp;"_"&amp;TEXT(Povinne[[#This Row],[ID_cislo]],"000")&amp;IF(Povinne[[#This Row],[ID_Podoblast]]="","","_"&amp;Povinne[[#This Row],[ID_Podoblast]])</f>
        <v>03_DAT_009</v>
      </c>
      <c r="B18" s="11" t="s">
        <v>235</v>
      </c>
      <c r="C18" s="11"/>
      <c r="D18" s="11" t="s">
        <v>235</v>
      </c>
      <c r="E18" s="6" t="s">
        <v>17</v>
      </c>
      <c r="F18" s="6" t="str">
        <f>IFERROR(VLOOKUP(Povinne[[#This Row],[Oblast]],Init!$A$2:$D$20,4,FALSE),"")</f>
        <v>03_DAT</v>
      </c>
      <c r="G18" s="13"/>
      <c r="H18" s="14" t="str">
        <f>IFERROR(VLOOKUP(Povinne[[#This Row],[Podoblast]],Init!$F$2:$G$20,2,FALSE),"")</f>
        <v/>
      </c>
      <c r="I18" s="12">
        <v>9</v>
      </c>
      <c r="J18" s="13" t="s">
        <v>116</v>
      </c>
      <c r="K18" s="13" t="s">
        <v>117</v>
      </c>
      <c r="L18" s="33"/>
      <c r="M18" s="34"/>
    </row>
    <row r="19" spans="1:13" x14ac:dyDescent="0.3">
      <c r="A19" s="10" t="str">
        <f>Povinne[[#This Row],[ID_Oblast]]&amp;"_"&amp;TEXT(Povinne[[#This Row],[ID_cislo]],"000")&amp;IF(Povinne[[#This Row],[ID_Podoblast]]="","","_"&amp;Povinne[[#This Row],[ID_Podoblast]])</f>
        <v>03_DAT_010</v>
      </c>
      <c r="B19" s="11" t="s">
        <v>235</v>
      </c>
      <c r="C19" s="11"/>
      <c r="D19" s="11" t="s">
        <v>235</v>
      </c>
      <c r="E19" s="6" t="s">
        <v>17</v>
      </c>
      <c r="F19" s="6" t="str">
        <f>IFERROR(VLOOKUP(Povinne[[#This Row],[Oblast]],Init!$A$2:$D$20,4,FALSE),"")</f>
        <v>03_DAT</v>
      </c>
      <c r="G19" s="13"/>
      <c r="H19" s="14" t="str">
        <f>IFERROR(VLOOKUP(Povinne[[#This Row],[Podoblast]],Init!$F$2:$G$20,2,FALSE),"")</f>
        <v/>
      </c>
      <c r="I19" s="12">
        <v>10</v>
      </c>
      <c r="J19" s="13" t="s">
        <v>118</v>
      </c>
      <c r="K19" s="13" t="s">
        <v>119</v>
      </c>
      <c r="L19" s="33"/>
      <c r="M19" s="34"/>
    </row>
    <row r="20" spans="1:13" ht="28.8" x14ac:dyDescent="0.3">
      <c r="A20" s="10" t="str">
        <f>Povinne[[#This Row],[ID_Oblast]]&amp;"_"&amp;TEXT(Povinne[[#This Row],[ID_cislo]],"000")&amp;IF(Povinne[[#This Row],[ID_Podoblast]]="","","_"&amp;Povinne[[#This Row],[ID_Podoblast]])</f>
        <v>03_DAT_011</v>
      </c>
      <c r="B20" s="11" t="s">
        <v>235</v>
      </c>
      <c r="C20" s="11"/>
      <c r="D20" s="11" t="s">
        <v>235</v>
      </c>
      <c r="E20" s="6" t="s">
        <v>17</v>
      </c>
      <c r="F20" s="6" t="str">
        <f>IFERROR(VLOOKUP(Povinne[[#This Row],[Oblast]],Init!$A$2:$D$20,4,FALSE),"")</f>
        <v>03_DAT</v>
      </c>
      <c r="G20" s="13"/>
      <c r="H20" s="14" t="str">
        <f>IFERROR(VLOOKUP(Povinne[[#This Row],[Podoblast]],Init!$F$2:$G$20,2,FALSE),"")</f>
        <v/>
      </c>
      <c r="I20" s="12">
        <v>11</v>
      </c>
      <c r="J20" s="13" t="s">
        <v>120</v>
      </c>
      <c r="K20" s="13" t="s">
        <v>121</v>
      </c>
      <c r="L20" s="33"/>
      <c r="M20" s="34"/>
    </row>
    <row r="21" spans="1:13" ht="28.8" x14ac:dyDescent="0.3">
      <c r="A21" s="10" t="str">
        <f>Povinne[[#This Row],[ID_Oblast]]&amp;"_"&amp;TEXT(Povinne[[#This Row],[ID_cislo]],"000")&amp;IF(Povinne[[#This Row],[ID_Podoblast]]="","","_"&amp;Povinne[[#This Row],[ID_Podoblast]])</f>
        <v>05_UŽR_001</v>
      </c>
      <c r="B21" s="11" t="s">
        <v>235</v>
      </c>
      <c r="C21" s="11"/>
      <c r="D21" s="11" t="s">
        <v>236</v>
      </c>
      <c r="E21" s="6" t="s">
        <v>27</v>
      </c>
      <c r="F21" s="6" t="str">
        <f>IFERROR(VLOOKUP(Povinne[[#This Row],[Oblast]],Init!$A$2:$D$20,4,FALSE),"")</f>
        <v>05_UŽR</v>
      </c>
      <c r="G21" s="13"/>
      <c r="H21" s="14" t="str">
        <f>IFERROR(VLOOKUP(Povinne[[#This Row],[Podoblast]],Init!$F$2:$G$20,2,FALSE),"")</f>
        <v/>
      </c>
      <c r="I21" s="12">
        <v>1</v>
      </c>
      <c r="J21" s="13" t="s">
        <v>27</v>
      </c>
      <c r="K21" s="13" t="s">
        <v>125</v>
      </c>
      <c r="L21" s="33"/>
      <c r="M21" s="34"/>
    </row>
    <row r="22" spans="1:13" ht="28.8" x14ac:dyDescent="0.3">
      <c r="A22" s="10" t="str">
        <f>Povinne[[#This Row],[ID_Oblast]]&amp;"_"&amp;TEXT(Povinne[[#This Row],[ID_cislo]],"000")&amp;IF(Povinne[[#This Row],[ID_Podoblast]]="","","_"&amp;Povinne[[#This Row],[ID_Podoblast]])</f>
        <v>05_UŽR_002</v>
      </c>
      <c r="B22" s="11" t="s">
        <v>235</v>
      </c>
      <c r="C22" s="11"/>
      <c r="D22" s="11" t="s">
        <v>236</v>
      </c>
      <c r="E22" s="6" t="s">
        <v>27</v>
      </c>
      <c r="F22" s="6" t="str">
        <f>IFERROR(VLOOKUP(Povinne[[#This Row],[Oblast]],Init!$A$2:$D$20,4,FALSE),"")</f>
        <v>05_UŽR</v>
      </c>
      <c r="G22" s="13"/>
      <c r="H22" s="14" t="str">
        <f>IFERROR(VLOOKUP(Povinne[[#This Row],[Podoblast]],Init!$F$2:$G$20,2,FALSE),"")</f>
        <v/>
      </c>
      <c r="I22" s="12">
        <v>2</v>
      </c>
      <c r="J22" s="13" t="s">
        <v>126</v>
      </c>
      <c r="K22" s="13" t="s">
        <v>127</v>
      </c>
      <c r="L22" s="33"/>
      <c r="M22" s="34"/>
    </row>
    <row r="23" spans="1:13" ht="28.8" x14ac:dyDescent="0.3">
      <c r="A23" s="10" t="str">
        <f>Povinne[[#This Row],[ID_Oblast]]&amp;"_"&amp;TEXT(Povinne[[#This Row],[ID_cislo]],"000")&amp;IF(Povinne[[#This Row],[ID_Podoblast]]="","","_"&amp;Povinne[[#This Row],[ID_Podoblast]])</f>
        <v>05_UŽR_003</v>
      </c>
      <c r="B23" s="11" t="s">
        <v>235</v>
      </c>
      <c r="C23" s="11"/>
      <c r="D23" s="11" t="s">
        <v>236</v>
      </c>
      <c r="E23" s="6" t="s">
        <v>27</v>
      </c>
      <c r="F23" s="6" t="str">
        <f>IFERROR(VLOOKUP(Povinne[[#This Row],[Oblast]],Init!$A$2:$D$20,4,FALSE),"")</f>
        <v>05_UŽR</v>
      </c>
      <c r="G23" s="13"/>
      <c r="H23" s="6" t="str">
        <f>IFERROR(VLOOKUP(Povinne[[#This Row],[Podoblast]],Init!$F$2:$G$20,2,FALSE),"")</f>
        <v/>
      </c>
      <c r="I23" s="12">
        <v>3</v>
      </c>
      <c r="J23" s="13" t="s">
        <v>128</v>
      </c>
      <c r="K23" s="13" t="s">
        <v>129</v>
      </c>
      <c r="L23" s="33"/>
      <c r="M23" s="34"/>
    </row>
    <row r="24" spans="1:13" ht="57.6" x14ac:dyDescent="0.3">
      <c r="A24" s="10" t="str">
        <f>Povinne[[#This Row],[ID_Oblast]]&amp;"_"&amp;TEXT(Povinne[[#This Row],[ID_cislo]],"000")&amp;IF(Povinne[[#This Row],[ID_Podoblast]]="","","_"&amp;Povinne[[#This Row],[ID_Podoblast]])</f>
        <v>06_OBF_003</v>
      </c>
      <c r="B24" s="11" t="s">
        <v>235</v>
      </c>
      <c r="C24" s="11"/>
      <c r="D24" s="11" t="s">
        <v>236</v>
      </c>
      <c r="E24" s="6" t="s">
        <v>30</v>
      </c>
      <c r="F24" s="6" t="str">
        <f>IFERROR(VLOOKUP(Povinne[[#This Row],[Oblast]],Init!$A$2:$D$20,4,FALSE),"")</f>
        <v>06_OBF</v>
      </c>
      <c r="G24" s="13"/>
      <c r="H24" s="14" t="str">
        <f>IFERROR(VLOOKUP(Povinne[[#This Row],[Podoblast]],Init!$F$2:$G$20,2,FALSE),"")</f>
        <v/>
      </c>
      <c r="I24" s="12">
        <v>3</v>
      </c>
      <c r="J24" s="13" t="s">
        <v>140</v>
      </c>
      <c r="K24" s="13" t="s">
        <v>141</v>
      </c>
      <c r="L24" s="33"/>
      <c r="M24" s="34"/>
    </row>
    <row r="25" spans="1:13" x14ac:dyDescent="0.3">
      <c r="A25" s="10" t="str">
        <f>Povinne[[#This Row],[ID_Oblast]]&amp;"_"&amp;TEXT(Povinne[[#This Row],[ID_cislo]],"000")&amp;IF(Povinne[[#This Row],[ID_Podoblast]]="","","_"&amp;Povinne[[#This Row],[ID_Podoblast]])</f>
        <v>06_OBF_005</v>
      </c>
      <c r="B25" s="11" t="s">
        <v>235</v>
      </c>
      <c r="C25" s="11"/>
      <c r="D25" s="11" t="s">
        <v>236</v>
      </c>
      <c r="E25" s="6" t="s">
        <v>30</v>
      </c>
      <c r="F25" s="6" t="str">
        <f>IFERROR(VLOOKUP(Povinne[[#This Row],[Oblast]],Init!$A$2:$D$20,4,FALSE),"")</f>
        <v>06_OBF</v>
      </c>
      <c r="G25" s="13"/>
      <c r="H25" s="14" t="str">
        <f>IFERROR(VLOOKUP(Povinne[[#This Row],[Podoblast]],Init!$F$2:$G$20,2,FALSE),"")</f>
        <v/>
      </c>
      <c r="I25" s="12">
        <v>5</v>
      </c>
      <c r="J25" s="13" t="s">
        <v>144</v>
      </c>
      <c r="K25" s="13" t="s">
        <v>145</v>
      </c>
      <c r="L25" s="33"/>
      <c r="M25" s="34"/>
    </row>
    <row r="26" spans="1:13" x14ac:dyDescent="0.3">
      <c r="A26" s="10" t="str">
        <f>Povinne[[#This Row],[ID_Oblast]]&amp;"_"&amp;TEXT(Povinne[[#This Row],[ID_cislo]],"000")&amp;IF(Povinne[[#This Row],[ID_Podoblast]]="","","_"&amp;Povinne[[#This Row],[ID_Podoblast]])</f>
        <v>07_OPR_001</v>
      </c>
      <c r="B26" s="11" t="s">
        <v>235</v>
      </c>
      <c r="C26" s="11"/>
      <c r="D26" s="11" t="s">
        <v>236</v>
      </c>
      <c r="E26" s="6" t="s">
        <v>35</v>
      </c>
      <c r="F26" s="6" t="str">
        <f>IFERROR(VLOOKUP(Povinne[[#This Row],[Oblast]],Init!$A$2:$D$20,4,FALSE),"")</f>
        <v>07_OPR</v>
      </c>
      <c r="G26" s="13"/>
      <c r="H26" s="14" t="str">
        <f>IFERROR(VLOOKUP(Povinne[[#This Row],[Podoblast]],Init!$F$2:$G$20,2,FALSE),"")</f>
        <v/>
      </c>
      <c r="I26" s="12">
        <v>1</v>
      </c>
      <c r="J26" s="13" t="s">
        <v>146</v>
      </c>
      <c r="K26" s="13" t="s">
        <v>147</v>
      </c>
      <c r="L26" s="33"/>
      <c r="M26" s="34"/>
    </row>
    <row r="27" spans="1:13" ht="28.8" x14ac:dyDescent="0.3">
      <c r="A27" s="10" t="str">
        <f>Povinne[[#This Row],[ID_Oblast]]&amp;"_"&amp;TEXT(Povinne[[#This Row],[ID_cislo]],"000")&amp;IF(Povinne[[#This Row],[ID_Podoblast]]="","","_"&amp;Povinne[[#This Row],[ID_Podoblast]])</f>
        <v>07_OPR_002</v>
      </c>
      <c r="B27" s="11" t="s">
        <v>235</v>
      </c>
      <c r="C27" s="11"/>
      <c r="D27" s="11" t="s">
        <v>235</v>
      </c>
      <c r="E27" s="6" t="s">
        <v>35</v>
      </c>
      <c r="F27" s="6" t="str">
        <f>IFERROR(VLOOKUP(Povinne[[#This Row],[Oblast]],Init!$A$2:$D$20,4,FALSE),"")</f>
        <v>07_OPR</v>
      </c>
      <c r="G27" s="13"/>
      <c r="H27" s="14" t="str">
        <f>IFERROR(VLOOKUP(Povinne[[#This Row],[Podoblast]],Init!$F$2:$G$20,2,FALSE),"")</f>
        <v/>
      </c>
      <c r="I27" s="12">
        <v>2</v>
      </c>
      <c r="J27" s="13" t="s">
        <v>148</v>
      </c>
      <c r="K27" s="13" t="s">
        <v>149</v>
      </c>
      <c r="L27" s="33"/>
      <c r="M27" s="34"/>
    </row>
    <row r="28" spans="1:13" ht="28.8" x14ac:dyDescent="0.3">
      <c r="A28" s="10" t="str">
        <f>Povinne[[#This Row],[ID_Oblast]]&amp;"_"&amp;TEXT(Povinne[[#This Row],[ID_cislo]],"000")&amp;IF(Povinne[[#This Row],[ID_Podoblast]]="","","_"&amp;Povinne[[#This Row],[ID_Podoblast]])</f>
        <v>07_OPR_003</v>
      </c>
      <c r="B28" s="11" t="s">
        <v>235</v>
      </c>
      <c r="C28" s="11"/>
      <c r="D28" s="11" t="s">
        <v>235</v>
      </c>
      <c r="E28" s="6" t="s">
        <v>35</v>
      </c>
      <c r="F28" s="6" t="str">
        <f>IFERROR(VLOOKUP(Povinne[[#This Row],[Oblast]],Init!$A$2:$D$20,4,FALSE),"")</f>
        <v>07_OPR</v>
      </c>
      <c r="G28" s="13"/>
      <c r="H28" s="14" t="str">
        <f>IFERROR(VLOOKUP(Povinne[[#This Row],[Podoblast]],Init!$F$2:$G$20,2,FALSE),"")</f>
        <v/>
      </c>
      <c r="I28" s="12">
        <v>3</v>
      </c>
      <c r="J28" s="13" t="s">
        <v>150</v>
      </c>
      <c r="K28" s="13" t="s">
        <v>151</v>
      </c>
      <c r="L28" s="33"/>
      <c r="M28" s="34"/>
    </row>
    <row r="29" spans="1:13" ht="72" x14ac:dyDescent="0.3">
      <c r="A29" s="10" t="str">
        <f>Povinne[[#This Row],[ID_Oblast]]&amp;"_"&amp;TEXT(Povinne[[#This Row],[ID_cislo]],"000")&amp;IF(Povinne[[#This Row],[ID_Podoblast]]="","","_"&amp;Povinne[[#This Row],[ID_Podoblast]])</f>
        <v>07_OPR_004</v>
      </c>
      <c r="B29" s="11" t="s">
        <v>235</v>
      </c>
      <c r="C29" s="11"/>
      <c r="D29" s="11" t="s">
        <v>235</v>
      </c>
      <c r="E29" s="6" t="s">
        <v>35</v>
      </c>
      <c r="F29" s="6" t="str">
        <f>IFERROR(VLOOKUP(Povinne[[#This Row],[Oblast]],Init!$A$2:$D$20,4,FALSE),"")</f>
        <v>07_OPR</v>
      </c>
      <c r="G29" s="13"/>
      <c r="H29" s="14" t="str">
        <f>IFERROR(VLOOKUP(Povinne[[#This Row],[Podoblast]],Init!$F$2:$G$20,2,FALSE),"")</f>
        <v/>
      </c>
      <c r="I29" s="12">
        <v>4</v>
      </c>
      <c r="J29" s="13" t="s">
        <v>152</v>
      </c>
      <c r="K29" s="13" t="s">
        <v>153</v>
      </c>
      <c r="L29" s="33"/>
      <c r="M29" s="34"/>
    </row>
    <row r="30" spans="1:13" ht="28.8" x14ac:dyDescent="0.3">
      <c r="A30" s="10" t="str">
        <f>Povinne[[#This Row],[ID_Oblast]]&amp;"_"&amp;TEXT(Povinne[[#This Row],[ID_cislo]],"000")&amp;IF(Povinne[[#This Row],[ID_Podoblast]]="","","_"&amp;Povinne[[#This Row],[ID_Podoblast]])</f>
        <v>07_OPR_005</v>
      </c>
      <c r="B30" s="11" t="s">
        <v>235</v>
      </c>
      <c r="C30" s="11"/>
      <c r="D30" s="11" t="s">
        <v>235</v>
      </c>
      <c r="E30" s="6" t="s">
        <v>35</v>
      </c>
      <c r="F30" s="6" t="str">
        <f>IFERROR(VLOOKUP(Povinne[[#This Row],[Oblast]],Init!$A$2:$D$20,4,FALSE),"")</f>
        <v>07_OPR</v>
      </c>
      <c r="G30" s="13"/>
      <c r="H30" s="14" t="str">
        <f>IFERROR(VLOOKUP(Povinne[[#This Row],[Podoblast]],Init!$F$2:$G$20,2,FALSE),"")</f>
        <v/>
      </c>
      <c r="I30" s="12">
        <v>5</v>
      </c>
      <c r="J30" s="13" t="s">
        <v>154</v>
      </c>
      <c r="K30" s="13" t="s">
        <v>155</v>
      </c>
      <c r="L30" s="33"/>
      <c r="M30" s="34"/>
    </row>
    <row r="31" spans="1:13" ht="28.8" x14ac:dyDescent="0.3">
      <c r="A31" s="10" t="str">
        <f>Povinne[[#This Row],[ID_Oblast]]&amp;"_"&amp;TEXT(Povinne[[#This Row],[ID_cislo]],"000")&amp;IF(Povinne[[#This Row],[ID_Podoblast]]="","","_"&amp;Povinne[[#This Row],[ID_Podoblast]])</f>
        <v>07_OPR_006</v>
      </c>
      <c r="B31" s="11" t="s">
        <v>235</v>
      </c>
      <c r="C31" s="11"/>
      <c r="D31" s="11" t="s">
        <v>236</v>
      </c>
      <c r="E31" s="6" t="s">
        <v>35</v>
      </c>
      <c r="F31" s="6" t="str">
        <f>IFERROR(VLOOKUP(Povinne[[#This Row],[Oblast]],Init!$A$2:$D$20,4,FALSE),"")</f>
        <v>07_OPR</v>
      </c>
      <c r="G31" s="13"/>
      <c r="H31" s="14" t="str">
        <f>IFERROR(VLOOKUP(Povinne[[#This Row],[Podoblast]],Init!$F$2:$G$20,2,FALSE),"")</f>
        <v/>
      </c>
      <c r="I31" s="12">
        <v>6</v>
      </c>
      <c r="J31" s="13" t="s">
        <v>156</v>
      </c>
      <c r="K31" s="13" t="s">
        <v>157</v>
      </c>
      <c r="L31" s="33"/>
      <c r="M31" s="34"/>
    </row>
    <row r="32" spans="1:13" ht="43.2" x14ac:dyDescent="0.3">
      <c r="A32" s="10" t="str">
        <f>Povinne[[#This Row],[ID_Oblast]]&amp;"_"&amp;TEXT(Povinne[[#This Row],[ID_cislo]],"000")&amp;IF(Povinne[[#This Row],[ID_Podoblast]]="","","_"&amp;Povinne[[#This Row],[ID_Podoblast]])</f>
        <v>08_ÚDR_001_POČ</v>
      </c>
      <c r="B32" s="11" t="s">
        <v>235</v>
      </c>
      <c r="C32" s="11"/>
      <c r="D32" s="11" t="s">
        <v>235</v>
      </c>
      <c r="E32" s="6" t="s">
        <v>257</v>
      </c>
      <c r="F32" s="6" t="str">
        <f>IFERROR(VLOOKUP(Povinne[[#This Row],[Oblast]],Init!$A$2:$D$20,4,FALSE),"")</f>
        <v>08_ÚDR</v>
      </c>
      <c r="G32" s="13" t="s">
        <v>10</v>
      </c>
      <c r="H32" s="6" t="str">
        <f>IFERROR(VLOOKUP(Povinne[[#This Row],[Podoblast]],Init!$F$2:$G$20,2,FALSE),"")</f>
        <v>POČ</v>
      </c>
      <c r="I32" s="12">
        <v>1</v>
      </c>
      <c r="J32" s="13" t="s">
        <v>158</v>
      </c>
      <c r="K32" s="13" t="s">
        <v>159</v>
      </c>
      <c r="L32" s="33"/>
      <c r="M32" s="34"/>
    </row>
    <row r="33" spans="1:13" ht="86.4" x14ac:dyDescent="0.3">
      <c r="A33" s="10" t="str">
        <f>Povinne[[#This Row],[ID_Oblast]]&amp;"_"&amp;TEXT(Povinne[[#This Row],[ID_cislo]],"000")&amp;IF(Povinne[[#This Row],[ID_Podoblast]]="","","_"&amp;Povinne[[#This Row],[ID_Podoblast]])</f>
        <v>08_ÚDR_002_POČ</v>
      </c>
      <c r="B33" s="11" t="s">
        <v>235</v>
      </c>
      <c r="C33" s="11"/>
      <c r="D33" s="11" t="s">
        <v>235</v>
      </c>
      <c r="E33" s="6" t="s">
        <v>257</v>
      </c>
      <c r="F33" s="6" t="str">
        <f>IFERROR(VLOOKUP(Povinne[[#This Row],[Oblast]],Init!$A$2:$D$20,4,FALSE),"")</f>
        <v>08_ÚDR</v>
      </c>
      <c r="G33" s="13" t="s">
        <v>10</v>
      </c>
      <c r="H33" s="6" t="str">
        <f>IFERROR(VLOOKUP(Povinne[[#This Row],[Podoblast]],Init!$F$2:$G$20,2,FALSE),"")</f>
        <v>POČ</v>
      </c>
      <c r="I33" s="12">
        <v>2</v>
      </c>
      <c r="J33" s="13" t="s">
        <v>160</v>
      </c>
      <c r="K33" s="13" t="s">
        <v>161</v>
      </c>
      <c r="L33" s="33"/>
      <c r="M33" s="34"/>
    </row>
    <row r="34" spans="1:13" ht="43.2" x14ac:dyDescent="0.3">
      <c r="A34" s="10" t="str">
        <f>Povinne[[#This Row],[ID_Oblast]]&amp;"_"&amp;TEXT(Povinne[[#This Row],[ID_cislo]],"000")&amp;IF(Povinne[[#This Row],[ID_Podoblast]]="","","_"&amp;Povinne[[#This Row],[ID_Podoblast]])</f>
        <v>08_ÚDR_003_POČ</v>
      </c>
      <c r="B34" s="11" t="s">
        <v>235</v>
      </c>
      <c r="C34" s="11"/>
      <c r="D34" s="11" t="s">
        <v>235</v>
      </c>
      <c r="E34" s="6" t="s">
        <v>257</v>
      </c>
      <c r="F34" s="6" t="str">
        <f>IFERROR(VLOOKUP(Povinne[[#This Row],[Oblast]],Init!$A$2:$D$20,4,FALSE),"")</f>
        <v>08_ÚDR</v>
      </c>
      <c r="G34" s="13" t="s">
        <v>10</v>
      </c>
      <c r="H34" s="14" t="str">
        <f>IFERROR(VLOOKUP(Povinne[[#This Row],[Podoblast]],Init!$F$2:$G$20,2,FALSE),"")</f>
        <v>POČ</v>
      </c>
      <c r="I34" s="12">
        <v>3</v>
      </c>
      <c r="J34" s="13" t="s">
        <v>162</v>
      </c>
      <c r="K34" s="13" t="s">
        <v>163</v>
      </c>
      <c r="L34" s="33"/>
      <c r="M34" s="34"/>
    </row>
    <row r="35" spans="1:13" ht="43.2" x14ac:dyDescent="0.3">
      <c r="A35" s="10" t="str">
        <f>Povinne[[#This Row],[ID_Oblast]]&amp;"_"&amp;TEXT(Povinne[[#This Row],[ID_cislo]],"000")&amp;IF(Povinne[[#This Row],[ID_Podoblast]]="","","_"&amp;Povinne[[#This Row],[ID_Podoblast]])</f>
        <v>08_ÚDR_004_POČ</v>
      </c>
      <c r="B35" s="11" t="s">
        <v>235</v>
      </c>
      <c r="C35" s="11"/>
      <c r="D35" s="11" t="s">
        <v>235</v>
      </c>
      <c r="E35" s="6" t="s">
        <v>257</v>
      </c>
      <c r="F35" s="6" t="str">
        <f>IFERROR(VLOOKUP(Povinne[[#This Row],[Oblast]],Init!$A$2:$D$20,4,FALSE),"")</f>
        <v>08_ÚDR</v>
      </c>
      <c r="G35" s="13" t="s">
        <v>10</v>
      </c>
      <c r="H35" s="14" t="str">
        <f>IFERROR(VLOOKUP(Povinne[[#This Row],[Podoblast]],Init!$F$2:$G$20,2,FALSE),"")</f>
        <v>POČ</v>
      </c>
      <c r="I35" s="12">
        <v>4</v>
      </c>
      <c r="J35" s="13" t="s">
        <v>164</v>
      </c>
      <c r="K35" s="13" t="s">
        <v>165</v>
      </c>
      <c r="L35" s="33"/>
      <c r="M35" s="34"/>
    </row>
    <row r="36" spans="1:13" ht="144" x14ac:dyDescent="0.3">
      <c r="A36" s="10" t="str">
        <f>Povinne[[#This Row],[ID_Oblast]]&amp;"_"&amp;TEXT(Povinne[[#This Row],[ID_cislo]],"000")&amp;IF(Povinne[[#This Row],[ID_Podoblast]]="","","_"&amp;Povinne[[#This Row],[ID_Podoblast]])</f>
        <v>08_ÚDR_005_POČ</v>
      </c>
      <c r="B36" s="11" t="s">
        <v>235</v>
      </c>
      <c r="C36" s="11"/>
      <c r="D36" s="11" t="s">
        <v>236</v>
      </c>
      <c r="E36" s="6" t="s">
        <v>257</v>
      </c>
      <c r="F36" s="6" t="str">
        <f>IFERROR(VLOOKUP(Povinne[[#This Row],[Oblast]],Init!$A$2:$D$20,4,FALSE),"")</f>
        <v>08_ÚDR</v>
      </c>
      <c r="G36" s="13" t="s">
        <v>10</v>
      </c>
      <c r="H36" s="14" t="str">
        <f>IFERROR(VLOOKUP(Povinne[[#This Row],[Podoblast]],Init!$F$2:$G$20,2,FALSE),"")</f>
        <v>POČ</v>
      </c>
      <c r="I36" s="12">
        <v>5</v>
      </c>
      <c r="J36" s="13" t="s">
        <v>166</v>
      </c>
      <c r="K36" s="13" t="s">
        <v>167</v>
      </c>
      <c r="L36" s="33"/>
      <c r="M36" s="34"/>
    </row>
    <row r="37" spans="1:13" ht="43.2" x14ac:dyDescent="0.3">
      <c r="A37" s="10" t="str">
        <f>Povinne[[#This Row],[ID_Oblast]]&amp;"_"&amp;TEXT(Povinne[[#This Row],[ID_cislo]],"000")&amp;IF(Povinne[[#This Row],[ID_Podoblast]]="","","_"&amp;Povinne[[#This Row],[ID_Podoblast]])</f>
        <v>08_ÚDR_007_POČ</v>
      </c>
      <c r="B37" s="11" t="s">
        <v>235</v>
      </c>
      <c r="C37" s="11"/>
      <c r="D37" s="11" t="s">
        <v>236</v>
      </c>
      <c r="E37" s="6" t="s">
        <v>257</v>
      </c>
      <c r="F37" s="6" t="str">
        <f>IFERROR(VLOOKUP(Povinne[[#This Row],[Oblast]],Init!$A$2:$D$20,4,FALSE),"")</f>
        <v>08_ÚDR</v>
      </c>
      <c r="G37" s="13" t="s">
        <v>10</v>
      </c>
      <c r="H37" s="6" t="str">
        <f>IFERROR(VLOOKUP(Povinne[[#This Row],[Podoblast]],Init!$F$2:$G$20,2,FALSE),"")</f>
        <v>POČ</v>
      </c>
      <c r="I37" s="12">
        <v>7</v>
      </c>
      <c r="J37" s="13" t="s">
        <v>170</v>
      </c>
      <c r="K37" s="13" t="s">
        <v>171</v>
      </c>
      <c r="L37" s="33"/>
      <c r="M37" s="34"/>
    </row>
    <row r="38" spans="1:13" ht="57.6" x14ac:dyDescent="0.3">
      <c r="A38" s="10" t="str">
        <f>Povinne[[#This Row],[ID_Oblast]]&amp;"_"&amp;TEXT(Povinne[[#This Row],[ID_cislo]],"000")&amp;IF(Povinne[[#This Row],[ID_Podoblast]]="","","_"&amp;Povinne[[#This Row],[ID_Podoblast]])</f>
        <v>08_ÚDR_008_POČ</v>
      </c>
      <c r="B38" s="11" t="s">
        <v>235</v>
      </c>
      <c r="C38" s="11"/>
      <c r="D38" s="11" t="s">
        <v>236</v>
      </c>
      <c r="E38" s="6" t="s">
        <v>257</v>
      </c>
      <c r="F38" s="6" t="str">
        <f>IFERROR(VLOOKUP(Povinne[[#This Row],[Oblast]],Init!$A$2:$D$20,4,FALSE),"")</f>
        <v>08_ÚDR</v>
      </c>
      <c r="G38" s="13" t="s">
        <v>10</v>
      </c>
      <c r="H38" s="14" t="str">
        <f>IFERROR(VLOOKUP(Povinne[[#This Row],[Podoblast]],Init!$F$2:$G$20,2,FALSE),"")</f>
        <v>POČ</v>
      </c>
      <c r="I38" s="12">
        <v>8</v>
      </c>
      <c r="J38" s="13" t="s">
        <v>172</v>
      </c>
      <c r="K38" s="13" t="s">
        <v>173</v>
      </c>
      <c r="L38" s="33"/>
      <c r="M38" s="34"/>
    </row>
    <row r="39" spans="1:13" ht="28.8" x14ac:dyDescent="0.3">
      <c r="A39" s="10" t="str">
        <f>Povinne[[#This Row],[ID_Oblast]]&amp;"_"&amp;TEXT(Povinne[[#This Row],[ID_cislo]],"000")&amp;IF(Povinne[[#This Row],[ID_Podoblast]]="","","_"&amp;Povinne[[#This Row],[ID_Podoblast]])</f>
        <v>09_ENE_001</v>
      </c>
      <c r="B39" s="11" t="s">
        <v>235</v>
      </c>
      <c r="C39" s="11"/>
      <c r="D39" s="11" t="s">
        <v>235</v>
      </c>
      <c r="E39" s="6" t="s">
        <v>44</v>
      </c>
      <c r="F39" s="6" t="str">
        <f>IFERROR(VLOOKUP(Povinne[[#This Row],[Oblast]],Init!$A$2:$D$20,4,FALSE),"")</f>
        <v>09_ENE</v>
      </c>
      <c r="G39" s="13"/>
      <c r="H39" s="6" t="str">
        <f>IFERROR(VLOOKUP(Povinne[[#This Row],[Podoblast]],Init!$F$2:$G$20,2,FALSE),"")</f>
        <v/>
      </c>
      <c r="I39" s="12">
        <v>1</v>
      </c>
      <c r="J39" s="13" t="s">
        <v>178</v>
      </c>
      <c r="K39" s="13" t="s">
        <v>179</v>
      </c>
      <c r="L39" s="33"/>
      <c r="M39" s="34"/>
    </row>
    <row r="40" spans="1:13" ht="28.8" x14ac:dyDescent="0.3">
      <c r="A40" s="10" t="str">
        <f>Povinne[[#This Row],[ID_Oblast]]&amp;"_"&amp;TEXT(Povinne[[#This Row],[ID_cislo]],"000")&amp;IF(Povinne[[#This Row],[ID_Podoblast]]="","","_"&amp;Povinne[[#This Row],[ID_Podoblast]])</f>
        <v>09_ENE_002</v>
      </c>
      <c r="B40" s="11" t="s">
        <v>235</v>
      </c>
      <c r="C40" s="11"/>
      <c r="D40" s="11" t="s">
        <v>235</v>
      </c>
      <c r="E40" s="6" t="s">
        <v>44</v>
      </c>
      <c r="F40" s="6" t="str">
        <f>IFERROR(VLOOKUP(Povinne[[#This Row],[Oblast]],Init!$A$2:$D$20,4,FALSE),"")</f>
        <v>09_ENE</v>
      </c>
      <c r="G40" s="13"/>
      <c r="H40" s="14" t="str">
        <f>IFERROR(VLOOKUP(Povinne[[#This Row],[Podoblast]],Init!$F$2:$G$20,2,FALSE),"")</f>
        <v/>
      </c>
      <c r="I40" s="12">
        <v>2</v>
      </c>
      <c r="J40" s="13" t="s">
        <v>180</v>
      </c>
      <c r="K40" s="13" t="s">
        <v>181</v>
      </c>
      <c r="L40" s="33"/>
      <c r="M40" s="34"/>
    </row>
    <row r="41" spans="1:13" ht="28.8" x14ac:dyDescent="0.3">
      <c r="A41" s="10" t="str">
        <f>Povinne[[#This Row],[ID_Oblast]]&amp;"_"&amp;TEXT(Povinne[[#This Row],[ID_cislo]],"000")&amp;IF(Povinne[[#This Row],[ID_Podoblast]]="","","_"&amp;Povinne[[#This Row],[ID_Podoblast]])</f>
        <v>09_ENE_003</v>
      </c>
      <c r="B41" s="11" t="s">
        <v>235</v>
      </c>
      <c r="C41" s="11"/>
      <c r="D41" s="11" t="s">
        <v>235</v>
      </c>
      <c r="E41" s="6" t="s">
        <v>44</v>
      </c>
      <c r="F41" s="6" t="str">
        <f>IFERROR(VLOOKUP(Povinne[[#This Row],[Oblast]],Init!$A$2:$D$20,4,FALSE),"")</f>
        <v>09_ENE</v>
      </c>
      <c r="G41" s="13"/>
      <c r="H41" s="6" t="str">
        <f>IFERROR(VLOOKUP(Povinne[[#This Row],[Podoblast]],Init!$F$2:$G$20,2,FALSE),"")</f>
        <v/>
      </c>
      <c r="I41" s="12">
        <v>3</v>
      </c>
      <c r="J41" s="13" t="s">
        <v>93</v>
      </c>
      <c r="K41" s="13" t="s">
        <v>182</v>
      </c>
      <c r="L41" s="33"/>
      <c r="M41" s="34"/>
    </row>
    <row r="42" spans="1:13" x14ac:dyDescent="0.3">
      <c r="A42" s="10" t="str">
        <f>Povinne[[#This Row],[ID_Oblast]]&amp;"_"&amp;TEXT(Povinne[[#This Row],[ID_cislo]],"000")&amp;IF(Povinne[[#This Row],[ID_Podoblast]]="","","_"&amp;Povinne[[#This Row],[ID_Podoblast]])</f>
        <v>09_ENE_004</v>
      </c>
      <c r="B42" s="11" t="s">
        <v>235</v>
      </c>
      <c r="C42" s="11"/>
      <c r="D42" s="11" t="s">
        <v>235</v>
      </c>
      <c r="E42" s="6" t="s">
        <v>44</v>
      </c>
      <c r="F42" s="6" t="str">
        <f>IFERROR(VLOOKUP(Povinne[[#This Row],[Oblast]],Init!$A$2:$D$20,4,FALSE),"")</f>
        <v>09_ENE</v>
      </c>
      <c r="G42" s="13"/>
      <c r="H42" s="6" t="str">
        <f>IFERROR(VLOOKUP(Povinne[[#This Row],[Podoblast]],Init!$F$2:$G$20,2,FALSE),"")</f>
        <v/>
      </c>
      <c r="I42" s="12">
        <v>4</v>
      </c>
      <c r="J42" s="13" t="s">
        <v>183</v>
      </c>
      <c r="K42" s="13" t="s">
        <v>184</v>
      </c>
      <c r="L42" s="33"/>
      <c r="M42" s="34"/>
    </row>
    <row r="43" spans="1:13" x14ac:dyDescent="0.3">
      <c r="A43" s="10" t="str">
        <f>Povinne[[#This Row],[ID_Oblast]]&amp;"_"&amp;TEXT(Povinne[[#This Row],[ID_cislo]],"000")&amp;IF(Povinne[[#This Row],[ID_Podoblast]]="","","_"&amp;Povinne[[#This Row],[ID_Podoblast]])</f>
        <v>09_ENE_005</v>
      </c>
      <c r="B43" s="11" t="s">
        <v>235</v>
      </c>
      <c r="C43" s="11"/>
      <c r="D43" s="11" t="s">
        <v>236</v>
      </c>
      <c r="E43" s="6" t="s">
        <v>44</v>
      </c>
      <c r="F43" s="6" t="str">
        <f>IFERROR(VLOOKUP(Povinne[[#This Row],[Oblast]],Init!$A$2:$D$20,4,FALSE),"")</f>
        <v>09_ENE</v>
      </c>
      <c r="G43" s="13"/>
      <c r="H43" s="6" t="str">
        <f>IFERROR(VLOOKUP(Povinne[[#This Row],[Podoblast]],Init!$F$2:$G$20,2,FALSE),"")</f>
        <v/>
      </c>
      <c r="I43" s="12">
        <v>5</v>
      </c>
      <c r="J43" s="13" t="s">
        <v>185</v>
      </c>
      <c r="K43" s="13" t="s">
        <v>186</v>
      </c>
      <c r="L43" s="33"/>
      <c r="M43" s="34"/>
    </row>
    <row r="44" spans="1:13" x14ac:dyDescent="0.3">
      <c r="A44" s="10" t="str">
        <f>Povinne[[#This Row],[ID_Oblast]]&amp;"_"&amp;TEXT(Povinne[[#This Row],[ID_cislo]],"000")&amp;IF(Povinne[[#This Row],[ID_Podoblast]]="","","_"&amp;Povinne[[#This Row],[ID_Podoblast]])</f>
        <v>09_ENE_006</v>
      </c>
      <c r="B44" s="11" t="s">
        <v>235</v>
      </c>
      <c r="C44" s="11"/>
      <c r="D44" s="11" t="s">
        <v>236</v>
      </c>
      <c r="E44" s="6" t="s">
        <v>44</v>
      </c>
      <c r="F44" s="6" t="str">
        <f>IFERROR(VLOOKUP(Povinne[[#This Row],[Oblast]],Init!$A$2:$D$20,4,FALSE),"")</f>
        <v>09_ENE</v>
      </c>
      <c r="G44" s="13"/>
      <c r="H44" s="6" t="str">
        <f>IFERROR(VLOOKUP(Povinne[[#This Row],[Podoblast]],Init!$F$2:$G$20,2,FALSE),"")</f>
        <v/>
      </c>
      <c r="I44" s="12">
        <v>6</v>
      </c>
      <c r="J44" s="13" t="s">
        <v>187</v>
      </c>
      <c r="K44" s="13" t="s">
        <v>188</v>
      </c>
      <c r="L44" s="33"/>
      <c r="M44" s="34"/>
    </row>
    <row r="45" spans="1:13" x14ac:dyDescent="0.3">
      <c r="A45" s="10" t="str">
        <f>Povinne[[#This Row],[ID_Oblast]]&amp;"_"&amp;TEXT(Povinne[[#This Row],[ID_cislo]],"000")&amp;IF(Povinne[[#This Row],[ID_Podoblast]]="","","_"&amp;Povinne[[#This Row],[ID_Podoblast]])</f>
        <v>09_ENE_007</v>
      </c>
      <c r="B45" s="11" t="s">
        <v>235</v>
      </c>
      <c r="C45" s="11"/>
      <c r="D45" s="11" t="s">
        <v>236</v>
      </c>
      <c r="E45" s="6" t="s">
        <v>44</v>
      </c>
      <c r="F45" s="6" t="str">
        <f>IFERROR(VLOOKUP(Povinne[[#This Row],[Oblast]],Init!$A$2:$D$20,4,FALSE),"")</f>
        <v>09_ENE</v>
      </c>
      <c r="G45" s="13"/>
      <c r="H45" s="6" t="str">
        <f>IFERROR(VLOOKUP(Povinne[[#This Row],[Podoblast]],Init!$F$2:$G$20,2,FALSE),"")</f>
        <v/>
      </c>
      <c r="I45" s="12">
        <v>7</v>
      </c>
      <c r="J45" s="13" t="s">
        <v>189</v>
      </c>
      <c r="K45" s="13" t="s">
        <v>190</v>
      </c>
      <c r="L45" s="33"/>
      <c r="M45" s="34"/>
    </row>
    <row r="46" spans="1:13" x14ac:dyDescent="0.3">
      <c r="A46" s="10" t="str">
        <f>Povinne[[#This Row],[ID_Oblast]]&amp;"_"&amp;TEXT(Povinne[[#This Row],[ID_cislo]],"000")&amp;IF(Povinne[[#This Row],[ID_Podoblast]]="","","_"&amp;Povinne[[#This Row],[ID_Podoblast]])</f>
        <v>09_ENE_008</v>
      </c>
      <c r="B46" s="11" t="s">
        <v>235</v>
      </c>
      <c r="C46" s="11"/>
      <c r="D46" s="11" t="s">
        <v>236</v>
      </c>
      <c r="E46" s="6" t="s">
        <v>44</v>
      </c>
      <c r="F46" s="6" t="str">
        <f>IFERROR(VLOOKUP(Povinne[[#This Row],[Oblast]],Init!$A$2:$D$20,4,FALSE),"")</f>
        <v>09_ENE</v>
      </c>
      <c r="G46" s="13"/>
      <c r="H46" s="6" t="str">
        <f>IFERROR(VLOOKUP(Povinne[[#This Row],[Podoblast]],Init!$F$2:$G$20,2,FALSE),"")</f>
        <v/>
      </c>
      <c r="I46" s="12">
        <v>8</v>
      </c>
      <c r="J46" s="13" t="s">
        <v>191</v>
      </c>
      <c r="K46" s="13" t="s">
        <v>192</v>
      </c>
      <c r="L46" s="33"/>
      <c r="M46" s="34"/>
    </row>
    <row r="47" spans="1:13" ht="57.6" x14ac:dyDescent="0.3">
      <c r="A47" s="10" t="str">
        <f>Povinne[[#This Row],[ID_Oblast]]&amp;"_"&amp;TEXT(Povinne[[#This Row],[ID_cislo]],"000")&amp;IF(Povinne[[#This Row],[ID_Podoblast]]="","","_"&amp;Povinne[[#This Row],[ID_Podoblast]])</f>
        <v>10_DOK_001</v>
      </c>
      <c r="B47" s="11" t="s">
        <v>235</v>
      </c>
      <c r="C47" s="11"/>
      <c r="D47" s="11" t="s">
        <v>235</v>
      </c>
      <c r="E47" s="6" t="s">
        <v>47</v>
      </c>
      <c r="F47" s="6" t="str">
        <f>IFERROR(VLOOKUP(Povinne[[#This Row],[Oblast]],Init!$A$2:$D$20,4,FALSE),"")</f>
        <v>10_DOK</v>
      </c>
      <c r="G47" s="13"/>
      <c r="H47" s="14" t="str">
        <f>IFERROR(VLOOKUP(Povinne[[#This Row],[Podoblast]],Init!$F$2:$G$20,2,FALSE),"")</f>
        <v/>
      </c>
      <c r="I47" s="12">
        <v>1</v>
      </c>
      <c r="J47" s="13" t="s">
        <v>197</v>
      </c>
      <c r="K47" s="13" t="s">
        <v>198</v>
      </c>
      <c r="L47" s="33"/>
      <c r="M47" s="34"/>
    </row>
    <row r="48" spans="1:13" ht="43.2" x14ac:dyDescent="0.3">
      <c r="A48" s="10" t="str">
        <f>Povinne[[#This Row],[ID_Oblast]]&amp;"_"&amp;TEXT(Povinne[[#This Row],[ID_cislo]],"000")&amp;IF(Povinne[[#This Row],[ID_Podoblast]]="","","_"&amp;Povinne[[#This Row],[ID_Podoblast]])</f>
        <v>10_DOK_002</v>
      </c>
      <c r="B48" s="11" t="s">
        <v>235</v>
      </c>
      <c r="C48" s="11"/>
      <c r="D48" s="11" t="s">
        <v>236</v>
      </c>
      <c r="E48" s="6" t="s">
        <v>47</v>
      </c>
      <c r="F48" s="6" t="str">
        <f>IFERROR(VLOOKUP(Povinne[[#This Row],[Oblast]],Init!$A$2:$D$20,4,FALSE),"")</f>
        <v>10_DOK</v>
      </c>
      <c r="G48" s="13"/>
      <c r="H48" s="14" t="str">
        <f>IFERROR(VLOOKUP(Povinne[[#This Row],[Podoblast]],Init!$F$2:$G$20,2,FALSE),"")</f>
        <v/>
      </c>
      <c r="I48" s="12">
        <v>2</v>
      </c>
      <c r="J48" s="13" t="s">
        <v>199</v>
      </c>
      <c r="K48" s="13" t="s">
        <v>200</v>
      </c>
      <c r="L48" s="33"/>
      <c r="M48" s="34"/>
    </row>
    <row r="49" spans="1:13" ht="28.8" x14ac:dyDescent="0.3">
      <c r="A49" s="10" t="str">
        <f>Povinne[[#This Row],[ID_Oblast]]&amp;"_"&amp;TEXT(Povinne[[#This Row],[ID_cislo]],"000")&amp;IF(Povinne[[#This Row],[ID_Podoblast]]="","","_"&amp;Povinne[[#This Row],[ID_Podoblast]])</f>
        <v>10_DOK_003</v>
      </c>
      <c r="B49" s="11" t="s">
        <v>235</v>
      </c>
      <c r="C49" s="11"/>
      <c r="D49" s="11" t="s">
        <v>236</v>
      </c>
      <c r="E49" s="6" t="s">
        <v>47</v>
      </c>
      <c r="F49" s="6" t="str">
        <f>IFERROR(VLOOKUP(Povinne[[#This Row],[Oblast]],Init!$A$2:$D$20,4,FALSE),"")</f>
        <v>10_DOK</v>
      </c>
      <c r="G49" s="13"/>
      <c r="H49" s="14" t="str">
        <f>IFERROR(VLOOKUP(Povinne[[#This Row],[Podoblast]],Init!$F$2:$G$20,2,FALSE),"")</f>
        <v/>
      </c>
      <c r="I49" s="12">
        <v>3</v>
      </c>
      <c r="J49" s="13" t="s">
        <v>201</v>
      </c>
      <c r="K49" s="13" t="s">
        <v>202</v>
      </c>
      <c r="L49" s="33"/>
      <c r="M49" s="34"/>
    </row>
    <row r="50" spans="1:13" ht="28.8" x14ac:dyDescent="0.3">
      <c r="A50" s="10" t="str">
        <f>Povinne[[#This Row],[ID_Oblast]]&amp;"_"&amp;TEXT(Povinne[[#This Row],[ID_cislo]],"000")&amp;IF(Povinne[[#This Row],[ID_Podoblast]]="","","_"&amp;Povinne[[#This Row],[ID_Podoblast]])</f>
        <v>10_DOK_005</v>
      </c>
      <c r="B50" s="11" t="s">
        <v>235</v>
      </c>
      <c r="C50" s="11"/>
      <c r="D50" s="11" t="s">
        <v>236</v>
      </c>
      <c r="E50" s="6" t="s">
        <v>47</v>
      </c>
      <c r="F50" s="6" t="str">
        <f>IFERROR(VLOOKUP(Povinne[[#This Row],[Oblast]],Init!$A$2:$D$20,4,FALSE),"")</f>
        <v>10_DOK</v>
      </c>
      <c r="G50" s="13"/>
      <c r="H50" s="14" t="str">
        <f>IFERROR(VLOOKUP(Povinne[[#This Row],[Podoblast]],Init!$F$2:$G$20,2,FALSE),"")</f>
        <v/>
      </c>
      <c r="I50" s="12">
        <v>5</v>
      </c>
      <c r="J50" s="13" t="s">
        <v>205</v>
      </c>
      <c r="K50" s="13" t="s">
        <v>206</v>
      </c>
      <c r="L50" s="33"/>
      <c r="M50" s="34"/>
    </row>
    <row r="51" spans="1:13" ht="43.2" x14ac:dyDescent="0.3">
      <c r="A51" s="10" t="str">
        <f>Povinne[[#This Row],[ID_Oblast]]&amp;"_"&amp;TEXT(Povinne[[#This Row],[ID_cislo]],"000")&amp;IF(Povinne[[#This Row],[ID_Podoblast]]="","","_"&amp;Povinne[[#This Row],[ID_Podoblast]])</f>
        <v>11_NÁJ_001</v>
      </c>
      <c r="B51" s="11" t="s">
        <v>235</v>
      </c>
      <c r="C51" s="11"/>
      <c r="D51" s="11" t="s">
        <v>235</v>
      </c>
      <c r="E51" s="6" t="s">
        <v>50</v>
      </c>
      <c r="F51" s="6" t="str">
        <f>IFERROR(VLOOKUP(Povinne[[#This Row],[Oblast]],Init!$A$2:$D$20,4,FALSE),"")</f>
        <v>11_NÁJ</v>
      </c>
      <c r="G51" s="13"/>
      <c r="H51" s="14" t="str">
        <f>IFERROR(VLOOKUP(Povinne[[#This Row],[Podoblast]],Init!$F$2:$G$20,2,FALSE),"")</f>
        <v/>
      </c>
      <c r="I51" s="12">
        <v>1</v>
      </c>
      <c r="J51" s="13" t="s">
        <v>211</v>
      </c>
      <c r="K51" s="13" t="s">
        <v>212</v>
      </c>
      <c r="L51" s="33"/>
      <c r="M51" s="34"/>
    </row>
    <row r="52" spans="1:13" ht="43.2" x14ac:dyDescent="0.3">
      <c r="A52" s="10" t="str">
        <f>Povinne[[#This Row],[ID_Oblast]]&amp;"_"&amp;TEXT(Povinne[[#This Row],[ID_cislo]],"000")&amp;IF(Povinne[[#This Row],[ID_Podoblast]]="","","_"&amp;Povinne[[#This Row],[ID_Podoblast]])</f>
        <v>11_NÁJ_002</v>
      </c>
      <c r="B52" s="11" t="s">
        <v>235</v>
      </c>
      <c r="C52" s="11"/>
      <c r="D52" s="11" t="s">
        <v>235</v>
      </c>
      <c r="E52" s="6" t="s">
        <v>50</v>
      </c>
      <c r="F52" s="6" t="str">
        <f>IFERROR(VLOOKUP(Povinne[[#This Row],[Oblast]],Init!$A$2:$D$20,4,FALSE),"")</f>
        <v>11_NÁJ</v>
      </c>
      <c r="G52" s="13"/>
      <c r="H52" s="14" t="str">
        <f>IFERROR(VLOOKUP(Povinne[[#This Row],[Podoblast]],Init!$F$2:$G$20,2,FALSE),"")</f>
        <v/>
      </c>
      <c r="I52" s="12">
        <v>2</v>
      </c>
      <c r="J52" s="13" t="s">
        <v>213</v>
      </c>
      <c r="K52" s="13" t="s">
        <v>214</v>
      </c>
      <c r="L52" s="33"/>
      <c r="M52" s="34"/>
    </row>
    <row r="53" spans="1:13" ht="28.8" x14ac:dyDescent="0.3">
      <c r="A53" s="10" t="str">
        <f>Povinne[[#This Row],[ID_Oblast]]&amp;"_"&amp;TEXT(Povinne[[#This Row],[ID_cislo]],"000")&amp;IF(Povinne[[#This Row],[ID_Podoblast]]="","","_"&amp;Povinne[[#This Row],[ID_Podoblast]])</f>
        <v>13_SML_001</v>
      </c>
      <c r="B53" s="11" t="s">
        <v>235</v>
      </c>
      <c r="C53" s="11"/>
      <c r="D53" s="11" t="s">
        <v>236</v>
      </c>
      <c r="E53" s="6" t="s">
        <v>67</v>
      </c>
      <c r="F53" s="6" t="str">
        <f>IFERROR(VLOOKUP(Povinne[[#This Row],[Oblast]],Init!$A$2:$D$20,4,FALSE),"")</f>
        <v>13_SML</v>
      </c>
      <c r="G53" s="13"/>
      <c r="H53" s="14" t="str">
        <f>IFERROR(VLOOKUP(Povinne[[#This Row],[Podoblast]],Init!$F$2:$G$20,2,FALSE),"")</f>
        <v/>
      </c>
      <c r="I53" s="12">
        <v>1</v>
      </c>
      <c r="J53" s="13" t="s">
        <v>217</v>
      </c>
      <c r="K53" s="13" t="s">
        <v>218</v>
      </c>
      <c r="L53" s="33"/>
      <c r="M53" s="34"/>
    </row>
    <row r="54" spans="1:13" x14ac:dyDescent="0.3">
      <c r="A54" s="10" t="str">
        <f>Povinne[[#This Row],[ID_Oblast]]&amp;"_"&amp;TEXT(Povinne[[#This Row],[ID_cislo]],"000")&amp;IF(Povinne[[#This Row],[ID_Podoblast]]="","","_"&amp;Povinne[[#This Row],[ID_Podoblast]])</f>
        <v>15_APP_001</v>
      </c>
      <c r="B54" s="11" t="s">
        <v>235</v>
      </c>
      <c r="C54" s="11"/>
      <c r="D54" s="11" t="s">
        <v>236</v>
      </c>
      <c r="E54" s="6" t="s">
        <v>64</v>
      </c>
      <c r="F54" s="6" t="str">
        <f>IFERROR(VLOOKUP(Povinne[[#This Row],[Oblast]],Init!$A$2:$D$20,4,FALSE),"")</f>
        <v>15_APP</v>
      </c>
      <c r="G54" s="13"/>
      <c r="H54" s="14" t="str">
        <f>IFERROR(VLOOKUP(Povinne[[#This Row],[Podoblast]],Init!$F$2:$G$20,2,FALSE),"")</f>
        <v/>
      </c>
      <c r="I54" s="12">
        <v>1</v>
      </c>
      <c r="J54" s="13" t="s">
        <v>221</v>
      </c>
      <c r="K54" s="13" t="s">
        <v>222</v>
      </c>
      <c r="L54" s="33"/>
      <c r="M54" s="34"/>
    </row>
    <row r="55" spans="1:13" ht="43.2" x14ac:dyDescent="0.3">
      <c r="A55" s="10" t="str">
        <f>Povinne[[#This Row],[ID_Oblast]]&amp;"_"&amp;TEXT(Povinne[[#This Row],[ID_cislo]],"000")&amp;IF(Povinne[[#This Row],[ID_Podoblast]]="","","_"&amp;Povinne[[#This Row],[ID_Podoblast]])</f>
        <v>15_APP_002_POČ</v>
      </c>
      <c r="B55" s="11" t="s">
        <v>235</v>
      </c>
      <c r="C55" s="11"/>
      <c r="D55" s="11" t="s">
        <v>236</v>
      </c>
      <c r="E55" s="6" t="s">
        <v>64</v>
      </c>
      <c r="F55" s="6" t="str">
        <f>IFERROR(VLOOKUP(Povinne[[#This Row],[Oblast]],Init!$A$2:$D$20,4,FALSE),"")</f>
        <v>15_APP</v>
      </c>
      <c r="G55" s="13" t="s">
        <v>10</v>
      </c>
      <c r="H55" s="14" t="str">
        <f>IFERROR(VLOOKUP(Povinne[[#This Row],[Podoblast]],Init!$F$2:$G$20,2,FALSE),"")</f>
        <v>POČ</v>
      </c>
      <c r="I55" s="12">
        <v>2</v>
      </c>
      <c r="J55" s="13" t="s">
        <v>223</v>
      </c>
      <c r="K55" s="13" t="s">
        <v>224</v>
      </c>
      <c r="L55" s="33"/>
      <c r="M55" s="34"/>
    </row>
    <row r="56" spans="1:13" x14ac:dyDescent="0.3">
      <c r="K56" s="27" t="s">
        <v>248</v>
      </c>
      <c r="L56" s="6">
        <f>COUNTIF(Povinne[Účastník splňuje požadavek (Ano/Ne)],"Ano")</f>
        <v>0</v>
      </c>
    </row>
    <row r="57" spans="1:13" x14ac:dyDescent="0.3">
      <c r="K57" s="27" t="s">
        <v>249</v>
      </c>
      <c r="L57" s="6">
        <f>COUNTIF(Povinne[Účastník splňuje požadavek (Ano/Ne)],"Ne")</f>
        <v>0</v>
      </c>
    </row>
    <row r="58" spans="1:13" x14ac:dyDescent="0.3">
      <c r="K58" s="27" t="s">
        <v>250</v>
      </c>
      <c r="L58" s="6">
        <f>COUNTBLANK(Povinne[Účastník splňuje požadavek (Ano/Ne)])</f>
        <v>53</v>
      </c>
    </row>
  </sheetData>
  <sheetProtection algorithmName="SHA-512" hashValue="bmMQx9u10PGTgJJP0MJLwH4KcDnl2LbREdka/9jJ5qZdDGW05k8boXhkE2Ey2yMv5R5RnIiO7IY+dsyI2dg61w==" saltValue="/ZQ5QtghB98alPrmoL46qg==" spinCount="100000" sheet="1" objects="1" scenarios="1" formatColumns="0" formatRows="0"/>
  <conditionalFormatting sqref="A3:K55">
    <cfRule type="cellIs" dxfId="83" priority="18" operator="notEqual">
      <formula>"Kousek těsta"</formula>
    </cfRule>
  </conditionalFormatting>
  <conditionalFormatting sqref="B3:C55">
    <cfRule type="expression" dxfId="82" priority="22">
      <formula>$B3="Ne"</formula>
    </cfRule>
    <cfRule type="expression" dxfId="81" priority="23">
      <formula>$B3="Ano"</formula>
    </cfRule>
  </conditionalFormatting>
  <conditionalFormatting sqref="C3:D55">
    <cfRule type="cellIs" dxfId="80" priority="21" operator="equal">
      <formula>"Ano"</formula>
    </cfRule>
  </conditionalFormatting>
  <conditionalFormatting sqref="D3:D55">
    <cfRule type="cellIs" dxfId="79" priority="16" operator="equal">
      <formula>"Ne"</formula>
    </cfRule>
  </conditionalFormatting>
  <conditionalFormatting sqref="K56:K57">
    <cfRule type="expression" dxfId="66" priority="1">
      <formula>$B56="Ne"</formula>
    </cfRule>
    <cfRule type="expression" dxfId="65" priority="2">
      <formula>$B56="Ano"</formula>
    </cfRule>
  </conditionalFormatting>
  <conditionalFormatting sqref="K56:K58">
    <cfRule type="cellIs" dxfId="64" priority="3" operator="notEqual">
      <formula>"Kousek těsta"</formula>
    </cfRule>
  </conditionalFormatting>
  <pageMargins left="0.7" right="0.7" top="0.75" bottom="0.75" header="0.3" footer="0.3"/>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9" id="{667ACEF1-CCDC-4AA5-84A5-97F7DF76DF29}">
            <xm:f>$E3=Init!$A$12</xm:f>
            <x14:dxf>
              <fill>
                <patternFill>
                  <bgColor rgb="FF61BBFF"/>
                </patternFill>
              </fill>
            </x14:dxf>
          </x14:cfRule>
          <x14:cfRule type="expression" priority="20" id="{82C62815-AE46-4896-AD10-63579E51D969}">
            <xm:f>$E3=Init!$A$18</xm:f>
            <x14:dxf>
              <fill>
                <patternFill>
                  <bgColor rgb="FFF09456"/>
                </patternFill>
              </fill>
            </x14:dxf>
          </x14:cfRule>
          <x14:cfRule type="expression" priority="24" id="{D02FB0CF-ED00-476B-A1D7-0C676E4C9175}">
            <xm:f>$E3=Init!$A$11</xm:f>
            <x14:dxf>
              <fill>
                <patternFill>
                  <bgColor theme="8" tint="0.79998168889431442"/>
                </patternFill>
              </fill>
            </x14:dxf>
          </x14:cfRule>
          <x14:cfRule type="expression" priority="25" id="{0207939E-0F35-4DCD-9B7C-E4D51055FE78}">
            <xm:f>$E3=Init!$A$17</xm:f>
            <x14:dxf>
              <fill>
                <patternFill>
                  <bgColor rgb="FFBA8CDC"/>
                </patternFill>
              </fill>
            </x14:dxf>
          </x14:cfRule>
          <x14:cfRule type="expression" priority="26" id="{9B89CD15-163B-4E9A-882A-9A348AB8425C}">
            <xm:f>$E3=Init!$A$8</xm:f>
            <x14:dxf>
              <fill>
                <patternFill>
                  <bgColor rgb="FFFF9BBC"/>
                </patternFill>
              </fill>
            </x14:dxf>
          </x14:cfRule>
          <x14:cfRule type="expression" priority="27" id="{98E12D5B-BFFB-4F79-BAEA-55B25FF5E677}">
            <xm:f>$E3=Init!$A$7</xm:f>
            <x14:dxf>
              <fill>
                <patternFill>
                  <bgColor theme="6" tint="0.59996337778862885"/>
                </patternFill>
              </fill>
            </x14:dxf>
          </x14:cfRule>
          <x14:cfRule type="expression" priority="28" id="{99B6AF56-57EB-48D4-9CAA-931F2322D850}">
            <xm:f>$E3=Init!$A$10</xm:f>
            <x14:dxf>
              <fill>
                <patternFill>
                  <bgColor theme="7" tint="0.39994506668294322"/>
                </patternFill>
              </fill>
            </x14:dxf>
          </x14:cfRule>
          <x14:cfRule type="expression" priority="29" id="{5D3181E6-EB5F-4FA5-AEA7-74B39DB49D1A}">
            <xm:f>$E3=Init!$A$9</xm:f>
            <x14:dxf>
              <fill>
                <patternFill>
                  <bgColor theme="9" tint="0.59996337778862885"/>
                </patternFill>
              </fill>
            </x14:dxf>
          </x14:cfRule>
          <x14:cfRule type="expression" priority="30" id="{6B1FEDBB-A2F6-4E4B-A3AD-D8142D524EEF}">
            <xm:f>$E3=Init!$A$4</xm:f>
            <x14:dxf>
              <fill>
                <patternFill>
                  <bgColor theme="3" tint="0.59996337778862885"/>
                </patternFill>
              </fill>
            </x14:dxf>
          </x14:cfRule>
          <x14:cfRule type="expression" priority="31" id="{ADABC2F8-596A-43DD-A1F4-E56CFE5CFD45}">
            <xm:f>$E3=Init!$A$6</xm:f>
            <x14:dxf>
              <fill>
                <patternFill>
                  <bgColor theme="5" tint="0.39994506668294322"/>
                </patternFill>
              </fill>
            </x14:dxf>
          </x14:cfRule>
          <x14:cfRule type="expression" priority="32" id="{76D0F918-3C4F-4E4E-9D26-57FE03C0F2A8}">
            <xm:f>$E3=Init!$A$3</xm:f>
            <x14:dxf>
              <fill>
                <patternFill>
                  <bgColor theme="3" tint="0.79998168889431442"/>
                </patternFill>
              </fill>
            </x14:dxf>
          </x14:cfRule>
          <x14:cfRule type="expression" priority="33" id="{05719CE7-1066-4B08-91CA-13D3DE04115A}">
            <xm:f>$E3=Init!$A$2</xm:f>
            <x14:dxf>
              <fill>
                <patternFill>
                  <bgColor theme="7" tint="0.79998168889431442"/>
                </patternFill>
              </fill>
            </x14:dxf>
          </x14:cfRule>
          <xm:sqref>E3:K55</xm:sqref>
        </x14:conditionalFormatting>
        <x14:conditionalFormatting xmlns:xm="http://schemas.microsoft.com/office/excel/2006/main">
          <x14:cfRule type="expression" priority="4" id="{2C316D9A-A3FA-4E85-91A1-747019B69041}">
            <xm:f>$E56=Init!$A$12</xm:f>
            <x14:dxf>
              <fill>
                <patternFill>
                  <bgColor rgb="FF61BBFF"/>
                </patternFill>
              </fill>
            </x14:dxf>
          </x14:cfRule>
          <x14:cfRule type="expression" priority="5" id="{770D2EDF-3805-4A2A-8AEF-156F982AEF1D}">
            <xm:f>$E56=Init!$A$18</xm:f>
            <x14:dxf>
              <fill>
                <patternFill>
                  <bgColor rgb="FFF09456"/>
                </patternFill>
              </fill>
            </x14:dxf>
          </x14:cfRule>
          <x14:cfRule type="expression" priority="6" id="{7F66BE16-8179-4E98-9BDA-D22B62AD5C69}">
            <xm:f>$E56=Init!$A$11</xm:f>
            <x14:dxf>
              <fill>
                <patternFill>
                  <bgColor theme="8" tint="0.79998168889431442"/>
                </patternFill>
              </fill>
            </x14:dxf>
          </x14:cfRule>
          <x14:cfRule type="expression" priority="7" id="{3137ECCD-F551-4524-ADBF-484CA34A6202}">
            <xm:f>$E56=Init!$A$17</xm:f>
            <x14:dxf>
              <fill>
                <patternFill>
                  <bgColor rgb="FFBA8CDC"/>
                </patternFill>
              </fill>
            </x14:dxf>
          </x14:cfRule>
          <x14:cfRule type="expression" priority="8" id="{AF049DCC-DD63-4300-AC7B-5444460E5253}">
            <xm:f>$E56=Init!$A$8</xm:f>
            <x14:dxf>
              <fill>
                <patternFill>
                  <bgColor rgb="FFFF9BBC"/>
                </patternFill>
              </fill>
            </x14:dxf>
          </x14:cfRule>
          <x14:cfRule type="expression" priority="9" id="{062B0CED-F3E5-4030-9AA6-88FD7510562B}">
            <xm:f>$E56=Init!$A$7</xm:f>
            <x14:dxf>
              <fill>
                <patternFill>
                  <bgColor theme="6" tint="0.59996337778862885"/>
                </patternFill>
              </fill>
            </x14:dxf>
          </x14:cfRule>
          <x14:cfRule type="expression" priority="10" id="{EFF6410A-7E3F-4BBA-992E-377027B9F5C9}">
            <xm:f>$E56=Init!$A$10</xm:f>
            <x14:dxf>
              <fill>
                <patternFill>
                  <bgColor theme="7" tint="0.39994506668294322"/>
                </patternFill>
              </fill>
            </x14:dxf>
          </x14:cfRule>
          <x14:cfRule type="expression" priority="11" id="{9AB34182-2EDC-4AA5-8F60-996E8BC5F1B5}">
            <xm:f>$E56=Init!$A$9</xm:f>
            <x14:dxf>
              <fill>
                <patternFill>
                  <bgColor theme="9" tint="0.59996337778862885"/>
                </patternFill>
              </fill>
            </x14:dxf>
          </x14:cfRule>
          <x14:cfRule type="expression" priority="12" id="{9FA1B33E-30EE-4CCC-AC5D-DC3D573444AA}">
            <xm:f>$E56=Init!$A$4</xm:f>
            <x14:dxf>
              <fill>
                <patternFill>
                  <bgColor theme="3" tint="0.59996337778862885"/>
                </patternFill>
              </fill>
            </x14:dxf>
          </x14:cfRule>
          <x14:cfRule type="expression" priority="13" id="{2D5E1E9B-69E0-426A-9166-67E9EC450FB6}">
            <xm:f>$E56=Init!$A$6</xm:f>
            <x14:dxf>
              <fill>
                <patternFill>
                  <bgColor theme="5" tint="0.39994506668294322"/>
                </patternFill>
              </fill>
            </x14:dxf>
          </x14:cfRule>
          <x14:cfRule type="expression" priority="14" id="{05ABF7FA-211B-4B71-8AE4-1B815EB32D5A}">
            <xm:f>$E56=Init!$A$3</xm:f>
            <x14:dxf>
              <fill>
                <patternFill>
                  <bgColor theme="3" tint="0.79998168889431442"/>
                </patternFill>
              </fill>
            </x14:dxf>
          </x14:cfRule>
          <x14:cfRule type="expression" priority="15" id="{FEB92FD4-82D1-4B20-B074-8424D4920E56}">
            <xm:f>$E56=Init!$A$2</xm:f>
            <x14:dxf>
              <fill>
                <patternFill>
                  <bgColor theme="7" tint="0.79998168889431442"/>
                </patternFill>
              </fill>
            </x14:dxf>
          </x14:cfRule>
          <xm:sqref>K56:K58</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r:uid="{6EFFB5BA-604E-47FE-B565-C2F93F4F8918}">
          <x14:formula1>
            <xm:f>Init!$J$2:$J$3</xm:f>
          </x14:formula1>
          <xm:sqref>B3:B55 L3:L55 D3:D55</xm:sqref>
        </x14:dataValidation>
        <x14:dataValidation type="list" allowBlank="1" showInputMessage="1" xr:uid="{2B62BE38-64C6-4274-A0E8-4DB1086C06ED}">
          <x14:formula1>
            <xm:f>Init!$F$2:$F$13</xm:f>
          </x14:formula1>
          <xm:sqref>G3:G55</xm:sqref>
        </x14:dataValidation>
        <x14:dataValidation type="list" allowBlank="1" showInputMessage="1" xr:uid="{6FD8FE7D-5495-427C-A2F5-0530E69B5639}">
          <x14:formula1>
            <xm:f>Init!$A$2:$A$20</xm:f>
          </x14:formula1>
          <xm:sqref>E3:E55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197AF-2A1A-4619-B208-3DB24ABB01B8}">
  <dimension ref="A1:N37"/>
  <sheetViews>
    <sheetView topLeftCell="J1" zoomScale="90" zoomScaleNormal="90" workbookViewId="0">
      <pane ySplit="2" topLeftCell="A3" activePane="bottomLeft" state="frozen"/>
      <selection pane="bottomLeft" activeCell="L3" sqref="L3"/>
    </sheetView>
  </sheetViews>
  <sheetFormatPr defaultColWidth="9.21875" defaultRowHeight="14.4" x14ac:dyDescent="0.3"/>
  <cols>
    <col min="1" max="1" width="16.77734375" style="6" customWidth="1"/>
    <col min="2" max="4" width="8.77734375" style="6" customWidth="1"/>
    <col min="5" max="5" width="20.77734375" style="6" customWidth="1"/>
    <col min="6" max="6" width="8.77734375" style="6" hidden="1" customWidth="1"/>
    <col min="7" max="7" width="15.77734375" style="6" customWidth="1"/>
    <col min="8" max="9" width="8.77734375" style="6" hidden="1" customWidth="1"/>
    <col min="10" max="10" width="45.77734375" style="6" customWidth="1"/>
    <col min="11" max="11" width="100.77734375" style="6" customWidth="1"/>
    <col min="12" max="12" width="13.77734375" style="6" customWidth="1"/>
    <col min="13" max="13" width="8.77734375" style="6" customWidth="1"/>
    <col min="14" max="14" width="80.77734375" style="6" customWidth="1"/>
    <col min="15" max="16384" width="9.21875" style="6"/>
  </cols>
  <sheetData>
    <row r="1" spans="1:14" ht="25.05" customHeight="1" x14ac:dyDescent="0.3">
      <c r="A1" s="4" t="s">
        <v>258</v>
      </c>
      <c r="B1" s="4"/>
      <c r="C1" s="4"/>
      <c r="D1" s="4"/>
      <c r="E1" s="5"/>
      <c r="F1" s="5"/>
      <c r="G1" s="5"/>
      <c r="H1" s="5"/>
      <c r="I1" s="5"/>
      <c r="J1" s="16"/>
      <c r="K1" s="16"/>
      <c r="L1" s="5"/>
      <c r="M1" s="5"/>
      <c r="N1" s="5"/>
    </row>
    <row r="2" spans="1:14" ht="72" x14ac:dyDescent="0.3">
      <c r="A2" s="7" t="s">
        <v>69</v>
      </c>
      <c r="B2" s="8" t="s">
        <v>70</v>
      </c>
      <c r="C2" s="8" t="s">
        <v>71</v>
      </c>
      <c r="D2" s="8" t="s">
        <v>73</v>
      </c>
      <c r="E2" s="7" t="s">
        <v>74</v>
      </c>
      <c r="F2" s="7" t="s">
        <v>75</v>
      </c>
      <c r="G2" s="7" t="s">
        <v>76</v>
      </c>
      <c r="H2" s="7" t="s">
        <v>77</v>
      </c>
      <c r="I2" s="7" t="s">
        <v>78</v>
      </c>
      <c r="J2" s="7" t="s">
        <v>79</v>
      </c>
      <c r="K2" s="7" t="s">
        <v>80</v>
      </c>
      <c r="L2" s="8" t="s">
        <v>238</v>
      </c>
      <c r="M2" s="9" t="s">
        <v>251</v>
      </c>
      <c r="N2" s="9" t="s">
        <v>255</v>
      </c>
    </row>
    <row r="3" spans="1:14" ht="43.2" x14ac:dyDescent="0.3">
      <c r="A3" s="10" t="str">
        <f>Hodnocene[[#This Row],[ID_Oblast]]&amp;"_"&amp;TEXT(Hodnocene[[#This Row],[ID_cislo]],"000")&amp;IF(Hodnocene[[#This Row],[ID_Podoblast]]="","","_"&amp;Hodnocene[[#This Row],[ID_Podoblast]])</f>
        <v>01_EVI_004</v>
      </c>
      <c r="B3" s="11" t="s">
        <v>236</v>
      </c>
      <c r="C3" s="11">
        <v>3</v>
      </c>
      <c r="D3" s="11" t="s">
        <v>236</v>
      </c>
      <c r="E3" s="6" t="s">
        <v>7</v>
      </c>
      <c r="F3" s="6" t="str">
        <f>IFERROR(VLOOKUP(Hodnocene[[#This Row],[Oblast]],Init!$A$2:$D$20,4,FALSE),"")</f>
        <v>01_EVI</v>
      </c>
      <c r="G3" s="13"/>
      <c r="H3" s="6" t="str">
        <f>IFERROR(VLOOKUP(Hodnocene[[#This Row],[Podoblast]],Init!$F$2:$G$20,2,FALSE),"")</f>
        <v/>
      </c>
      <c r="I3" s="12">
        <v>4</v>
      </c>
      <c r="J3" s="13" t="s">
        <v>85</v>
      </c>
      <c r="K3" s="13" t="s">
        <v>86</v>
      </c>
      <c r="L3" s="33"/>
      <c r="M3" s="30">
        <f>IF(Hodnocene[[#This Row],[Účastník splňuje požadavek (Ano/Ne)]]="Ano",Hodnocene[[#This Row],[Váha nepovinného požadavku]],0)</f>
        <v>0</v>
      </c>
      <c r="N3" s="34"/>
    </row>
    <row r="4" spans="1:14" x14ac:dyDescent="0.3">
      <c r="A4" s="10" t="str">
        <f>Hodnocene[[#This Row],[ID_Oblast]]&amp;"_"&amp;TEXT(Hodnocene[[#This Row],[ID_cislo]],"000")&amp;IF(Hodnocene[[#This Row],[ID_Podoblast]]="","","_"&amp;Hodnocene[[#This Row],[ID_Podoblast]])</f>
        <v>01_EVI_007</v>
      </c>
      <c r="B4" s="11" t="s">
        <v>236</v>
      </c>
      <c r="C4" s="11">
        <v>1</v>
      </c>
      <c r="D4" s="11" t="s">
        <v>236</v>
      </c>
      <c r="E4" s="6" t="s">
        <v>7</v>
      </c>
      <c r="F4" s="6" t="str">
        <f>IFERROR(VLOOKUP(Hodnocene[[#This Row],[Oblast]],Init!$A$2:$D$20,4,FALSE),"")</f>
        <v>01_EVI</v>
      </c>
      <c r="G4" s="13"/>
      <c r="H4" s="14" t="str">
        <f>IFERROR(VLOOKUP(Hodnocene[[#This Row],[Podoblast]],Init!$F$2:$G$20,2,FALSE),"")</f>
        <v/>
      </c>
      <c r="I4" s="12">
        <v>7</v>
      </c>
      <c r="J4" s="13" t="s">
        <v>239</v>
      </c>
      <c r="K4" s="13" t="s">
        <v>91</v>
      </c>
      <c r="L4" s="33"/>
      <c r="M4" s="30">
        <f>IF(Hodnocene[[#This Row],[Účastník splňuje požadavek (Ano/Ne)]]="Ano",Hodnocene[[#This Row],[Váha nepovinného požadavku]],0)</f>
        <v>0</v>
      </c>
      <c r="N4" s="34"/>
    </row>
    <row r="5" spans="1:14" ht="28.8" x14ac:dyDescent="0.3">
      <c r="A5" s="10" t="str">
        <f>Hodnocene[[#This Row],[ID_Oblast]]&amp;"_"&amp;TEXT(Hodnocene[[#This Row],[ID_cislo]],"000")&amp;IF(Hodnocene[[#This Row],[ID_Podoblast]]="","","_"&amp;Hodnocene[[#This Row],[ID_Podoblast]])</f>
        <v>01_EVI_008</v>
      </c>
      <c r="B5" s="11" t="s">
        <v>236</v>
      </c>
      <c r="C5" s="11">
        <v>1</v>
      </c>
      <c r="D5" s="11" t="s">
        <v>236</v>
      </c>
      <c r="E5" s="6" t="s">
        <v>7</v>
      </c>
      <c r="F5" s="6" t="str">
        <f>IFERROR(VLOOKUP(Hodnocene[[#This Row],[Oblast]],Init!$A$2:$D$20,4,FALSE),"")</f>
        <v>01_EVI</v>
      </c>
      <c r="G5" s="13"/>
      <c r="H5" s="14" t="str">
        <f>IFERROR(VLOOKUP(Hodnocene[[#This Row],[Podoblast]],Init!$F$2:$G$20,2,FALSE),"")</f>
        <v/>
      </c>
      <c r="I5" s="12">
        <v>8</v>
      </c>
      <c r="J5" s="13" t="s">
        <v>124</v>
      </c>
      <c r="K5" s="13" t="s">
        <v>241</v>
      </c>
      <c r="L5" s="33"/>
      <c r="M5" s="30">
        <f>IF(Hodnocene[[#This Row],[Účastník splňuje požadavek (Ano/Ne)]]="Ano",Hodnocene[[#This Row],[Váha nepovinného požadavku]],0)</f>
        <v>0</v>
      </c>
      <c r="N5" s="34"/>
    </row>
    <row r="6" spans="1:14" x14ac:dyDescent="0.3">
      <c r="A6" s="10" t="str">
        <f>Hodnocene[[#This Row],[ID_Oblast]]&amp;"_"&amp;TEXT(Hodnocene[[#This Row],[ID_cislo]],"000")&amp;IF(Hodnocene[[#This Row],[ID_Podoblast]]="","","_"&amp;Hodnocene[[#This Row],[ID_Podoblast]])</f>
        <v>02_KLA_004</v>
      </c>
      <c r="B6" s="11" t="s">
        <v>236</v>
      </c>
      <c r="C6" s="11">
        <v>1</v>
      </c>
      <c r="D6" s="11" t="s">
        <v>236</v>
      </c>
      <c r="E6" s="6" t="s">
        <v>12</v>
      </c>
      <c r="F6" s="6" t="str">
        <f>IFERROR(VLOOKUP(Hodnocene[[#This Row],[Oblast]],Init!$A$2:$D$20,4,FALSE),"")</f>
        <v>02_KLA</v>
      </c>
      <c r="G6" s="13"/>
      <c r="H6" s="6" t="str">
        <f>IFERROR(VLOOKUP(Hodnocene[[#This Row],[Podoblast]],Init!$F$2:$G$20,2,FALSE),"")</f>
        <v/>
      </c>
      <c r="I6" s="12">
        <v>4</v>
      </c>
      <c r="J6" s="13" t="s">
        <v>97</v>
      </c>
      <c r="K6" s="13" t="s">
        <v>98</v>
      </c>
      <c r="L6" s="33"/>
      <c r="M6" s="30">
        <f>IF(Hodnocene[[#This Row],[Účastník splňuje požadavek (Ano/Ne)]]="Ano",Hodnocene[[#This Row],[Váha nepovinného požadavku]],0)</f>
        <v>0</v>
      </c>
      <c r="N6" s="34"/>
    </row>
    <row r="7" spans="1:14" x14ac:dyDescent="0.3">
      <c r="A7" s="10" t="str">
        <f>Hodnocene[[#This Row],[ID_Oblast]]&amp;"_"&amp;TEXT(Hodnocene[[#This Row],[ID_cislo]],"000")&amp;IF(Hodnocene[[#This Row],[ID_Podoblast]]="","","_"&amp;Hodnocene[[#This Row],[ID_Podoblast]])</f>
        <v>02_KLA_005</v>
      </c>
      <c r="B7" s="11" t="s">
        <v>236</v>
      </c>
      <c r="C7" s="11">
        <v>1</v>
      </c>
      <c r="D7" s="11" t="s">
        <v>236</v>
      </c>
      <c r="E7" s="6" t="s">
        <v>12</v>
      </c>
      <c r="F7" s="6" t="str">
        <f>IFERROR(VLOOKUP(Hodnocene[[#This Row],[Oblast]],Init!$A$2:$D$20,4,FALSE),"")</f>
        <v>02_KLA</v>
      </c>
      <c r="G7" s="13"/>
      <c r="H7" s="6" t="str">
        <f>IFERROR(VLOOKUP(Hodnocene[[#This Row],[Podoblast]],Init!$F$2:$G$20,2,FALSE),"")</f>
        <v/>
      </c>
      <c r="I7" s="12">
        <v>5</v>
      </c>
      <c r="J7" s="13" t="s">
        <v>99</v>
      </c>
      <c r="K7" s="13" t="s">
        <v>98</v>
      </c>
      <c r="L7" s="33"/>
      <c r="M7" s="30">
        <f>IF(Hodnocene[[#This Row],[Účastník splňuje požadavek (Ano/Ne)]]="Ano",Hodnocene[[#This Row],[Váha nepovinného požadavku]],0)</f>
        <v>0</v>
      </c>
      <c r="N7" s="34"/>
    </row>
    <row r="8" spans="1:14" ht="28.8" x14ac:dyDescent="0.3">
      <c r="A8" s="10" t="str">
        <f>Hodnocene[[#This Row],[ID_Oblast]]&amp;"_"&amp;TEXT(Hodnocene[[#This Row],[ID_cislo]],"000")&amp;IF(Hodnocene[[#This Row],[ID_Podoblast]]="","","_"&amp;Hodnocene[[#This Row],[ID_Podoblast]])</f>
        <v>03_DAT_008</v>
      </c>
      <c r="B8" s="11" t="s">
        <v>236</v>
      </c>
      <c r="C8" s="11">
        <v>2</v>
      </c>
      <c r="D8" s="11" t="s">
        <v>236</v>
      </c>
      <c r="E8" s="6" t="s">
        <v>17</v>
      </c>
      <c r="F8" s="6" t="str">
        <f>IFERROR(VLOOKUP(Hodnocene[[#This Row],[Oblast]],Init!$A$2:$D$20,4,FALSE),"")</f>
        <v>03_DAT</v>
      </c>
      <c r="G8" s="13"/>
      <c r="H8" s="14" t="str">
        <f>IFERROR(VLOOKUP(Hodnocene[[#This Row],[Podoblast]],Init!$F$2:$G$20,2,FALSE),"")</f>
        <v/>
      </c>
      <c r="I8" s="12">
        <v>8</v>
      </c>
      <c r="J8" s="13" t="s">
        <v>114</v>
      </c>
      <c r="K8" s="13" t="s">
        <v>115</v>
      </c>
      <c r="L8" s="33"/>
      <c r="M8" s="30">
        <f>IF(Hodnocene[[#This Row],[Účastník splňuje požadavek (Ano/Ne)]]="Ano",Hodnocene[[#This Row],[Váha nepovinného požadavku]],0)</f>
        <v>0</v>
      </c>
      <c r="N8" s="34"/>
    </row>
    <row r="9" spans="1:14" ht="43.2" x14ac:dyDescent="0.3">
      <c r="A9" s="10" t="str">
        <f>Hodnocene[[#This Row],[ID_Oblast]]&amp;"_"&amp;TEXT(Hodnocene[[#This Row],[ID_cislo]],"000")&amp;IF(Hodnocene[[#This Row],[ID_Podoblast]]="","","_"&amp;Hodnocene[[#This Row],[ID_Podoblast]])</f>
        <v>03_DAT_020_BIM</v>
      </c>
      <c r="B9" s="11" t="s">
        <v>236</v>
      </c>
      <c r="C9" s="11">
        <v>2</v>
      </c>
      <c r="D9" s="11" t="s">
        <v>236</v>
      </c>
      <c r="E9" s="6" t="s">
        <v>17</v>
      </c>
      <c r="F9" s="6" t="str">
        <f>IFERROR(VLOOKUP(Hodnocene[[#This Row],[Oblast]],Init!$A$2:$D$20,4,FALSE),"")</f>
        <v>03_DAT</v>
      </c>
      <c r="G9" s="13" t="s">
        <v>38</v>
      </c>
      <c r="H9" s="6" t="str">
        <f>IFERROR(VLOOKUP(Hodnocene[[#This Row],[Podoblast]],Init!$F$2:$G$20,2,FALSE),"")</f>
        <v>BIM</v>
      </c>
      <c r="I9" s="12">
        <v>20</v>
      </c>
      <c r="J9" s="13" t="s">
        <v>245</v>
      </c>
      <c r="K9" s="13" t="s">
        <v>244</v>
      </c>
      <c r="L9" s="33"/>
      <c r="M9" s="30">
        <f>IF(Hodnocene[[#This Row],[Účastník splňuje požadavek (Ano/Ne)]]="Ano",Hodnocene[[#This Row],[Váha nepovinného požadavku]],0)</f>
        <v>0</v>
      </c>
      <c r="N9" s="34"/>
    </row>
    <row r="10" spans="1:14" x14ac:dyDescent="0.3">
      <c r="A10" s="10" t="str">
        <f>Hodnocene[[#This Row],[ID_Oblast]]&amp;"_"&amp;TEXT(Hodnocene[[#This Row],[ID_cislo]],"000")&amp;IF(Hodnocene[[#This Row],[ID_Podoblast]]="","","_"&amp;Hodnocene[[#This Row],[ID_Podoblast]])</f>
        <v>03_DAT_021_BIM</v>
      </c>
      <c r="B10" s="11" t="s">
        <v>236</v>
      </c>
      <c r="C10" s="11">
        <v>1</v>
      </c>
      <c r="D10" s="11" t="s">
        <v>236</v>
      </c>
      <c r="E10" s="6" t="s">
        <v>17</v>
      </c>
      <c r="F10" s="6" t="str">
        <f>IFERROR(VLOOKUP(Hodnocene[[#This Row],[Oblast]],Init!$A$2:$D$20,4,FALSE),"")</f>
        <v>03_DAT</v>
      </c>
      <c r="G10" s="13" t="s">
        <v>38</v>
      </c>
      <c r="H10" s="6" t="str">
        <f>IFERROR(VLOOKUP(Hodnocene[[#This Row],[Podoblast]],Init!$F$2:$G$20,2,FALSE),"")</f>
        <v>BIM</v>
      </c>
      <c r="I10" s="12">
        <v>21</v>
      </c>
      <c r="J10" s="13" t="s">
        <v>122</v>
      </c>
      <c r="K10" s="13" t="s">
        <v>123</v>
      </c>
      <c r="L10" s="33"/>
      <c r="M10" s="30">
        <f>IF(Hodnocene[[#This Row],[Účastník splňuje požadavek (Ano/Ne)]]="Ano",Hodnocene[[#This Row],[Váha nepovinného požadavku]],0)</f>
        <v>0</v>
      </c>
      <c r="N10" s="34"/>
    </row>
    <row r="11" spans="1:14" ht="28.8" x14ac:dyDescent="0.3">
      <c r="A11" s="10" t="str">
        <f>Hodnocene[[#This Row],[ID_Oblast]]&amp;"_"&amp;TEXT(Hodnocene[[#This Row],[ID_cislo]],"000")&amp;IF(Hodnocene[[#This Row],[ID_Podoblast]]="","","_"&amp;Hodnocene[[#This Row],[ID_Podoblast]])</f>
        <v>05_UŽR_004</v>
      </c>
      <c r="B11" s="11" t="s">
        <v>236</v>
      </c>
      <c r="C11" s="11">
        <v>2</v>
      </c>
      <c r="D11" s="11" t="s">
        <v>236</v>
      </c>
      <c r="E11" s="6" t="s">
        <v>27</v>
      </c>
      <c r="F11" s="6" t="str">
        <f>IFERROR(VLOOKUP(Hodnocene[[#This Row],[Oblast]],Init!$A$2:$D$20,4,FALSE),"")</f>
        <v>05_UŽR</v>
      </c>
      <c r="G11" s="13"/>
      <c r="H11" s="6" t="str">
        <f>IFERROR(VLOOKUP(Hodnocene[[#This Row],[Podoblast]],Init!$F$2:$G$20,2,FALSE),"")</f>
        <v/>
      </c>
      <c r="I11" s="12">
        <v>4</v>
      </c>
      <c r="J11" s="13" t="s">
        <v>130</v>
      </c>
      <c r="K11" s="13" t="s">
        <v>131</v>
      </c>
      <c r="L11" s="33"/>
      <c r="M11" s="30">
        <f>IF(Hodnocene[[#This Row],[Účastník splňuje požadavek (Ano/Ne)]]="Ano",Hodnocene[[#This Row],[Váha nepovinného požadavku]],0)</f>
        <v>0</v>
      </c>
      <c r="N11" s="34"/>
    </row>
    <row r="12" spans="1:14" ht="43.2" x14ac:dyDescent="0.3">
      <c r="A12" s="10" t="str">
        <f>Hodnocene[[#This Row],[ID_Oblast]]&amp;"_"&amp;TEXT(Hodnocene[[#This Row],[ID_cislo]],"000")&amp;IF(Hodnocene[[#This Row],[ID_Podoblast]]="","","_"&amp;Hodnocene[[#This Row],[ID_Podoblast]])</f>
        <v>05_UŽR_005</v>
      </c>
      <c r="B12" s="11" t="s">
        <v>236</v>
      </c>
      <c r="C12" s="11">
        <v>2</v>
      </c>
      <c r="D12" s="11" t="s">
        <v>236</v>
      </c>
      <c r="E12" s="6" t="s">
        <v>27</v>
      </c>
      <c r="F12" s="6" t="str">
        <f>IFERROR(VLOOKUP(Hodnocene[[#This Row],[Oblast]],Init!$A$2:$D$20,4,FALSE),"")</f>
        <v>05_UŽR</v>
      </c>
      <c r="G12" s="13"/>
      <c r="H12" s="6" t="str">
        <f>IFERROR(VLOOKUP(Hodnocene[[#This Row],[Podoblast]],Init!$F$2:$G$20,2,FALSE),"")</f>
        <v/>
      </c>
      <c r="I12" s="12">
        <v>5</v>
      </c>
      <c r="J12" s="13" t="s">
        <v>132</v>
      </c>
      <c r="K12" s="13" t="s">
        <v>133</v>
      </c>
      <c r="L12" s="33"/>
      <c r="M12" s="30">
        <f>IF(Hodnocene[[#This Row],[Účastník splňuje požadavek (Ano/Ne)]]="Ano",Hodnocene[[#This Row],[Váha nepovinného požadavku]],0)</f>
        <v>0</v>
      </c>
      <c r="N12" s="34"/>
    </row>
    <row r="13" spans="1:14" ht="28.8" x14ac:dyDescent="0.3">
      <c r="A13" s="10" t="str">
        <f>Hodnocene[[#This Row],[ID_Oblast]]&amp;"_"&amp;TEXT(Hodnocene[[#This Row],[ID_cislo]],"000")&amp;IF(Hodnocene[[#This Row],[ID_Podoblast]]="","","_"&amp;Hodnocene[[#This Row],[ID_Podoblast]])</f>
        <v>05_UŽR_006</v>
      </c>
      <c r="B13" s="11" t="s">
        <v>236</v>
      </c>
      <c r="C13" s="11">
        <v>2</v>
      </c>
      <c r="D13" s="11" t="s">
        <v>235</v>
      </c>
      <c r="E13" s="6" t="s">
        <v>27</v>
      </c>
      <c r="F13" s="6" t="str">
        <f>IFERROR(VLOOKUP(Hodnocene[[#This Row],[Oblast]],Init!$A$2:$D$20,4,FALSE),"")</f>
        <v>05_UŽR</v>
      </c>
      <c r="G13" s="13"/>
      <c r="H13" s="6" t="str">
        <f>IFERROR(VLOOKUP(Hodnocene[[#This Row],[Podoblast]],Init!$F$2:$G$20,2,FALSE),"")</f>
        <v/>
      </c>
      <c r="I13" s="12">
        <v>6</v>
      </c>
      <c r="J13" s="13" t="s">
        <v>134</v>
      </c>
      <c r="K13" s="13" t="s">
        <v>135</v>
      </c>
      <c r="L13" s="33"/>
      <c r="M13" s="30">
        <f>IF(Hodnocene[[#This Row],[Účastník splňuje požadavek (Ano/Ne)]]="Ano",Hodnocene[[#This Row],[Váha nepovinného požadavku]],0)</f>
        <v>0</v>
      </c>
      <c r="N13" s="34"/>
    </row>
    <row r="14" spans="1:14" ht="28.8" x14ac:dyDescent="0.3">
      <c r="A14" s="10" t="str">
        <f>Hodnocene[[#This Row],[ID_Oblast]]&amp;"_"&amp;TEXT(Hodnocene[[#This Row],[ID_cislo]],"000")&amp;IF(Hodnocene[[#This Row],[ID_Podoblast]]="","","_"&amp;Hodnocene[[#This Row],[ID_Podoblast]])</f>
        <v>06_OBF_001</v>
      </c>
      <c r="B14" s="11" t="s">
        <v>236</v>
      </c>
      <c r="C14" s="11">
        <v>1</v>
      </c>
      <c r="D14" s="11" t="s">
        <v>236</v>
      </c>
      <c r="E14" s="6" t="s">
        <v>30</v>
      </c>
      <c r="F14" s="6" t="str">
        <f>IFERROR(VLOOKUP(Hodnocene[[#This Row],[Oblast]],Init!$A$2:$D$20,4,FALSE),"")</f>
        <v>06_OBF</v>
      </c>
      <c r="G14" s="13"/>
      <c r="H14" s="6" t="str">
        <f>IFERROR(VLOOKUP(Hodnocene[[#This Row],[Podoblast]],Init!$F$2:$G$20,2,FALSE),"")</f>
        <v/>
      </c>
      <c r="I14" s="12">
        <v>1</v>
      </c>
      <c r="J14" s="13" t="s">
        <v>136</v>
      </c>
      <c r="K14" s="13" t="s">
        <v>137</v>
      </c>
      <c r="L14" s="33"/>
      <c r="M14" s="30">
        <f>IF(Hodnocene[[#This Row],[Účastník splňuje požadavek (Ano/Ne)]]="Ano",Hodnocene[[#This Row],[Váha nepovinného požadavku]],0)</f>
        <v>0</v>
      </c>
      <c r="N14" s="34"/>
    </row>
    <row r="15" spans="1:14" ht="43.2" x14ac:dyDescent="0.3">
      <c r="A15" s="10" t="str">
        <f>Hodnocene[[#This Row],[ID_Oblast]]&amp;"_"&amp;TEXT(Hodnocene[[#This Row],[ID_cislo]],"000")&amp;IF(Hodnocene[[#This Row],[ID_Podoblast]]="","","_"&amp;Hodnocene[[#This Row],[ID_Podoblast]])</f>
        <v>06_OBF_002</v>
      </c>
      <c r="B15" s="11" t="s">
        <v>236</v>
      </c>
      <c r="C15" s="11">
        <v>1</v>
      </c>
      <c r="D15" s="11" t="s">
        <v>236</v>
      </c>
      <c r="E15" s="6" t="s">
        <v>30</v>
      </c>
      <c r="F15" s="6" t="str">
        <f>IFERROR(VLOOKUP(Hodnocene[[#This Row],[Oblast]],Init!$A$2:$D$20,4,FALSE),"")</f>
        <v>06_OBF</v>
      </c>
      <c r="G15" s="13"/>
      <c r="H15" s="14" t="str">
        <f>IFERROR(VLOOKUP(Hodnocene[[#This Row],[Podoblast]],Init!$F$2:$G$20,2,FALSE),"")</f>
        <v/>
      </c>
      <c r="I15" s="12">
        <v>2</v>
      </c>
      <c r="J15" s="13" t="s">
        <v>138</v>
      </c>
      <c r="K15" s="13" t="s">
        <v>139</v>
      </c>
      <c r="L15" s="33"/>
      <c r="M15" s="30">
        <f>IF(Hodnocene[[#This Row],[Účastník splňuje požadavek (Ano/Ne)]]="Ano",Hodnocene[[#This Row],[Váha nepovinného požadavku]],0)</f>
        <v>0</v>
      </c>
      <c r="N15" s="34"/>
    </row>
    <row r="16" spans="1:14" x14ac:dyDescent="0.3">
      <c r="A16" s="10" t="str">
        <f>Hodnocene[[#This Row],[ID_Oblast]]&amp;"_"&amp;TEXT(Hodnocene[[#This Row],[ID_cislo]],"000")&amp;IF(Hodnocene[[#This Row],[ID_Podoblast]]="","","_"&amp;Hodnocene[[#This Row],[ID_Podoblast]])</f>
        <v>06_OBF_004</v>
      </c>
      <c r="B16" s="11" t="s">
        <v>236</v>
      </c>
      <c r="C16" s="11">
        <v>3</v>
      </c>
      <c r="D16" s="11" t="s">
        <v>235</v>
      </c>
      <c r="E16" s="6" t="s">
        <v>30</v>
      </c>
      <c r="F16" s="6" t="str">
        <f>IFERROR(VLOOKUP(Hodnocene[[#This Row],[Oblast]],Init!$A$2:$D$20,4,FALSE),"")</f>
        <v>06_OBF</v>
      </c>
      <c r="G16" s="13"/>
      <c r="H16" s="14" t="str">
        <f>IFERROR(VLOOKUP(Hodnocene[[#This Row],[Podoblast]],Init!$F$2:$G$20,2,FALSE),"")</f>
        <v/>
      </c>
      <c r="I16" s="12">
        <v>4</v>
      </c>
      <c r="J16" s="13" t="s">
        <v>142</v>
      </c>
      <c r="K16" s="13" t="s">
        <v>143</v>
      </c>
      <c r="L16" s="33"/>
      <c r="M16" s="30">
        <f>IF(Hodnocene[[#This Row],[Účastník splňuje požadavek (Ano/Ne)]]="Ano",Hodnocene[[#This Row],[Váha nepovinného požadavku]],0)</f>
        <v>0</v>
      </c>
      <c r="N16" s="34"/>
    </row>
    <row r="17" spans="1:14" ht="72" x14ac:dyDescent="0.3">
      <c r="A17" s="10" t="str">
        <f>Hodnocene[[#This Row],[ID_Oblast]]&amp;"_"&amp;TEXT(Hodnocene[[#This Row],[ID_cislo]],"000")&amp;IF(Hodnocene[[#This Row],[ID_Podoblast]]="","","_"&amp;Hodnocene[[#This Row],[ID_Podoblast]])</f>
        <v>08_ÚDR_006_POČ</v>
      </c>
      <c r="B17" s="11" t="s">
        <v>236</v>
      </c>
      <c r="C17" s="11">
        <v>3</v>
      </c>
      <c r="D17" s="11" t="s">
        <v>235</v>
      </c>
      <c r="E17" s="6" t="s">
        <v>257</v>
      </c>
      <c r="F17" s="6" t="str">
        <f>IFERROR(VLOOKUP(Hodnocene[[#This Row],[Oblast]],Init!$A$2:$D$20,4,FALSE),"")</f>
        <v>08_ÚDR</v>
      </c>
      <c r="G17" s="13" t="s">
        <v>10</v>
      </c>
      <c r="H17" s="14" t="str">
        <f>IFERROR(VLOOKUP(Hodnocene[[#This Row],[Podoblast]],Init!$F$2:$G$20,2,FALSE),"")</f>
        <v>POČ</v>
      </c>
      <c r="I17" s="12">
        <v>6</v>
      </c>
      <c r="J17" s="13" t="s">
        <v>168</v>
      </c>
      <c r="K17" s="13" t="s">
        <v>169</v>
      </c>
      <c r="L17" s="33"/>
      <c r="M17" s="30">
        <f>IF(Hodnocene[[#This Row],[Účastník splňuje požadavek (Ano/Ne)]]="Ano",Hodnocene[[#This Row],[Váha nepovinného požadavku]],0)</f>
        <v>0</v>
      </c>
      <c r="N17" s="34"/>
    </row>
    <row r="18" spans="1:14" ht="28.8" x14ac:dyDescent="0.3">
      <c r="A18" s="10" t="str">
        <f>Hodnocene[[#This Row],[ID_Oblast]]&amp;"_"&amp;TEXT(Hodnocene[[#This Row],[ID_cislo]],"000")&amp;IF(Hodnocene[[#This Row],[ID_Podoblast]]="","","_"&amp;Hodnocene[[#This Row],[ID_Podoblast]])</f>
        <v>08_ÚDR_010</v>
      </c>
      <c r="B18" s="11" t="s">
        <v>236</v>
      </c>
      <c r="C18" s="11">
        <v>3</v>
      </c>
      <c r="D18" s="11" t="s">
        <v>236</v>
      </c>
      <c r="E18" s="6" t="s">
        <v>257</v>
      </c>
      <c r="F18" s="6" t="str">
        <f>IFERROR(VLOOKUP(Hodnocene[[#This Row],[Oblast]],Init!$A$2:$D$20,4,FALSE),"")</f>
        <v>08_ÚDR</v>
      </c>
      <c r="G18" s="13"/>
      <c r="H18" s="14" t="str">
        <f>IFERROR(VLOOKUP(Hodnocene[[#This Row],[Podoblast]],Init!$F$2:$G$20,2,FALSE),"")</f>
        <v/>
      </c>
      <c r="I18" s="12">
        <v>10</v>
      </c>
      <c r="J18" s="13" t="s">
        <v>174</v>
      </c>
      <c r="K18" s="13" t="s">
        <v>175</v>
      </c>
      <c r="L18" s="33"/>
      <c r="M18" s="30">
        <f>IF(Hodnocene[[#This Row],[Účastník splňuje požadavek (Ano/Ne)]]="Ano",Hodnocene[[#This Row],[Váha nepovinného požadavku]],0)</f>
        <v>0</v>
      </c>
      <c r="N18" s="34"/>
    </row>
    <row r="19" spans="1:14" ht="28.8" x14ac:dyDescent="0.3">
      <c r="A19" s="10" t="str">
        <f>Hodnocene[[#This Row],[ID_Oblast]]&amp;"_"&amp;TEXT(Hodnocene[[#This Row],[ID_cislo]],"000")&amp;IF(Hodnocene[[#This Row],[ID_Podoblast]]="","","_"&amp;Hodnocene[[#This Row],[ID_Podoblast]])</f>
        <v>08_ÚDR_011</v>
      </c>
      <c r="B19" s="11" t="s">
        <v>236</v>
      </c>
      <c r="C19" s="11">
        <v>3</v>
      </c>
      <c r="D19" s="11" t="s">
        <v>236</v>
      </c>
      <c r="E19" s="6" t="s">
        <v>257</v>
      </c>
      <c r="F19" s="6" t="str">
        <f>IFERROR(VLOOKUP(Hodnocene[[#This Row],[Oblast]],Init!$A$2:$D$20,4,FALSE),"")</f>
        <v>08_ÚDR</v>
      </c>
      <c r="G19" s="13"/>
      <c r="H19" s="14" t="str">
        <f>IFERROR(VLOOKUP(Hodnocene[[#This Row],[Podoblast]],Init!$F$2:$G$20,2,FALSE),"")</f>
        <v/>
      </c>
      <c r="I19" s="12">
        <v>11</v>
      </c>
      <c r="J19" s="13" t="s">
        <v>176</v>
      </c>
      <c r="K19" s="13" t="s">
        <v>177</v>
      </c>
      <c r="L19" s="33"/>
      <c r="M19" s="30">
        <f>IF(Hodnocene[[#This Row],[Účastník splňuje požadavek (Ano/Ne)]]="Ano",Hodnocene[[#This Row],[Váha nepovinného požadavku]],0)</f>
        <v>0</v>
      </c>
      <c r="N19" s="34"/>
    </row>
    <row r="20" spans="1:14" x14ac:dyDescent="0.3">
      <c r="A20" s="10" t="str">
        <f>Hodnocene[[#This Row],[ID_Oblast]]&amp;"_"&amp;TEXT(Hodnocene[[#This Row],[ID_cislo]],"000")&amp;IF(Hodnocene[[#This Row],[ID_Podoblast]]="","","_"&amp;Hodnocene[[#This Row],[ID_Podoblast]])</f>
        <v>09_ENE_009</v>
      </c>
      <c r="B20" s="11" t="s">
        <v>236</v>
      </c>
      <c r="C20" s="11">
        <v>1</v>
      </c>
      <c r="D20" s="11" t="s">
        <v>236</v>
      </c>
      <c r="E20" s="6" t="s">
        <v>44</v>
      </c>
      <c r="F20" s="6" t="str">
        <f>IFERROR(VLOOKUP(Hodnocene[[#This Row],[Oblast]],Init!$A$2:$D$20,4,FALSE),"")</f>
        <v>09_ENE</v>
      </c>
      <c r="G20" s="13"/>
      <c r="H20" s="14" t="str">
        <f>IFERROR(VLOOKUP(Hodnocene[[#This Row],[Podoblast]],Init!$F$2:$G$20,2,FALSE),"")</f>
        <v/>
      </c>
      <c r="I20" s="12">
        <v>9</v>
      </c>
      <c r="J20" s="13" t="s">
        <v>193</v>
      </c>
      <c r="K20" s="13" t="s">
        <v>194</v>
      </c>
      <c r="L20" s="33"/>
      <c r="M20" s="30">
        <f>IF(Hodnocene[[#This Row],[Účastník splňuje požadavek (Ano/Ne)]]="Ano",Hodnocene[[#This Row],[Váha nepovinného požadavku]],0)</f>
        <v>0</v>
      </c>
      <c r="N20" s="34"/>
    </row>
    <row r="21" spans="1:14" ht="28.8" x14ac:dyDescent="0.3">
      <c r="A21" s="10" t="str">
        <f>Hodnocene[[#This Row],[ID_Oblast]]&amp;"_"&amp;TEXT(Hodnocene[[#This Row],[ID_cislo]],"000")&amp;IF(Hodnocene[[#This Row],[ID_Podoblast]]="","","_"&amp;Hodnocene[[#This Row],[ID_Podoblast]])</f>
        <v>09_ENE_010</v>
      </c>
      <c r="B21" s="11" t="s">
        <v>236</v>
      </c>
      <c r="C21" s="11">
        <v>1</v>
      </c>
      <c r="D21" s="11" t="s">
        <v>236</v>
      </c>
      <c r="E21" s="6" t="s">
        <v>44</v>
      </c>
      <c r="F21" s="6" t="str">
        <f>IFERROR(VLOOKUP(Hodnocene[[#This Row],[Oblast]],Init!$A$2:$D$20,4,FALSE),"")</f>
        <v>09_ENE</v>
      </c>
      <c r="G21" s="13"/>
      <c r="H21" s="14" t="str">
        <f>IFERROR(VLOOKUP(Hodnocene[[#This Row],[Podoblast]],Init!$F$2:$G$20,2,FALSE),"")</f>
        <v/>
      </c>
      <c r="I21" s="12">
        <v>10</v>
      </c>
      <c r="J21" s="13" t="s">
        <v>195</v>
      </c>
      <c r="K21" s="13" t="s">
        <v>196</v>
      </c>
      <c r="L21" s="33"/>
      <c r="M21" s="30">
        <f>IF(Hodnocene[[#This Row],[Účastník splňuje požadavek (Ano/Ne)]]="Ano",Hodnocene[[#This Row],[Váha nepovinného požadavku]],0)</f>
        <v>0</v>
      </c>
      <c r="N21" s="34"/>
    </row>
    <row r="22" spans="1:14" x14ac:dyDescent="0.3">
      <c r="A22" s="10" t="str">
        <f>Hodnocene[[#This Row],[ID_Oblast]]&amp;"_"&amp;TEXT(Hodnocene[[#This Row],[ID_cislo]],"000")&amp;IF(Hodnocene[[#This Row],[ID_Podoblast]]="","","_"&amp;Hodnocene[[#This Row],[ID_Podoblast]])</f>
        <v>10_DOK_004</v>
      </c>
      <c r="B22" s="11" t="s">
        <v>236</v>
      </c>
      <c r="C22" s="11">
        <v>1</v>
      </c>
      <c r="D22" s="11" t="s">
        <v>236</v>
      </c>
      <c r="E22" s="6" t="s">
        <v>47</v>
      </c>
      <c r="F22" s="6" t="str">
        <f>IFERROR(VLOOKUP(Hodnocene[[#This Row],[Oblast]],Init!$A$2:$D$20,4,FALSE),"")</f>
        <v>10_DOK</v>
      </c>
      <c r="G22" s="13"/>
      <c r="H22" s="14" t="str">
        <f>IFERROR(VLOOKUP(Hodnocene[[#This Row],[Podoblast]],Init!$F$2:$G$20,2,FALSE),"")</f>
        <v/>
      </c>
      <c r="I22" s="12">
        <v>4</v>
      </c>
      <c r="J22" s="13" t="s">
        <v>203</v>
      </c>
      <c r="K22" s="13" t="s">
        <v>204</v>
      </c>
      <c r="L22" s="33"/>
      <c r="M22" s="30">
        <f>IF(Hodnocene[[#This Row],[Účastník splňuje požadavek (Ano/Ne)]]="Ano",Hodnocene[[#This Row],[Váha nepovinného požadavku]],0)</f>
        <v>0</v>
      </c>
      <c r="N22" s="34"/>
    </row>
    <row r="23" spans="1:14" x14ac:dyDescent="0.3">
      <c r="A23" s="10" t="str">
        <f>Hodnocene[[#This Row],[ID_Oblast]]&amp;"_"&amp;TEXT(Hodnocene[[#This Row],[ID_cislo]],"000")&amp;IF(Hodnocene[[#This Row],[ID_Podoblast]]="","","_"&amp;Hodnocene[[#This Row],[ID_Podoblast]])</f>
        <v>10_DOK_006</v>
      </c>
      <c r="B23" s="11" t="s">
        <v>236</v>
      </c>
      <c r="C23" s="11">
        <v>1</v>
      </c>
      <c r="D23" s="11" t="s">
        <v>236</v>
      </c>
      <c r="E23" s="6" t="s">
        <v>47</v>
      </c>
      <c r="F23" s="6" t="str">
        <f>IFERROR(VLOOKUP(Hodnocene[[#This Row],[Oblast]],Init!$A$2:$D$20,4,FALSE),"")</f>
        <v>10_DOK</v>
      </c>
      <c r="G23" s="13"/>
      <c r="H23" s="14" t="str">
        <f>IFERROR(VLOOKUP(Hodnocene[[#This Row],[Podoblast]],Init!$F$2:$G$20,2,FALSE),"")</f>
        <v/>
      </c>
      <c r="I23" s="12">
        <v>6</v>
      </c>
      <c r="J23" s="13" t="s">
        <v>207</v>
      </c>
      <c r="K23" s="13" t="s">
        <v>208</v>
      </c>
      <c r="L23" s="33"/>
      <c r="M23" s="30">
        <f>IF(Hodnocene[[#This Row],[Účastník splňuje požadavek (Ano/Ne)]]="Ano",Hodnocene[[#This Row],[Váha nepovinného požadavku]],0)</f>
        <v>0</v>
      </c>
      <c r="N23" s="34"/>
    </row>
    <row r="24" spans="1:14" ht="57.6" x14ac:dyDescent="0.3">
      <c r="A24" s="10" t="str">
        <f>Hodnocene[[#This Row],[ID_Oblast]]&amp;"_"&amp;TEXT(Hodnocene[[#This Row],[ID_cislo]],"000")&amp;IF(Hodnocene[[#This Row],[ID_Podoblast]]="","","_"&amp;Hodnocene[[#This Row],[ID_Podoblast]])</f>
        <v>10_DOK_007</v>
      </c>
      <c r="B24" s="11" t="s">
        <v>236</v>
      </c>
      <c r="C24" s="11">
        <v>1</v>
      </c>
      <c r="D24" s="11" t="s">
        <v>236</v>
      </c>
      <c r="E24" s="6" t="s">
        <v>47</v>
      </c>
      <c r="F24" s="6" t="str">
        <f>IFERROR(VLOOKUP(Hodnocene[[#This Row],[Oblast]],Init!$A$2:$D$20,4,FALSE),"")</f>
        <v>10_DOK</v>
      </c>
      <c r="G24" s="13"/>
      <c r="H24" s="14" t="str">
        <f>IFERROR(VLOOKUP(Hodnocene[[#This Row],[Podoblast]],Init!$F$2:$G$20,2,FALSE),"")</f>
        <v/>
      </c>
      <c r="I24" s="12">
        <v>7</v>
      </c>
      <c r="J24" s="13" t="s">
        <v>209</v>
      </c>
      <c r="K24" s="13" t="s">
        <v>210</v>
      </c>
      <c r="L24" s="33"/>
      <c r="M24" s="30">
        <f>IF(Hodnocene[[#This Row],[Účastník splňuje požadavek (Ano/Ne)]]="Ano",Hodnocene[[#This Row],[Váha nepovinného požadavku]],0)</f>
        <v>0</v>
      </c>
      <c r="N24" s="34"/>
    </row>
    <row r="25" spans="1:14" x14ac:dyDescent="0.3">
      <c r="A25" s="10" t="str">
        <f>Hodnocene[[#This Row],[ID_Oblast]]&amp;"_"&amp;TEXT(Hodnocene[[#This Row],[ID_cislo]],"000")&amp;IF(Hodnocene[[#This Row],[ID_Podoblast]]="","","_"&amp;Hodnocene[[#This Row],[ID_Podoblast]])</f>
        <v>11_NÁJ_003</v>
      </c>
      <c r="B25" s="11" t="s">
        <v>236</v>
      </c>
      <c r="C25" s="11"/>
      <c r="D25" s="11" t="s">
        <v>236</v>
      </c>
      <c r="E25" s="6" t="s">
        <v>50</v>
      </c>
      <c r="F25" s="6" t="str">
        <f>IFERROR(VLOOKUP(Hodnocene[[#This Row],[Oblast]],Init!$A$2:$D$20,4,FALSE),"")</f>
        <v>11_NÁJ</v>
      </c>
      <c r="G25" s="13"/>
      <c r="H25" s="14" t="str">
        <f>IFERROR(VLOOKUP(Hodnocene[[#This Row],[Podoblast]],Init!$F$2:$G$20,2,FALSE),"")</f>
        <v/>
      </c>
      <c r="I25" s="12">
        <v>3</v>
      </c>
      <c r="J25" s="13" t="s">
        <v>215</v>
      </c>
      <c r="K25" s="13" t="s">
        <v>216</v>
      </c>
      <c r="L25" s="33"/>
      <c r="M25" s="30">
        <f>IF(Hodnocene[[#This Row],[Účastník splňuje požadavek (Ano/Ne)]]="Ano",Hodnocene[[#This Row],[Váha nepovinného požadavku]],0)</f>
        <v>0</v>
      </c>
      <c r="N25" s="34"/>
    </row>
    <row r="26" spans="1:14" ht="28.8" x14ac:dyDescent="0.3">
      <c r="A26" s="10" t="str">
        <f>Hodnocene[[#This Row],[ID_Oblast]]&amp;"_"&amp;TEXT(Hodnocene[[#This Row],[ID_cislo]],"000")&amp;IF(Hodnocene[[#This Row],[ID_Podoblast]]="","","_"&amp;Hodnocene[[#This Row],[ID_Podoblast]])</f>
        <v>13_SML_002</v>
      </c>
      <c r="B26" s="11" t="s">
        <v>236</v>
      </c>
      <c r="C26" s="11">
        <v>1</v>
      </c>
      <c r="D26" s="11" t="s">
        <v>235</v>
      </c>
      <c r="E26" s="6" t="s">
        <v>67</v>
      </c>
      <c r="F26" s="6" t="str">
        <f>IFERROR(VLOOKUP(Hodnocene[[#This Row],[Oblast]],Init!$A$2:$D$20,4,FALSE),"")</f>
        <v>13_SML</v>
      </c>
      <c r="G26" s="13"/>
      <c r="H26" s="14" t="str">
        <f>IFERROR(VLOOKUP(Hodnocene[[#This Row],[Podoblast]],Init!$F$2:$G$20,2,FALSE),"")</f>
        <v/>
      </c>
      <c r="I26" s="12">
        <v>2</v>
      </c>
      <c r="J26" s="13" t="s">
        <v>219</v>
      </c>
      <c r="K26" s="13" t="s">
        <v>220</v>
      </c>
      <c r="L26" s="33"/>
      <c r="M26" s="30">
        <f>IF(Hodnocene[[#This Row],[Účastník splňuje požadavek (Ano/Ne)]]="Ano",Hodnocene[[#This Row],[Váha nepovinného požadavku]],0)</f>
        <v>0</v>
      </c>
      <c r="N26" s="34"/>
    </row>
    <row r="27" spans="1:14" ht="28.8" x14ac:dyDescent="0.3">
      <c r="A27" s="10" t="str">
        <f>Hodnocene[[#This Row],[ID_Oblast]]&amp;"_"&amp;TEXT(Hodnocene[[#This Row],[ID_cislo]],"000")&amp;IF(Hodnocene[[#This Row],[ID_Podoblast]]="","","_"&amp;Hodnocene[[#This Row],[ID_Podoblast]])</f>
        <v>14_GRA_001_BIM</v>
      </c>
      <c r="B27" s="11" t="s">
        <v>236</v>
      </c>
      <c r="C27" s="11">
        <v>3</v>
      </c>
      <c r="D27" s="11" t="s">
        <v>236</v>
      </c>
      <c r="E27" s="6" t="s">
        <v>256</v>
      </c>
      <c r="F27" s="6" t="str">
        <f>IFERROR(VLOOKUP(Hodnocene[[#This Row],[Oblast]],Init!$A$2:$D$20,4,FALSE),"")</f>
        <v>14_GRA</v>
      </c>
      <c r="G27" s="13" t="s">
        <v>38</v>
      </c>
      <c r="H27" s="6" t="str">
        <f>IFERROR(VLOOKUP(Hodnocene[[#This Row],[Podoblast]],Init!$F$2:$G$20,2,FALSE),"")</f>
        <v>BIM</v>
      </c>
      <c r="I27" s="12">
        <v>1</v>
      </c>
      <c r="J27" s="13" t="s">
        <v>246</v>
      </c>
      <c r="K27" s="13" t="s">
        <v>242</v>
      </c>
      <c r="L27" s="33"/>
      <c r="M27" s="30">
        <f>IF(Hodnocene[[#This Row],[Účastník splňuje požadavek (Ano/Ne)]]="Ano",Hodnocene[[#This Row],[Váha nepovinného požadavku]],0)</f>
        <v>0</v>
      </c>
      <c r="N27" s="34"/>
    </row>
    <row r="28" spans="1:14" ht="28.8" x14ac:dyDescent="0.3">
      <c r="A28" s="10" t="str">
        <f>Hodnocene[[#This Row],[ID_Oblast]]&amp;"_"&amp;TEXT(Hodnocene[[#This Row],[ID_cislo]],"000")&amp;IF(Hodnocene[[#This Row],[ID_Podoblast]]="","","_"&amp;Hodnocene[[#This Row],[ID_Podoblast]])</f>
        <v>14_GRA_002_CAD</v>
      </c>
      <c r="B28" s="11" t="s">
        <v>236</v>
      </c>
      <c r="C28" s="11">
        <v>2</v>
      </c>
      <c r="D28" s="11" t="s">
        <v>236</v>
      </c>
      <c r="E28" s="6" t="s">
        <v>256</v>
      </c>
      <c r="F28" s="6" t="str">
        <f>IFERROR(VLOOKUP(Hodnocene[[#This Row],[Oblast]],Init!$A$2:$D$20,4,FALSE),"")</f>
        <v>14_GRA</v>
      </c>
      <c r="G28" s="13" t="s">
        <v>42</v>
      </c>
      <c r="H28" s="6" t="str">
        <f>IFERROR(VLOOKUP(Hodnocene[[#This Row],[Podoblast]],Init!$F$2:$G$20,2,FALSE),"")</f>
        <v>CAD</v>
      </c>
      <c r="I28" s="12">
        <v>2</v>
      </c>
      <c r="J28" s="13" t="s">
        <v>247</v>
      </c>
      <c r="K28" s="13" t="s">
        <v>243</v>
      </c>
      <c r="L28" s="33"/>
      <c r="M28" s="30">
        <f>IF(Hodnocene[[#This Row],[Účastník splňuje požadavek (Ano/Ne)]]="Ano",Hodnocene[[#This Row],[Váha nepovinného požadavku]],0)</f>
        <v>0</v>
      </c>
      <c r="N28" s="34"/>
    </row>
    <row r="29" spans="1:14" x14ac:dyDescent="0.3">
      <c r="A29" s="10" t="str">
        <f>Hodnocene[[#This Row],[ID_Oblast]]&amp;"_"&amp;TEXT(Hodnocene[[#This Row],[ID_cislo]],"000")&amp;IF(Hodnocene[[#This Row],[ID_Podoblast]]="","","_"&amp;Hodnocene[[#This Row],[ID_Podoblast]])</f>
        <v>15_APP_003</v>
      </c>
      <c r="B29" s="11" t="s">
        <v>236</v>
      </c>
      <c r="C29" s="11">
        <v>1</v>
      </c>
      <c r="D29" s="11" t="s">
        <v>236</v>
      </c>
      <c r="E29" s="6" t="s">
        <v>64</v>
      </c>
      <c r="F29" s="6" t="str">
        <f>IFERROR(VLOOKUP(Hodnocene[[#This Row],[Oblast]],Init!$A$2:$D$20,4,FALSE),"")</f>
        <v>15_APP</v>
      </c>
      <c r="G29" s="13"/>
      <c r="H29" s="14" t="str">
        <f>IFERROR(VLOOKUP(Hodnocene[[#This Row],[Podoblast]],Init!$F$2:$G$20,2,FALSE),"")</f>
        <v/>
      </c>
      <c r="I29" s="12">
        <v>3</v>
      </c>
      <c r="J29" s="13" t="s">
        <v>225</v>
      </c>
      <c r="K29" s="13" t="s">
        <v>226</v>
      </c>
      <c r="L29" s="33"/>
      <c r="M29" s="30">
        <f>IF(Hodnocene[[#This Row],[Účastník splňuje požadavek (Ano/Ne)]]="Ano",Hodnocene[[#This Row],[Váha nepovinného požadavku]],0)</f>
        <v>0</v>
      </c>
      <c r="N29" s="34"/>
    </row>
    <row r="30" spans="1:14" ht="15" thickBot="1" x14ac:dyDescent="0.35">
      <c r="A30" s="18" t="str">
        <f>Hodnocene[[#This Row],[ID_Oblast]]&amp;"_"&amp;TEXT(Hodnocene[[#This Row],[ID_cislo]],"000")&amp;IF(Hodnocene[[#This Row],[ID_Podoblast]]="","","_"&amp;Hodnocene[[#This Row],[ID_Podoblast]])</f>
        <v>15_APP_004</v>
      </c>
      <c r="B30" s="11" t="s">
        <v>236</v>
      </c>
      <c r="C30" s="19">
        <v>1</v>
      </c>
      <c r="D30" s="19" t="s">
        <v>236</v>
      </c>
      <c r="E30" s="20" t="s">
        <v>64</v>
      </c>
      <c r="F30" s="20" t="str">
        <f>IFERROR(VLOOKUP(Hodnocene[[#This Row],[Oblast]],Init!$A$2:$D$20,4,FALSE),"")</f>
        <v>15_APP</v>
      </c>
      <c r="G30" s="23"/>
      <c r="H30" s="21" t="str">
        <f>IFERROR(VLOOKUP(Hodnocene[[#This Row],[Podoblast]],Init!$F$2:$G$20,2,FALSE),"")</f>
        <v/>
      </c>
      <c r="I30" s="22">
        <v>4</v>
      </c>
      <c r="J30" s="23" t="s">
        <v>144</v>
      </c>
      <c r="K30" s="23" t="s">
        <v>227</v>
      </c>
      <c r="L30" s="33"/>
      <c r="M30" s="30">
        <f>IF(Hodnocene[[#This Row],[Účastník splňuje požadavek (Ano/Ne)]]="Ano",Hodnocene[[#This Row],[Váha nepovinného požadavku]],0)</f>
        <v>0</v>
      </c>
      <c r="N30" s="34"/>
    </row>
    <row r="31" spans="1:14" ht="35.549999999999997" customHeight="1" thickBot="1" x14ac:dyDescent="0.35">
      <c r="A31" s="18" t="str">
        <f>Hodnocene[[#This Row],[ID_Oblast]]&amp;"_"&amp;TEXT(Hodnocene[[#This Row],[ID_cislo]],"000")&amp;IF(Hodnocene[[#This Row],[ID_Podoblast]]="","","_"&amp;Hodnocene[[#This Row],[ID_Podoblast]])</f>
        <v>15_APP_005</v>
      </c>
      <c r="B31" s="11" t="s">
        <v>236</v>
      </c>
      <c r="C31" s="11">
        <v>1</v>
      </c>
      <c r="D31" s="11" t="s">
        <v>236</v>
      </c>
      <c r="E31" s="20" t="s">
        <v>64</v>
      </c>
      <c r="F31" s="6" t="str">
        <f>IFERROR(VLOOKUP(Hodnocene[[#This Row],[Oblast]],Init!$A$2:$D$20,4,FALSE),"")</f>
        <v>15_APP</v>
      </c>
      <c r="G31" s="13"/>
      <c r="H31" s="14" t="str">
        <f>IFERROR(VLOOKUP(Hodnocene[[#This Row],[Podoblast]],Init!$F$2:$G$20,2,FALSE),"")</f>
        <v/>
      </c>
      <c r="I31" s="12">
        <v>5</v>
      </c>
      <c r="J31" s="13" t="s">
        <v>228</v>
      </c>
      <c r="K31" s="13" t="s">
        <v>229</v>
      </c>
      <c r="L31" s="33"/>
      <c r="M31" s="30">
        <f>IF(Hodnocene[[#This Row],[Účastník splňuje požadavek (Ano/Ne)]]="Ano",Hodnocene[[#This Row],[Váha nepovinného požadavku]],0)</f>
        <v>0</v>
      </c>
      <c r="N31" s="34"/>
    </row>
    <row r="32" spans="1:14" x14ac:dyDescent="0.3">
      <c r="A32" s="25"/>
      <c r="B32" s="25"/>
      <c r="C32" s="25"/>
      <c r="D32" s="25"/>
      <c r="E32" s="25"/>
      <c r="F32" s="25"/>
      <c r="G32" s="25"/>
      <c r="H32" s="25"/>
      <c r="I32" s="25"/>
      <c r="J32" s="25"/>
      <c r="K32" s="25"/>
      <c r="L32" s="25"/>
      <c r="M32" s="25"/>
      <c r="N32" s="25"/>
    </row>
    <row r="33" spans="1:14" x14ac:dyDescent="0.3">
      <c r="B33" s="27" t="s">
        <v>230</v>
      </c>
      <c r="C33" s="26">
        <f>SUM(Hodnocene[Váha nepovinného požadavku])</f>
        <v>46</v>
      </c>
      <c r="K33" s="27" t="s">
        <v>248</v>
      </c>
      <c r="L33" s="6">
        <f>COUNTIF(Hodnocene[Účastník splňuje požadavek (Ano/Ne)],"Ano")</f>
        <v>0</v>
      </c>
    </row>
    <row r="34" spans="1:14" x14ac:dyDescent="0.3">
      <c r="A34" s="27"/>
      <c r="B34" s="26"/>
      <c r="K34" s="27" t="s">
        <v>249</v>
      </c>
      <c r="L34" s="6">
        <f>COUNTIF(Hodnocene[Účastník splňuje požadavek (Ano/Ne)],"Ne")</f>
        <v>0</v>
      </c>
    </row>
    <row r="35" spans="1:14" x14ac:dyDescent="0.3">
      <c r="A35" s="27"/>
      <c r="B35" s="26"/>
      <c r="K35" s="27" t="s">
        <v>250</v>
      </c>
      <c r="L35" s="6">
        <f>COUNTBLANK(Hodnocene[Účastník splňuje požadavek (Ano/Ne)])</f>
        <v>29</v>
      </c>
    </row>
    <row r="37" spans="1:14" x14ac:dyDescent="0.3">
      <c r="K37" s="27" t="s">
        <v>252</v>
      </c>
      <c r="L37" s="26"/>
      <c r="M37" s="26">
        <f>SUM(Hodnocene[Body])</f>
        <v>0</v>
      </c>
      <c r="N37" s="26" t="str">
        <f>"z celkového počtu "&amp;C33&amp;" bodů"</f>
        <v>z celkového počtu 46 bodů</v>
      </c>
    </row>
  </sheetData>
  <sheetProtection algorithmName="SHA-512" hashValue="VYT0ZncI1pp5m5U5FIesBNzR1Y+dwN1F8qcPEAScg5xuKLV28/vPNJ71bAJxsskNBKUciqhNX3AJtpNPEkbtiQ==" saltValue="ch8lmqyo/IGJvdenLbpFwg==" spinCount="100000" sheet="1" objects="1" scenarios="1" formatColumns="0" formatRows="0"/>
  <conditionalFormatting sqref="A3:K976">
    <cfRule type="cellIs" dxfId="51" priority="7" operator="notEqual">
      <formula>"Kousek těsta"</formula>
    </cfRule>
  </conditionalFormatting>
  <conditionalFormatting sqref="B3:C976">
    <cfRule type="expression" dxfId="50" priority="11">
      <formula>$B3="Ne"</formula>
    </cfRule>
    <cfRule type="expression" dxfId="49" priority="12">
      <formula>$B3="Ano"</formula>
    </cfRule>
  </conditionalFormatting>
  <conditionalFormatting sqref="C3:D976">
    <cfRule type="cellIs" dxfId="48" priority="10" operator="equal">
      <formula>"Ano"</formula>
    </cfRule>
  </conditionalFormatting>
  <conditionalFormatting sqref="D3:D976">
    <cfRule type="cellIs" dxfId="47" priority="5" operator="equal">
      <formula>"Ne"</formula>
    </cfRule>
  </conditionalFormatting>
  <conditionalFormatting sqref="K33:K34">
    <cfRule type="expression" dxfId="34" priority="1">
      <formula>$B33="Ne"</formula>
    </cfRule>
    <cfRule type="expression" dxfId="33" priority="2">
      <formula>$B33="Ano"</formula>
    </cfRule>
  </conditionalFormatting>
  <pageMargins left="0.7" right="0.7" top="0.75" bottom="0.75" header="0.3" footer="0.3"/>
  <pageSetup paperSize="9"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8" id="{3AEBD5E9-FC50-427E-AC3C-ED821FDECC1A}">
            <xm:f>$E3=Init!$A$12</xm:f>
            <x14:dxf>
              <fill>
                <patternFill>
                  <bgColor rgb="FF61BBFF"/>
                </patternFill>
              </fill>
            </x14:dxf>
          </x14:cfRule>
          <x14:cfRule type="expression" priority="9" id="{F41213B6-F8A9-4293-B554-D229076AD455}">
            <xm:f>$E3=Init!$A$18</xm:f>
            <x14:dxf>
              <fill>
                <patternFill>
                  <bgColor rgb="FFF09456"/>
                </patternFill>
              </fill>
            </x14:dxf>
          </x14:cfRule>
          <x14:cfRule type="expression" priority="13" id="{D3656048-E494-4434-A103-4422276AF4F1}">
            <xm:f>$E3=Init!$A$11</xm:f>
            <x14:dxf>
              <fill>
                <patternFill>
                  <bgColor theme="8" tint="0.79998168889431442"/>
                </patternFill>
              </fill>
            </x14:dxf>
          </x14:cfRule>
          <x14:cfRule type="expression" priority="14" id="{4ACAAC6B-03AE-48FF-9456-F9E408D1C32D}">
            <xm:f>$E3=Init!$A$17</xm:f>
            <x14:dxf>
              <fill>
                <patternFill>
                  <bgColor rgb="FFBA8CDC"/>
                </patternFill>
              </fill>
            </x14:dxf>
          </x14:cfRule>
          <x14:cfRule type="expression" priority="15" id="{5B7639F8-7B3D-46EA-8AB4-97C6D8D065AB}">
            <xm:f>$E3=Init!$A$8</xm:f>
            <x14:dxf>
              <fill>
                <patternFill>
                  <bgColor rgb="FFFF9BBC"/>
                </patternFill>
              </fill>
            </x14:dxf>
          </x14:cfRule>
          <x14:cfRule type="expression" priority="16" id="{5E7E8133-B423-4EA7-BF19-8C56728B1545}">
            <xm:f>$E3=Init!$A$7</xm:f>
            <x14:dxf>
              <fill>
                <patternFill>
                  <bgColor theme="6" tint="0.59996337778862885"/>
                </patternFill>
              </fill>
            </x14:dxf>
          </x14:cfRule>
          <x14:cfRule type="expression" priority="17" id="{893B0D3A-AC1D-4BA6-8DFD-D700B9794706}">
            <xm:f>$E3=Init!$A$10</xm:f>
            <x14:dxf>
              <fill>
                <patternFill>
                  <bgColor theme="7" tint="0.39994506668294322"/>
                </patternFill>
              </fill>
            </x14:dxf>
          </x14:cfRule>
          <x14:cfRule type="expression" priority="18" id="{E93A84B8-9E50-4940-A613-00B1D47C966B}">
            <xm:f>$E3=Init!$A$9</xm:f>
            <x14:dxf>
              <fill>
                <patternFill>
                  <bgColor theme="9" tint="0.59996337778862885"/>
                </patternFill>
              </fill>
            </x14:dxf>
          </x14:cfRule>
          <x14:cfRule type="expression" priority="19" id="{8FB36B90-4D89-4CBD-A892-BF3F79D73300}">
            <xm:f>$E3=Init!$A$4</xm:f>
            <x14:dxf>
              <fill>
                <patternFill>
                  <bgColor theme="3" tint="0.59996337778862885"/>
                </patternFill>
              </fill>
            </x14:dxf>
          </x14:cfRule>
          <x14:cfRule type="expression" priority="20" id="{380E3F6E-4D32-4B21-9183-AAB3D43B3F9C}">
            <xm:f>$E3=Init!$A$6</xm:f>
            <x14:dxf>
              <fill>
                <patternFill>
                  <bgColor theme="5" tint="0.39994506668294322"/>
                </patternFill>
              </fill>
            </x14:dxf>
          </x14:cfRule>
          <x14:cfRule type="expression" priority="21" id="{E3CD67A9-23CF-49D0-B1F8-92CEE7CCEBA4}">
            <xm:f>$E3=Init!$A$3</xm:f>
            <x14:dxf>
              <fill>
                <patternFill>
                  <bgColor theme="3" tint="0.79998168889431442"/>
                </patternFill>
              </fill>
            </x14:dxf>
          </x14:cfRule>
          <x14:cfRule type="expression" priority="22" id="{52C7488D-8358-4DF1-8422-92A5EBA6AF0C}">
            <xm:f>$E3=Init!$A$2</xm:f>
            <x14:dxf>
              <fill>
                <patternFill>
                  <bgColor theme="7" tint="0.79998168889431442"/>
                </patternFill>
              </fill>
            </x14:dxf>
          </x14:cfRule>
          <xm:sqref>E3:K976</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r:uid="{8B563104-6FCD-40ED-8FDB-FD72DEF1FBF2}">
          <x14:formula1>
            <xm:f>Init!$J$2:$J$3</xm:f>
          </x14:formula1>
          <xm:sqref>B3:B31 D3:D31 L3:L31</xm:sqref>
        </x14:dataValidation>
        <x14:dataValidation type="list" allowBlank="1" showInputMessage="1" xr:uid="{8CBB8090-4912-4884-9232-259E08396C4F}">
          <x14:formula1>
            <xm:f>Init!$F$2:$F$13</xm:f>
          </x14:formula1>
          <xm:sqref>G3:G31</xm:sqref>
        </x14:dataValidation>
        <x14:dataValidation type="list" allowBlank="1" showInputMessage="1" xr:uid="{ED0473AA-F455-46DE-B5AA-E2BCD382FCE0}">
          <x14:formula1>
            <xm:f>Init!$A$2:$A$20</xm:f>
          </x14:formula1>
          <xm:sqref>E3:E31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A1:Q90"/>
  <sheetViews>
    <sheetView zoomScale="85" zoomScaleNormal="85" workbookViewId="0">
      <pane ySplit="2" topLeftCell="A3" activePane="bottomLeft" state="frozen"/>
      <selection pane="bottomLeft" activeCell="E6" sqref="E6"/>
    </sheetView>
  </sheetViews>
  <sheetFormatPr defaultColWidth="9.21875" defaultRowHeight="14.4" x14ac:dyDescent="0.3"/>
  <cols>
    <col min="1" max="1" width="17" style="6" customWidth="1"/>
    <col min="2" max="4" width="9.77734375" style="6" customWidth="1"/>
    <col min="5" max="5" width="10" style="6" customWidth="1"/>
    <col min="6" max="6" width="21" style="6" bestFit="1" customWidth="1"/>
    <col min="7" max="7" width="16" style="6" customWidth="1"/>
    <col min="8" max="8" width="13.21875" style="6" customWidth="1"/>
    <col min="9" max="9" width="8.21875" style="6" customWidth="1"/>
    <col min="10" max="10" width="7.77734375" style="6" customWidth="1"/>
    <col min="11" max="11" width="44.77734375" style="6" bestFit="1" customWidth="1"/>
    <col min="12" max="12" width="127.21875" style="6" customWidth="1"/>
    <col min="13" max="13" width="11.77734375" style="6" customWidth="1"/>
    <col min="14" max="14" width="5.21875" style="6" customWidth="1"/>
    <col min="15" max="15" width="24.77734375" style="6" customWidth="1"/>
    <col min="16" max="16" width="3.5546875" style="6" customWidth="1"/>
    <col min="17" max="17" width="12.44140625" style="6" bestFit="1" customWidth="1"/>
    <col min="18" max="16384" width="9.21875" style="6"/>
  </cols>
  <sheetData>
    <row r="1" spans="1:17" ht="23.4" x14ac:dyDescent="0.3">
      <c r="A1" s="4" t="s">
        <v>258</v>
      </c>
      <c r="B1" s="4"/>
      <c r="C1" s="4"/>
      <c r="D1" s="4"/>
      <c r="E1" s="4"/>
      <c r="F1" s="5"/>
      <c r="G1" s="5"/>
      <c r="H1" s="5"/>
      <c r="I1" s="5"/>
      <c r="J1" s="5"/>
      <c r="K1" s="16"/>
      <c r="L1" s="16"/>
      <c r="M1" s="5"/>
      <c r="N1" s="5"/>
      <c r="O1" s="5"/>
      <c r="P1" s="5"/>
      <c r="Q1" s="6" t="str">
        <f>"D$3:$K$1002"</f>
        <v>D$3:$K$1002</v>
      </c>
    </row>
    <row r="2" spans="1:17" ht="72" x14ac:dyDescent="0.3">
      <c r="A2" s="7" t="s">
        <v>69</v>
      </c>
      <c r="B2" s="8" t="s">
        <v>70</v>
      </c>
      <c r="C2" s="8" t="s">
        <v>71</v>
      </c>
      <c r="D2" s="8" t="s">
        <v>72</v>
      </c>
      <c r="E2" s="8" t="s">
        <v>73</v>
      </c>
      <c r="F2" s="7" t="s">
        <v>74</v>
      </c>
      <c r="G2" s="7" t="s">
        <v>75</v>
      </c>
      <c r="H2" s="7" t="s">
        <v>76</v>
      </c>
      <c r="I2" s="7" t="s">
        <v>77</v>
      </c>
      <c r="J2" s="7" t="s">
        <v>78</v>
      </c>
      <c r="K2" s="7" t="s">
        <v>79</v>
      </c>
      <c r="L2" s="7" t="s">
        <v>80</v>
      </c>
      <c r="M2" s="8" t="s">
        <v>238</v>
      </c>
      <c r="N2" s="9" t="s">
        <v>251</v>
      </c>
      <c r="O2" s="9" t="s">
        <v>237</v>
      </c>
      <c r="P2" s="28"/>
    </row>
    <row r="3" spans="1:17" ht="100.8" x14ac:dyDescent="0.3">
      <c r="A3" s="10" t="str">
        <f>Funkcionality[[#This Row],[ID_Oblast]]&amp;"_"&amp;TEXT(Funkcionality[[#This Row],[ID_cislo]],"000")&amp;IF(Funkcionality[[#This Row],[ID_Podoblast]]="","","_"&amp;Funkcionality[[#This Row],[ID_Podoblast]])</f>
        <v>01_EVI_001</v>
      </c>
      <c r="B3" s="11" t="s">
        <v>235</v>
      </c>
      <c r="C3" s="11"/>
      <c r="D3" s="24" t="str">
        <f>IF(Funkcionality[[#This Row],[Váha nepovinného požadavku]]=0,"",Funkcionality[[#This Row],[Váha nepovinného požadavku]]/$C$86)</f>
        <v/>
      </c>
      <c r="E3" s="11" t="s">
        <v>235</v>
      </c>
      <c r="F3" s="6" t="s">
        <v>7</v>
      </c>
      <c r="G3" s="6" t="str">
        <f>IFERROR(VLOOKUP(Funkcionality[[#This Row],[Oblast]],Init!$A$2:$D$20,4,FALSE),"")</f>
        <v>01_EVI</v>
      </c>
      <c r="H3" s="13"/>
      <c r="I3" s="6" t="str">
        <f>IFERROR(VLOOKUP(Funkcionality[[#This Row],[Podoblast]],Init!$F$2:$G$20,2,FALSE),"")</f>
        <v/>
      </c>
      <c r="J3" s="12">
        <v>1</v>
      </c>
      <c r="K3" s="13" t="s">
        <v>81</v>
      </c>
      <c r="L3" s="13" t="s">
        <v>233</v>
      </c>
      <c r="M3" s="17"/>
      <c r="N3" s="30">
        <f>IF(Funkcionality[[#This Row],[Účastník splňuje požadavek (Ano/Ne)]]="Ano",Funkcionality[[#This Row],[% vaha]],0)</f>
        <v>0</v>
      </c>
      <c r="O3" s="29"/>
      <c r="P3" s="5"/>
    </row>
    <row r="4" spans="1:17" x14ac:dyDescent="0.3">
      <c r="A4" s="10" t="str">
        <f>Funkcionality[[#This Row],[ID_Oblast]]&amp;"_"&amp;TEXT(Funkcionality[[#This Row],[ID_cislo]],"000")&amp;IF(Funkcionality[[#This Row],[ID_Podoblast]]="","","_"&amp;Funkcionality[[#This Row],[ID_Podoblast]])</f>
        <v>01_EVI_002</v>
      </c>
      <c r="B4" s="11" t="s">
        <v>235</v>
      </c>
      <c r="C4" s="11"/>
      <c r="D4" s="24" t="str">
        <f>IF(Funkcionality[[#This Row],[Váha nepovinného požadavku]]=0,"",Funkcionality[[#This Row],[Váha nepovinného požadavku]]/$C$86)</f>
        <v/>
      </c>
      <c r="E4" s="11" t="s">
        <v>235</v>
      </c>
      <c r="F4" s="6" t="s">
        <v>7</v>
      </c>
      <c r="G4" s="6" t="str">
        <f>IFERROR(VLOOKUP(Funkcionality[[#This Row],[Oblast]],Init!$A$2:$D$20,4,FALSE),"")</f>
        <v>01_EVI</v>
      </c>
      <c r="H4" s="13"/>
      <c r="I4" s="6" t="str">
        <f>IFERROR(VLOOKUP(Funkcionality[[#This Row],[Podoblast]],Init!$F$2:$G$20,2,FALSE),"")</f>
        <v/>
      </c>
      <c r="J4" s="12">
        <v>2</v>
      </c>
      <c r="K4" s="13" t="s">
        <v>240</v>
      </c>
      <c r="L4" s="13" t="s">
        <v>82</v>
      </c>
      <c r="M4" s="17"/>
      <c r="N4" s="30">
        <f>IF(Funkcionality[[#This Row],[Účastník splňuje požadavek (Ano/Ne)]]="Ano",Funkcionality[[#This Row],[% vaha]],0)</f>
        <v>0</v>
      </c>
      <c r="O4" s="29"/>
      <c r="P4" s="25"/>
    </row>
    <row r="5" spans="1:17" ht="28.8" x14ac:dyDescent="0.3">
      <c r="A5" s="10" t="str">
        <f>Funkcionality[[#This Row],[ID_Oblast]]&amp;"_"&amp;TEXT(Funkcionality[[#This Row],[ID_cislo]],"000")&amp;IF(Funkcionality[[#This Row],[ID_Podoblast]]="","","_"&amp;Funkcionality[[#This Row],[ID_Podoblast]])</f>
        <v>01_EVI_003</v>
      </c>
      <c r="B5" s="11" t="s">
        <v>235</v>
      </c>
      <c r="C5" s="11"/>
      <c r="D5" s="24" t="str">
        <f>IF(Funkcionality[[#This Row],[Váha nepovinného požadavku]]=0,"",Funkcionality[[#This Row],[Váha nepovinného požadavku]]/$C$86)</f>
        <v/>
      </c>
      <c r="E5" s="11" t="s">
        <v>236</v>
      </c>
      <c r="F5" s="6" t="s">
        <v>7</v>
      </c>
      <c r="G5" s="6" t="str">
        <f>IFERROR(VLOOKUP(Funkcionality[[#This Row],[Oblast]],Init!$A$2:$D$20,4,FALSE),"")</f>
        <v>01_EVI</v>
      </c>
      <c r="H5" s="13"/>
      <c r="I5" s="14" t="str">
        <f>IFERROR(VLOOKUP(Funkcionality[[#This Row],[Podoblast]],Init!$F$2:$G$20,2,FALSE),"")</f>
        <v/>
      </c>
      <c r="J5" s="12">
        <v>3</v>
      </c>
      <c r="K5" s="13" t="s">
        <v>83</v>
      </c>
      <c r="L5" s="13" t="s">
        <v>84</v>
      </c>
      <c r="M5" s="17"/>
      <c r="N5" s="30">
        <f>IF(Funkcionality[[#This Row],[Účastník splňuje požadavek (Ano/Ne)]]="Ano",Funkcionality[[#This Row],[% vaha]],0)</f>
        <v>0</v>
      </c>
      <c r="O5" s="29"/>
      <c r="P5" s="25"/>
    </row>
    <row r="6" spans="1:17" ht="28.8" x14ac:dyDescent="0.3">
      <c r="A6" s="10" t="str">
        <f>Funkcionality[[#This Row],[ID_Oblast]]&amp;"_"&amp;TEXT(Funkcionality[[#This Row],[ID_cislo]],"000")&amp;IF(Funkcionality[[#This Row],[ID_Podoblast]]="","","_"&amp;Funkcionality[[#This Row],[ID_Podoblast]])</f>
        <v>01_EVI_004</v>
      </c>
      <c r="B6" s="11" t="s">
        <v>236</v>
      </c>
      <c r="C6" s="11">
        <v>3</v>
      </c>
      <c r="D6" s="24">
        <f>IF(Funkcionality[[#This Row],[Váha nepovinného požadavku]]=0,"",Funkcionality[[#This Row],[Váha nepovinného požadavku]]/$C$86)</f>
        <v>6.5217391304347824E-2</v>
      </c>
      <c r="E6" s="11" t="s">
        <v>236</v>
      </c>
      <c r="F6" s="6" t="s">
        <v>7</v>
      </c>
      <c r="G6" s="6" t="str">
        <f>IFERROR(VLOOKUP(Funkcionality[[#This Row],[Oblast]],Init!$A$2:$D$20,4,FALSE),"")</f>
        <v>01_EVI</v>
      </c>
      <c r="H6" s="13"/>
      <c r="I6" s="6" t="str">
        <f>IFERROR(VLOOKUP(Funkcionality[[#This Row],[Podoblast]],Init!$F$2:$G$20,2,FALSE),"")</f>
        <v/>
      </c>
      <c r="J6" s="12">
        <v>4</v>
      </c>
      <c r="K6" s="13" t="s">
        <v>85</v>
      </c>
      <c r="L6" s="13" t="s">
        <v>86</v>
      </c>
      <c r="M6" s="17"/>
      <c r="N6" s="30">
        <f>IF(Funkcionality[[#This Row],[Účastník splňuje požadavek (Ano/Ne)]]="Ano",Funkcionality[[#This Row],[% vaha]],0)</f>
        <v>0</v>
      </c>
      <c r="O6" s="29"/>
      <c r="P6" s="25"/>
    </row>
    <row r="7" spans="1:17" ht="28.8" x14ac:dyDescent="0.3">
      <c r="A7" s="10" t="str">
        <f>Funkcionality[[#This Row],[ID_Oblast]]&amp;"_"&amp;TEXT(Funkcionality[[#This Row],[ID_cislo]],"000")&amp;IF(Funkcionality[[#This Row],[ID_Podoblast]]="","","_"&amp;Funkcionality[[#This Row],[ID_Podoblast]])</f>
        <v>01_EVI_005</v>
      </c>
      <c r="B7" s="11" t="s">
        <v>235</v>
      </c>
      <c r="C7" s="11"/>
      <c r="D7" s="24" t="str">
        <f>IF(Funkcionality[[#This Row],[Váha nepovinného požadavku]]=0,"",Funkcionality[[#This Row],[Váha nepovinného požadavku]]/$C$86)</f>
        <v/>
      </c>
      <c r="E7" s="11" t="s">
        <v>236</v>
      </c>
      <c r="F7" s="6" t="s">
        <v>7</v>
      </c>
      <c r="G7" s="6" t="str">
        <f>IFERROR(VLOOKUP(Funkcionality[[#This Row],[Oblast]],Init!$A$2:$D$20,4,FALSE),"")</f>
        <v>01_EVI</v>
      </c>
      <c r="H7" s="13"/>
      <c r="I7" s="14" t="str">
        <f>IFERROR(VLOOKUP(Funkcionality[[#This Row],[Podoblast]],Init!$F$2:$G$20,2,FALSE),"")</f>
        <v/>
      </c>
      <c r="J7" s="12">
        <v>5</v>
      </c>
      <c r="K7" s="13" t="s">
        <v>87</v>
      </c>
      <c r="L7" s="13" t="s">
        <v>88</v>
      </c>
      <c r="M7" s="17"/>
      <c r="N7" s="30">
        <f>IF(Funkcionality[[#This Row],[Účastník splňuje požadavek (Ano/Ne)]]="Ano",Funkcionality[[#This Row],[% vaha]],0)</f>
        <v>0</v>
      </c>
      <c r="O7" s="29"/>
      <c r="P7" s="25"/>
    </row>
    <row r="8" spans="1:17" x14ac:dyDescent="0.3">
      <c r="A8" s="10" t="str">
        <f>Funkcionality[[#This Row],[ID_Oblast]]&amp;"_"&amp;TEXT(Funkcionality[[#This Row],[ID_cislo]],"000")&amp;IF(Funkcionality[[#This Row],[ID_Podoblast]]="","","_"&amp;Funkcionality[[#This Row],[ID_Podoblast]])</f>
        <v>01_EVI_006</v>
      </c>
      <c r="B8" s="11" t="s">
        <v>235</v>
      </c>
      <c r="C8" s="11"/>
      <c r="D8" s="24" t="str">
        <f>IF(Funkcionality[[#This Row],[Váha nepovinného požadavku]]=0,"",Funkcionality[[#This Row],[Váha nepovinného požadavku]]/$C$86)</f>
        <v/>
      </c>
      <c r="E8" s="11" t="s">
        <v>235</v>
      </c>
      <c r="F8" s="6" t="s">
        <v>7</v>
      </c>
      <c r="G8" s="6" t="str">
        <f>IFERROR(VLOOKUP(Funkcionality[[#This Row],[Oblast]],Init!$A$2:$D$20,4,FALSE),"")</f>
        <v>01_EVI</v>
      </c>
      <c r="H8" s="13"/>
      <c r="I8" s="14" t="str">
        <f>IFERROR(VLOOKUP(Funkcionality[[#This Row],[Podoblast]],Init!$F$2:$G$20,2,FALSE),"")</f>
        <v/>
      </c>
      <c r="J8" s="12">
        <v>6</v>
      </c>
      <c r="K8" s="13" t="s">
        <v>89</v>
      </c>
      <c r="L8" s="13" t="s">
        <v>90</v>
      </c>
      <c r="M8" s="17"/>
      <c r="N8" s="30">
        <f>IF(Funkcionality[[#This Row],[Účastník splňuje požadavek (Ano/Ne)]]="Ano",Funkcionality[[#This Row],[% vaha]],0)</f>
        <v>0</v>
      </c>
      <c r="O8" s="29"/>
      <c r="P8" s="25"/>
    </row>
    <row r="9" spans="1:17" x14ac:dyDescent="0.3">
      <c r="A9" s="10" t="str">
        <f>Funkcionality[[#This Row],[ID_Oblast]]&amp;"_"&amp;TEXT(Funkcionality[[#This Row],[ID_cislo]],"000")&amp;IF(Funkcionality[[#This Row],[ID_Podoblast]]="","","_"&amp;Funkcionality[[#This Row],[ID_Podoblast]])</f>
        <v>01_EVI_007</v>
      </c>
      <c r="B9" s="11" t="s">
        <v>236</v>
      </c>
      <c r="C9" s="11">
        <v>1</v>
      </c>
      <c r="D9" s="24">
        <f>IF(Funkcionality[[#This Row],[Váha nepovinného požadavku]]=0,"",Funkcionality[[#This Row],[Váha nepovinného požadavku]]/$C$86)</f>
        <v>2.1739130434782608E-2</v>
      </c>
      <c r="E9" s="11" t="s">
        <v>236</v>
      </c>
      <c r="F9" s="6" t="s">
        <v>7</v>
      </c>
      <c r="G9" s="6" t="str">
        <f>IFERROR(VLOOKUP(Funkcionality[[#This Row],[Oblast]],Init!$A$2:$D$20,4,FALSE),"")</f>
        <v>01_EVI</v>
      </c>
      <c r="H9" s="13"/>
      <c r="I9" s="14" t="str">
        <f>IFERROR(VLOOKUP(Funkcionality[[#This Row],[Podoblast]],Init!$F$2:$G$20,2,FALSE),"")</f>
        <v/>
      </c>
      <c r="J9" s="12">
        <v>7</v>
      </c>
      <c r="K9" s="13" t="s">
        <v>239</v>
      </c>
      <c r="L9" s="13" t="s">
        <v>91</v>
      </c>
      <c r="M9" s="17"/>
      <c r="N9" s="30">
        <f>IF(Funkcionality[[#This Row],[Účastník splňuje požadavek (Ano/Ne)]]="Ano",Funkcionality[[#This Row],[% vaha]],0)</f>
        <v>0</v>
      </c>
      <c r="O9" s="29"/>
      <c r="P9" s="25"/>
    </row>
    <row r="10" spans="1:17" ht="28.8" x14ac:dyDescent="0.3">
      <c r="A10" s="10" t="str">
        <f>Funkcionality[[#This Row],[ID_Oblast]]&amp;"_"&amp;TEXT(Funkcionality[[#This Row],[ID_cislo]],"000")&amp;IF(Funkcionality[[#This Row],[ID_Podoblast]]="","","_"&amp;Funkcionality[[#This Row],[ID_Podoblast]])</f>
        <v>01_EVI_008</v>
      </c>
      <c r="B10" s="11" t="s">
        <v>236</v>
      </c>
      <c r="C10" s="11">
        <v>1</v>
      </c>
      <c r="D10" s="24">
        <f>IF(Funkcionality[[#This Row],[Váha nepovinného požadavku]]=0,"",Funkcionality[[#This Row],[Váha nepovinného požadavku]]/$C$86)</f>
        <v>2.1739130434782608E-2</v>
      </c>
      <c r="E10" s="11" t="s">
        <v>236</v>
      </c>
      <c r="F10" s="6" t="s">
        <v>7</v>
      </c>
      <c r="G10" s="6" t="str">
        <f>IFERROR(VLOOKUP(Funkcionality[[#This Row],[Oblast]],Init!$A$2:$D$20,4,FALSE),"")</f>
        <v>01_EVI</v>
      </c>
      <c r="H10" s="13"/>
      <c r="I10" s="14" t="str">
        <f>IFERROR(VLOOKUP(Funkcionality[[#This Row],[Podoblast]],Init!$F$2:$G$20,2,FALSE),"")</f>
        <v/>
      </c>
      <c r="J10" s="12">
        <v>8</v>
      </c>
      <c r="K10" s="13" t="s">
        <v>124</v>
      </c>
      <c r="L10" s="13" t="s">
        <v>241</v>
      </c>
      <c r="M10" s="17"/>
      <c r="N10" s="30">
        <f>IF(Funkcionality[[#This Row],[Účastník splňuje požadavek (Ano/Ne)]]="Ano",Funkcionality[[#This Row],[% vaha]],0)</f>
        <v>0</v>
      </c>
      <c r="O10" s="29"/>
      <c r="P10" s="25"/>
    </row>
    <row r="11" spans="1:17" x14ac:dyDescent="0.3">
      <c r="A11" s="10" t="str">
        <f>Funkcionality[[#This Row],[ID_Oblast]]&amp;"_"&amp;TEXT(Funkcionality[[#This Row],[ID_cislo]],"000")&amp;IF(Funkcionality[[#This Row],[ID_Podoblast]]="","","_"&amp;Funkcionality[[#This Row],[ID_Podoblast]])</f>
        <v>02_KLA_001</v>
      </c>
      <c r="B11" s="11" t="s">
        <v>235</v>
      </c>
      <c r="C11" s="11"/>
      <c r="D11" s="24" t="str">
        <f>IF(Funkcionality[[#This Row],[Váha nepovinného požadavku]]=0,"",Funkcionality[[#This Row],[Váha nepovinného požadavku]]/$C$86)</f>
        <v/>
      </c>
      <c r="E11" s="11" t="s">
        <v>236</v>
      </c>
      <c r="F11" s="6" t="s">
        <v>12</v>
      </c>
      <c r="G11" s="6" t="str">
        <f>IFERROR(VLOOKUP(Funkcionality[[#This Row],[Oblast]],Init!$A$2:$D$20,4,FALSE),"")</f>
        <v>02_KLA</v>
      </c>
      <c r="H11" s="13"/>
      <c r="I11" s="6" t="str">
        <f>IFERROR(VLOOKUP(Funkcionality[[#This Row],[Podoblast]],Init!$F$2:$G$20,2,FALSE),"")</f>
        <v/>
      </c>
      <c r="J11" s="12">
        <v>1</v>
      </c>
      <c r="K11" s="13" t="s">
        <v>92</v>
      </c>
      <c r="L11" s="13" t="s">
        <v>234</v>
      </c>
      <c r="M11" s="17"/>
      <c r="N11" s="30">
        <f>IF(Funkcionality[[#This Row],[Účastník splňuje požadavek (Ano/Ne)]]="Ano",Funkcionality[[#This Row],[% vaha]],0)</f>
        <v>0</v>
      </c>
      <c r="O11" s="29"/>
      <c r="P11" s="25"/>
    </row>
    <row r="12" spans="1:17" ht="57.6" x14ac:dyDescent="0.3">
      <c r="A12" s="10" t="str">
        <f>Funkcionality[[#This Row],[ID_Oblast]]&amp;"_"&amp;TEXT(Funkcionality[[#This Row],[ID_cislo]],"000")&amp;IF(Funkcionality[[#This Row],[ID_Podoblast]]="","","_"&amp;Funkcionality[[#This Row],[ID_Podoblast]])</f>
        <v>02_KLA_002</v>
      </c>
      <c r="B12" s="11" t="s">
        <v>235</v>
      </c>
      <c r="C12" s="11"/>
      <c r="D12" s="24" t="str">
        <f>IF(Funkcionality[[#This Row],[Váha nepovinného požadavku]]=0,"",Funkcionality[[#This Row],[Váha nepovinného požadavku]]/$C$86)</f>
        <v/>
      </c>
      <c r="E12" s="11" t="s">
        <v>236</v>
      </c>
      <c r="F12" s="6" t="s">
        <v>12</v>
      </c>
      <c r="G12" s="6" t="str">
        <f>IFERROR(VLOOKUP(Funkcionality[[#This Row],[Oblast]],Init!$A$2:$D$20,4,FALSE),"")</f>
        <v>02_KLA</v>
      </c>
      <c r="H12" s="13"/>
      <c r="I12" s="6" t="str">
        <f>IFERROR(VLOOKUP(Funkcionality[[#This Row],[Podoblast]],Init!$F$2:$G$20,2,FALSE),"")</f>
        <v/>
      </c>
      <c r="J12" s="12">
        <v>2</v>
      </c>
      <c r="K12" s="13" t="s">
        <v>93</v>
      </c>
      <c r="L12" s="13" t="s">
        <v>94</v>
      </c>
      <c r="M12" s="17"/>
      <c r="N12" s="30">
        <f>IF(Funkcionality[[#This Row],[Účastník splňuje požadavek (Ano/Ne)]]="Ano",Funkcionality[[#This Row],[% vaha]],0)</f>
        <v>0</v>
      </c>
      <c r="O12" s="29"/>
      <c r="P12" s="25"/>
    </row>
    <row r="13" spans="1:17" ht="57.6" x14ac:dyDescent="0.3">
      <c r="A13" s="10" t="str">
        <f>Funkcionality[[#This Row],[ID_Oblast]]&amp;"_"&amp;TEXT(Funkcionality[[#This Row],[ID_cislo]],"000")&amp;IF(Funkcionality[[#This Row],[ID_Podoblast]]="","","_"&amp;Funkcionality[[#This Row],[ID_Podoblast]])</f>
        <v>02_KLA_003</v>
      </c>
      <c r="B13" s="11" t="s">
        <v>235</v>
      </c>
      <c r="C13" s="11"/>
      <c r="D13" s="24" t="str">
        <f>IF(Funkcionality[[#This Row],[Váha nepovinného požadavku]]=0,"",Funkcionality[[#This Row],[Váha nepovinného požadavku]]/$C$86)</f>
        <v/>
      </c>
      <c r="E13" s="11" t="s">
        <v>235</v>
      </c>
      <c r="F13" s="6" t="s">
        <v>12</v>
      </c>
      <c r="G13" s="6" t="str">
        <f>IFERROR(VLOOKUP(Funkcionality[[#This Row],[Oblast]],Init!$A$2:$D$20,4,FALSE),"")</f>
        <v>02_KLA</v>
      </c>
      <c r="H13" s="13"/>
      <c r="I13" s="6" t="str">
        <f>IFERROR(VLOOKUP(Funkcionality[[#This Row],[Podoblast]],Init!$F$2:$G$20,2,FALSE),"")</f>
        <v/>
      </c>
      <c r="J13" s="12">
        <v>3</v>
      </c>
      <c r="K13" s="13" t="s">
        <v>95</v>
      </c>
      <c r="L13" s="13" t="s">
        <v>96</v>
      </c>
      <c r="M13" s="17"/>
      <c r="N13" s="30">
        <f>IF(Funkcionality[[#This Row],[Účastník splňuje požadavek (Ano/Ne)]]="Ano",Funkcionality[[#This Row],[% vaha]],0)</f>
        <v>0</v>
      </c>
      <c r="O13" s="29"/>
      <c r="P13" s="25"/>
    </row>
    <row r="14" spans="1:17" x14ac:dyDescent="0.3">
      <c r="A14" s="10" t="str">
        <f>Funkcionality[[#This Row],[ID_Oblast]]&amp;"_"&amp;TEXT(Funkcionality[[#This Row],[ID_cislo]],"000")&amp;IF(Funkcionality[[#This Row],[ID_Podoblast]]="","","_"&amp;Funkcionality[[#This Row],[ID_Podoblast]])</f>
        <v>02_KLA_004</v>
      </c>
      <c r="B14" s="11" t="s">
        <v>236</v>
      </c>
      <c r="C14" s="11">
        <v>1</v>
      </c>
      <c r="D14" s="24">
        <f>IF(Funkcionality[[#This Row],[Váha nepovinného požadavku]]=0,"",Funkcionality[[#This Row],[Váha nepovinného požadavku]]/$C$86)</f>
        <v>2.1739130434782608E-2</v>
      </c>
      <c r="E14" s="11" t="s">
        <v>236</v>
      </c>
      <c r="F14" s="6" t="s">
        <v>12</v>
      </c>
      <c r="G14" s="6" t="str">
        <f>IFERROR(VLOOKUP(Funkcionality[[#This Row],[Oblast]],Init!$A$2:$D$20,4,FALSE),"")</f>
        <v>02_KLA</v>
      </c>
      <c r="H14" s="13"/>
      <c r="I14" s="6" t="str">
        <f>IFERROR(VLOOKUP(Funkcionality[[#This Row],[Podoblast]],Init!$F$2:$G$20,2,FALSE),"")</f>
        <v/>
      </c>
      <c r="J14" s="12">
        <v>4</v>
      </c>
      <c r="K14" s="13" t="s">
        <v>97</v>
      </c>
      <c r="L14" s="13" t="s">
        <v>98</v>
      </c>
      <c r="M14" s="17"/>
      <c r="N14" s="30">
        <f>IF(Funkcionality[[#This Row],[Účastník splňuje požadavek (Ano/Ne)]]="Ano",Funkcionality[[#This Row],[% vaha]],0)</f>
        <v>0</v>
      </c>
      <c r="O14" s="29"/>
      <c r="P14" s="25"/>
    </row>
    <row r="15" spans="1:17" x14ac:dyDescent="0.3">
      <c r="A15" s="10" t="str">
        <f>Funkcionality[[#This Row],[ID_Oblast]]&amp;"_"&amp;TEXT(Funkcionality[[#This Row],[ID_cislo]],"000")&amp;IF(Funkcionality[[#This Row],[ID_Podoblast]]="","","_"&amp;Funkcionality[[#This Row],[ID_Podoblast]])</f>
        <v>02_KLA_005</v>
      </c>
      <c r="B15" s="11" t="s">
        <v>236</v>
      </c>
      <c r="C15" s="11">
        <v>1</v>
      </c>
      <c r="D15" s="24">
        <f>IF(Funkcionality[[#This Row],[Váha nepovinného požadavku]]=0,"",Funkcionality[[#This Row],[Váha nepovinného požadavku]]/$C$86)</f>
        <v>2.1739130434782608E-2</v>
      </c>
      <c r="E15" s="11" t="s">
        <v>236</v>
      </c>
      <c r="F15" s="6" t="s">
        <v>12</v>
      </c>
      <c r="G15" s="6" t="str">
        <f>IFERROR(VLOOKUP(Funkcionality[[#This Row],[Oblast]],Init!$A$2:$D$20,4,FALSE),"")</f>
        <v>02_KLA</v>
      </c>
      <c r="H15" s="13"/>
      <c r="I15" s="6" t="str">
        <f>IFERROR(VLOOKUP(Funkcionality[[#This Row],[Podoblast]],Init!$F$2:$G$20,2,FALSE),"")</f>
        <v/>
      </c>
      <c r="J15" s="12">
        <v>5</v>
      </c>
      <c r="K15" s="13" t="s">
        <v>99</v>
      </c>
      <c r="L15" s="13" t="s">
        <v>98</v>
      </c>
      <c r="M15" s="17"/>
      <c r="N15" s="30">
        <f>IF(Funkcionality[[#This Row],[Účastník splňuje požadavek (Ano/Ne)]]="Ano",Funkcionality[[#This Row],[% vaha]],0)</f>
        <v>0</v>
      </c>
      <c r="O15" s="29"/>
      <c r="P15" s="25"/>
    </row>
    <row r="16" spans="1:17" ht="115.2" x14ac:dyDescent="0.3">
      <c r="A16" s="10" t="str">
        <f>Funkcionality[[#This Row],[ID_Oblast]]&amp;"_"&amp;TEXT(Funkcionality[[#This Row],[ID_cislo]],"000")&amp;IF(Funkcionality[[#This Row],[ID_Podoblast]]="","","_"&amp;Funkcionality[[#This Row],[ID_Podoblast]])</f>
        <v>03_DAT_001</v>
      </c>
      <c r="B16" s="11" t="s">
        <v>235</v>
      </c>
      <c r="C16" s="11"/>
      <c r="D16" s="24" t="str">
        <f>IF(Funkcionality[[#This Row],[Váha nepovinného požadavku]]=0,"",Funkcionality[[#This Row],[Váha nepovinného požadavku]]/$C$86)</f>
        <v/>
      </c>
      <c r="E16" s="11" t="s">
        <v>235</v>
      </c>
      <c r="F16" s="6" t="s">
        <v>17</v>
      </c>
      <c r="G16" s="6" t="str">
        <f>IFERROR(VLOOKUP(Funkcionality[[#This Row],[Oblast]],Init!$A$2:$D$20,4,FALSE),"")</f>
        <v>03_DAT</v>
      </c>
      <c r="H16" s="13"/>
      <c r="I16" s="6" t="str">
        <f>IFERROR(VLOOKUP(Funkcionality[[#This Row],[Podoblast]],Init!$F$2:$G$20,2,FALSE),"")</f>
        <v/>
      </c>
      <c r="J16" s="12">
        <v>1</v>
      </c>
      <c r="K16" s="13" t="s">
        <v>100</v>
      </c>
      <c r="L16" s="13" t="s">
        <v>101</v>
      </c>
      <c r="M16" s="17"/>
      <c r="N16" s="30">
        <f>IF(Funkcionality[[#This Row],[Účastník splňuje požadavek (Ano/Ne)]]="Ano",Funkcionality[[#This Row],[% vaha]],0)</f>
        <v>0</v>
      </c>
      <c r="O16" s="29"/>
      <c r="P16" s="25"/>
    </row>
    <row r="17" spans="1:16" ht="28.8" x14ac:dyDescent="0.3">
      <c r="A17" s="10" t="str">
        <f>Funkcionality[[#This Row],[ID_Oblast]]&amp;"_"&amp;TEXT(Funkcionality[[#This Row],[ID_cislo]],"000")&amp;IF(Funkcionality[[#This Row],[ID_Podoblast]]="","","_"&amp;Funkcionality[[#This Row],[ID_Podoblast]])</f>
        <v>03_DAT_002</v>
      </c>
      <c r="B17" s="11" t="s">
        <v>235</v>
      </c>
      <c r="C17" s="11"/>
      <c r="D17" s="24" t="str">
        <f>IF(Funkcionality[[#This Row],[Váha nepovinného požadavku]]=0,"",Funkcionality[[#This Row],[Váha nepovinného požadavku]]/$C$86)</f>
        <v/>
      </c>
      <c r="E17" s="11" t="s">
        <v>235</v>
      </c>
      <c r="F17" s="6" t="s">
        <v>17</v>
      </c>
      <c r="G17" s="6" t="str">
        <f>IFERROR(VLOOKUP(Funkcionality[[#This Row],[Oblast]],Init!$A$2:$D$20,4,FALSE),"")</f>
        <v>03_DAT</v>
      </c>
      <c r="H17" s="13"/>
      <c r="I17" s="6" t="str">
        <f>IFERROR(VLOOKUP(Funkcionality[[#This Row],[Podoblast]],Init!$F$2:$G$20,2,FALSE),"")</f>
        <v/>
      </c>
      <c r="J17" s="12">
        <v>2</v>
      </c>
      <c r="K17" s="13" t="s">
        <v>102</v>
      </c>
      <c r="L17" s="13" t="s">
        <v>103</v>
      </c>
      <c r="M17" s="17"/>
      <c r="N17" s="30">
        <f>IF(Funkcionality[[#This Row],[Účastník splňuje požadavek (Ano/Ne)]]="Ano",Funkcionality[[#This Row],[% vaha]],0)</f>
        <v>0</v>
      </c>
      <c r="O17" s="29"/>
      <c r="P17" s="25"/>
    </row>
    <row r="18" spans="1:16" ht="43.2" x14ac:dyDescent="0.3">
      <c r="A18" s="10" t="str">
        <f>Funkcionality[[#This Row],[ID_Oblast]]&amp;"_"&amp;TEXT(Funkcionality[[#This Row],[ID_cislo]],"000")&amp;IF(Funkcionality[[#This Row],[ID_Podoblast]]="","","_"&amp;Funkcionality[[#This Row],[ID_Podoblast]])</f>
        <v>03_DAT_003</v>
      </c>
      <c r="B18" s="11" t="s">
        <v>235</v>
      </c>
      <c r="C18" s="11"/>
      <c r="D18" s="24" t="str">
        <f>IF(Funkcionality[[#This Row],[Váha nepovinného požadavku]]=0,"",Funkcionality[[#This Row],[Váha nepovinného požadavku]]/$C$86)</f>
        <v/>
      </c>
      <c r="E18" s="11" t="s">
        <v>235</v>
      </c>
      <c r="F18" s="6" t="s">
        <v>17</v>
      </c>
      <c r="G18" s="6" t="str">
        <f>IFERROR(VLOOKUP(Funkcionality[[#This Row],[Oblast]],Init!$A$2:$D$20,4,FALSE),"")</f>
        <v>03_DAT</v>
      </c>
      <c r="H18" s="13"/>
      <c r="I18" s="6" t="str">
        <f>IFERROR(VLOOKUP(Funkcionality[[#This Row],[Podoblast]],Init!$F$2:$G$20,2,FALSE),"")</f>
        <v/>
      </c>
      <c r="J18" s="12">
        <v>3</v>
      </c>
      <c r="K18" s="13" t="s">
        <v>104</v>
      </c>
      <c r="L18" s="13" t="s">
        <v>105</v>
      </c>
      <c r="M18" s="17"/>
      <c r="N18" s="30">
        <f>IF(Funkcionality[[#This Row],[Účastník splňuje požadavek (Ano/Ne)]]="Ano",Funkcionality[[#This Row],[% vaha]],0)</f>
        <v>0</v>
      </c>
      <c r="O18" s="29"/>
      <c r="P18" s="25"/>
    </row>
    <row r="19" spans="1:16" ht="28.8" x14ac:dyDescent="0.3">
      <c r="A19" s="10" t="str">
        <f>Funkcionality[[#This Row],[ID_Oblast]]&amp;"_"&amp;TEXT(Funkcionality[[#This Row],[ID_cislo]],"000")&amp;IF(Funkcionality[[#This Row],[ID_Podoblast]]="","","_"&amp;Funkcionality[[#This Row],[ID_Podoblast]])</f>
        <v>03_DAT_004</v>
      </c>
      <c r="B19" s="11" t="s">
        <v>235</v>
      </c>
      <c r="C19" s="11"/>
      <c r="D19" s="24" t="str">
        <f>IF(Funkcionality[[#This Row],[Váha nepovinného požadavku]]=0,"",Funkcionality[[#This Row],[Váha nepovinného požadavku]]/$C$86)</f>
        <v/>
      </c>
      <c r="E19" s="11" t="s">
        <v>235</v>
      </c>
      <c r="F19" s="6" t="s">
        <v>17</v>
      </c>
      <c r="G19" s="6" t="str">
        <f>IFERROR(VLOOKUP(Funkcionality[[#This Row],[Oblast]],Init!$A$2:$D$20,4,FALSE),"")</f>
        <v>03_DAT</v>
      </c>
      <c r="H19" s="13"/>
      <c r="I19" s="6" t="str">
        <f>IFERROR(VLOOKUP(Funkcionality[[#This Row],[Podoblast]],Init!$F$2:$G$20,2,FALSE),"")</f>
        <v/>
      </c>
      <c r="J19" s="12">
        <v>4</v>
      </c>
      <c r="K19" s="13" t="s">
        <v>106</v>
      </c>
      <c r="L19" s="13" t="s">
        <v>107</v>
      </c>
      <c r="M19" s="17"/>
      <c r="N19" s="30">
        <f>IF(Funkcionality[[#This Row],[Účastník splňuje požadavek (Ano/Ne)]]="Ano",Funkcionality[[#This Row],[% vaha]],0)</f>
        <v>0</v>
      </c>
      <c r="O19" s="29"/>
      <c r="P19" s="25"/>
    </row>
    <row r="20" spans="1:16" ht="28.8" x14ac:dyDescent="0.3">
      <c r="A20" s="10" t="str">
        <f>Funkcionality[[#This Row],[ID_Oblast]]&amp;"_"&amp;TEXT(Funkcionality[[#This Row],[ID_cislo]],"000")&amp;IF(Funkcionality[[#This Row],[ID_Podoblast]]="","","_"&amp;Funkcionality[[#This Row],[ID_Podoblast]])</f>
        <v>03_DAT_005</v>
      </c>
      <c r="B20" s="11" t="s">
        <v>235</v>
      </c>
      <c r="C20" s="11"/>
      <c r="D20" s="24" t="str">
        <f>IF(Funkcionality[[#This Row],[Váha nepovinného požadavku]]=0,"",Funkcionality[[#This Row],[Váha nepovinného požadavku]]/$C$86)</f>
        <v/>
      </c>
      <c r="E20" s="11" t="s">
        <v>235</v>
      </c>
      <c r="F20" s="6" t="s">
        <v>17</v>
      </c>
      <c r="G20" s="6" t="str">
        <f>IFERROR(VLOOKUP(Funkcionality[[#This Row],[Oblast]],Init!$A$2:$D$20,4,FALSE),"")</f>
        <v>03_DAT</v>
      </c>
      <c r="H20" s="13"/>
      <c r="I20" s="6" t="str">
        <f>IFERROR(VLOOKUP(Funkcionality[[#This Row],[Podoblast]],Init!$F$2:$G$20,2,FALSE),"")</f>
        <v/>
      </c>
      <c r="J20" s="12">
        <v>5</v>
      </c>
      <c r="K20" s="13" t="s">
        <v>108</v>
      </c>
      <c r="L20" s="13" t="s">
        <v>109</v>
      </c>
      <c r="M20" s="17"/>
      <c r="N20" s="30">
        <f>IF(Funkcionality[[#This Row],[Účastník splňuje požadavek (Ano/Ne)]]="Ano",Funkcionality[[#This Row],[% vaha]],0)</f>
        <v>0</v>
      </c>
      <c r="O20" s="29"/>
      <c r="P20" s="25"/>
    </row>
    <row r="21" spans="1:16" ht="43.2" x14ac:dyDescent="0.3">
      <c r="A21" s="10" t="str">
        <f>Funkcionality[[#This Row],[ID_Oblast]]&amp;"_"&amp;TEXT(Funkcionality[[#This Row],[ID_cislo]],"000")&amp;IF(Funkcionality[[#This Row],[ID_Podoblast]]="","","_"&amp;Funkcionality[[#This Row],[ID_Podoblast]])</f>
        <v>03_DAT_006</v>
      </c>
      <c r="B21" s="11" t="s">
        <v>235</v>
      </c>
      <c r="C21" s="11"/>
      <c r="D21" s="24" t="str">
        <f>IF(Funkcionality[[#This Row],[Váha nepovinného požadavku]]=0,"",Funkcionality[[#This Row],[Váha nepovinného požadavku]]/$C$86)</f>
        <v/>
      </c>
      <c r="E21" s="11" t="s">
        <v>235</v>
      </c>
      <c r="F21" s="6" t="s">
        <v>17</v>
      </c>
      <c r="G21" s="6" t="str">
        <f>IFERROR(VLOOKUP(Funkcionality[[#This Row],[Oblast]],Init!$A$2:$D$20,4,FALSE),"")</f>
        <v>03_DAT</v>
      </c>
      <c r="H21" s="13"/>
      <c r="I21" s="14" t="str">
        <f>IFERROR(VLOOKUP(Funkcionality[[#This Row],[Podoblast]],Init!$F$2:$G$20,2,FALSE),"")</f>
        <v/>
      </c>
      <c r="J21" s="12">
        <v>6</v>
      </c>
      <c r="K21" s="13" t="s">
        <v>110</v>
      </c>
      <c r="L21" s="15" t="s">
        <v>111</v>
      </c>
      <c r="M21" s="17"/>
      <c r="N21" s="30">
        <f>IF(Funkcionality[[#This Row],[Účastník splňuje požadavek (Ano/Ne)]]="Ano",Funkcionality[[#This Row],[% vaha]],0)</f>
        <v>0</v>
      </c>
      <c r="O21" s="29"/>
      <c r="P21" s="25"/>
    </row>
    <row r="22" spans="1:16" ht="57.6" x14ac:dyDescent="0.3">
      <c r="A22" s="10" t="str">
        <f>Funkcionality[[#This Row],[ID_Oblast]]&amp;"_"&amp;TEXT(Funkcionality[[#This Row],[ID_cislo]],"000")&amp;IF(Funkcionality[[#This Row],[ID_Podoblast]]="","","_"&amp;Funkcionality[[#This Row],[ID_Podoblast]])</f>
        <v>03_DAT_007</v>
      </c>
      <c r="B22" s="11" t="s">
        <v>235</v>
      </c>
      <c r="C22" s="11"/>
      <c r="D22" s="24" t="str">
        <f>IF(Funkcionality[[#This Row],[Váha nepovinného požadavku]]=0,"",Funkcionality[[#This Row],[Váha nepovinného požadavku]]/$C$86)</f>
        <v/>
      </c>
      <c r="E22" s="11" t="s">
        <v>235</v>
      </c>
      <c r="F22" s="6" t="s">
        <v>17</v>
      </c>
      <c r="G22" s="6" t="str">
        <f>IFERROR(VLOOKUP(Funkcionality[[#This Row],[Oblast]],Init!$A$2:$D$20,4,FALSE),"")</f>
        <v>03_DAT</v>
      </c>
      <c r="H22" s="13"/>
      <c r="I22" s="14" t="str">
        <f>IFERROR(VLOOKUP(Funkcionality[[#This Row],[Podoblast]],Init!$F$2:$G$20,2,FALSE),"")</f>
        <v/>
      </c>
      <c r="J22" s="12">
        <v>7</v>
      </c>
      <c r="K22" s="13" t="s">
        <v>112</v>
      </c>
      <c r="L22" s="13" t="s">
        <v>113</v>
      </c>
      <c r="M22" s="17"/>
      <c r="N22" s="30">
        <f>IF(Funkcionality[[#This Row],[Účastník splňuje požadavek (Ano/Ne)]]="Ano",Funkcionality[[#This Row],[% vaha]],0)</f>
        <v>0</v>
      </c>
      <c r="O22" s="29"/>
      <c r="P22" s="25"/>
    </row>
    <row r="23" spans="1:16" ht="28.8" x14ac:dyDescent="0.3">
      <c r="A23" s="10" t="str">
        <f>Funkcionality[[#This Row],[ID_Oblast]]&amp;"_"&amp;TEXT(Funkcionality[[#This Row],[ID_cislo]],"000")&amp;IF(Funkcionality[[#This Row],[ID_Podoblast]]="","","_"&amp;Funkcionality[[#This Row],[ID_Podoblast]])</f>
        <v>03_DAT_008</v>
      </c>
      <c r="B23" s="11" t="s">
        <v>236</v>
      </c>
      <c r="C23" s="11">
        <v>2</v>
      </c>
      <c r="D23" s="24">
        <f>IF(Funkcionality[[#This Row],[Váha nepovinného požadavku]]=0,"",Funkcionality[[#This Row],[Váha nepovinného požadavku]]/$C$86)</f>
        <v>4.3478260869565216E-2</v>
      </c>
      <c r="E23" s="11" t="s">
        <v>236</v>
      </c>
      <c r="F23" s="6" t="s">
        <v>17</v>
      </c>
      <c r="G23" s="6" t="str">
        <f>IFERROR(VLOOKUP(Funkcionality[[#This Row],[Oblast]],Init!$A$2:$D$20,4,FALSE),"")</f>
        <v>03_DAT</v>
      </c>
      <c r="H23" s="13"/>
      <c r="I23" s="14" t="str">
        <f>IFERROR(VLOOKUP(Funkcionality[[#This Row],[Podoblast]],Init!$F$2:$G$20,2,FALSE),"")</f>
        <v/>
      </c>
      <c r="J23" s="12">
        <v>8</v>
      </c>
      <c r="K23" s="13" t="s">
        <v>114</v>
      </c>
      <c r="L23" s="13" t="s">
        <v>115</v>
      </c>
      <c r="M23" s="17"/>
      <c r="N23" s="30">
        <f>IF(Funkcionality[[#This Row],[Účastník splňuje požadavek (Ano/Ne)]]="Ano",Funkcionality[[#This Row],[% vaha]],0)</f>
        <v>0</v>
      </c>
      <c r="O23" s="29"/>
      <c r="P23" s="25"/>
    </row>
    <row r="24" spans="1:16" x14ac:dyDescent="0.3">
      <c r="A24" s="10" t="str">
        <f>Funkcionality[[#This Row],[ID_Oblast]]&amp;"_"&amp;TEXT(Funkcionality[[#This Row],[ID_cislo]],"000")&amp;IF(Funkcionality[[#This Row],[ID_Podoblast]]="","","_"&amp;Funkcionality[[#This Row],[ID_Podoblast]])</f>
        <v>03_DAT_009</v>
      </c>
      <c r="B24" s="11" t="s">
        <v>235</v>
      </c>
      <c r="C24" s="11"/>
      <c r="D24" s="24" t="str">
        <f>IF(Funkcionality[[#This Row],[Váha nepovinného požadavku]]=0,"",Funkcionality[[#This Row],[Váha nepovinného požadavku]]/$C$86)</f>
        <v/>
      </c>
      <c r="E24" s="11" t="s">
        <v>235</v>
      </c>
      <c r="F24" s="6" t="s">
        <v>17</v>
      </c>
      <c r="G24" s="6" t="str">
        <f>IFERROR(VLOOKUP(Funkcionality[[#This Row],[Oblast]],Init!$A$2:$D$20,4,FALSE),"")</f>
        <v>03_DAT</v>
      </c>
      <c r="H24" s="13"/>
      <c r="I24" s="14" t="str">
        <f>IFERROR(VLOOKUP(Funkcionality[[#This Row],[Podoblast]],Init!$F$2:$G$20,2,FALSE),"")</f>
        <v/>
      </c>
      <c r="J24" s="12">
        <v>9</v>
      </c>
      <c r="K24" s="13" t="s">
        <v>116</v>
      </c>
      <c r="L24" s="13" t="s">
        <v>117</v>
      </c>
      <c r="M24" s="17"/>
      <c r="N24" s="30">
        <f>IF(Funkcionality[[#This Row],[Účastník splňuje požadavek (Ano/Ne)]]="Ano",Funkcionality[[#This Row],[% vaha]],0)</f>
        <v>0</v>
      </c>
      <c r="O24" s="29"/>
      <c r="P24" s="25"/>
    </row>
    <row r="25" spans="1:16" x14ac:dyDescent="0.3">
      <c r="A25" s="10" t="str">
        <f>Funkcionality[[#This Row],[ID_Oblast]]&amp;"_"&amp;TEXT(Funkcionality[[#This Row],[ID_cislo]],"000")&amp;IF(Funkcionality[[#This Row],[ID_Podoblast]]="","","_"&amp;Funkcionality[[#This Row],[ID_Podoblast]])</f>
        <v>03_DAT_010</v>
      </c>
      <c r="B25" s="11" t="s">
        <v>235</v>
      </c>
      <c r="C25" s="11"/>
      <c r="D25" s="24" t="str">
        <f>IF(Funkcionality[[#This Row],[Váha nepovinného požadavku]]=0,"",Funkcionality[[#This Row],[Váha nepovinného požadavku]]/$C$86)</f>
        <v/>
      </c>
      <c r="E25" s="11" t="s">
        <v>235</v>
      </c>
      <c r="F25" s="6" t="s">
        <v>17</v>
      </c>
      <c r="G25" s="6" t="str">
        <f>IFERROR(VLOOKUP(Funkcionality[[#This Row],[Oblast]],Init!$A$2:$D$20,4,FALSE),"")</f>
        <v>03_DAT</v>
      </c>
      <c r="H25" s="13"/>
      <c r="I25" s="14" t="str">
        <f>IFERROR(VLOOKUP(Funkcionality[[#This Row],[Podoblast]],Init!$F$2:$G$20,2,FALSE),"")</f>
        <v/>
      </c>
      <c r="J25" s="12">
        <v>10</v>
      </c>
      <c r="K25" s="13" t="s">
        <v>118</v>
      </c>
      <c r="L25" s="13" t="s">
        <v>119</v>
      </c>
      <c r="M25" s="17"/>
      <c r="N25" s="30">
        <f>IF(Funkcionality[[#This Row],[Účastník splňuje požadavek (Ano/Ne)]]="Ano",Funkcionality[[#This Row],[% vaha]],0)</f>
        <v>0</v>
      </c>
      <c r="O25" s="29"/>
      <c r="P25" s="25"/>
    </row>
    <row r="26" spans="1:16" ht="28.8" x14ac:dyDescent="0.3">
      <c r="A26" s="10" t="str">
        <f>Funkcionality[[#This Row],[ID_Oblast]]&amp;"_"&amp;TEXT(Funkcionality[[#This Row],[ID_cislo]],"000")&amp;IF(Funkcionality[[#This Row],[ID_Podoblast]]="","","_"&amp;Funkcionality[[#This Row],[ID_Podoblast]])</f>
        <v>03_DAT_011</v>
      </c>
      <c r="B26" s="11" t="s">
        <v>235</v>
      </c>
      <c r="C26" s="11"/>
      <c r="D26" s="24" t="str">
        <f>IF(Funkcionality[[#This Row],[Váha nepovinného požadavku]]=0,"",Funkcionality[[#This Row],[Váha nepovinného požadavku]]/$C$86)</f>
        <v/>
      </c>
      <c r="E26" s="11" t="s">
        <v>235</v>
      </c>
      <c r="F26" s="6" t="s">
        <v>17</v>
      </c>
      <c r="G26" s="6" t="str">
        <f>IFERROR(VLOOKUP(Funkcionality[[#This Row],[Oblast]],Init!$A$2:$D$20,4,FALSE),"")</f>
        <v>03_DAT</v>
      </c>
      <c r="H26" s="13"/>
      <c r="I26" s="14" t="str">
        <f>IFERROR(VLOOKUP(Funkcionality[[#This Row],[Podoblast]],Init!$F$2:$G$20,2,FALSE),"")</f>
        <v/>
      </c>
      <c r="J26" s="12">
        <v>11</v>
      </c>
      <c r="K26" s="13" t="s">
        <v>120</v>
      </c>
      <c r="L26" s="13" t="s">
        <v>121</v>
      </c>
      <c r="M26" s="17"/>
      <c r="N26" s="30">
        <f>IF(Funkcionality[[#This Row],[Účastník splňuje požadavek (Ano/Ne)]]="Ano",Funkcionality[[#This Row],[% vaha]],0)</f>
        <v>0</v>
      </c>
      <c r="O26" s="29"/>
      <c r="P26" s="25"/>
    </row>
    <row r="27" spans="1:16" ht="28.8" x14ac:dyDescent="0.3">
      <c r="A27" s="10" t="str">
        <f>Funkcionality[[#This Row],[ID_Oblast]]&amp;"_"&amp;TEXT(Funkcionality[[#This Row],[ID_cislo]],"000")&amp;IF(Funkcionality[[#This Row],[ID_Podoblast]]="","","_"&amp;Funkcionality[[#This Row],[ID_Podoblast]])</f>
        <v>03_DAT_020_BIM</v>
      </c>
      <c r="B27" s="11" t="s">
        <v>236</v>
      </c>
      <c r="C27" s="11">
        <v>2</v>
      </c>
      <c r="D27" s="24">
        <f>IF(Funkcionality[[#This Row],[Váha nepovinného požadavku]]=0,"",Funkcionality[[#This Row],[Váha nepovinného požadavku]]/$C$86)</f>
        <v>4.3478260869565216E-2</v>
      </c>
      <c r="E27" s="11" t="s">
        <v>236</v>
      </c>
      <c r="F27" s="6" t="s">
        <v>17</v>
      </c>
      <c r="G27" s="6" t="str">
        <f>IFERROR(VLOOKUP(Funkcionality[[#This Row],[Oblast]],Init!$A$2:$D$20,4,FALSE),"")</f>
        <v>03_DAT</v>
      </c>
      <c r="H27" s="13" t="s">
        <v>38</v>
      </c>
      <c r="I27" s="6" t="str">
        <f>IFERROR(VLOOKUP(Funkcionality[[#This Row],[Podoblast]],Init!$F$2:$G$20,2,FALSE),"")</f>
        <v>BIM</v>
      </c>
      <c r="J27" s="12">
        <v>20</v>
      </c>
      <c r="K27" s="13" t="s">
        <v>245</v>
      </c>
      <c r="L27" s="13" t="s">
        <v>244</v>
      </c>
      <c r="M27" s="17"/>
      <c r="N27" s="30">
        <f>IF(Funkcionality[[#This Row],[Účastník splňuje požadavek (Ano/Ne)]]="Ano",Funkcionality[[#This Row],[% vaha]],0)</f>
        <v>0</v>
      </c>
      <c r="O27" s="29"/>
      <c r="P27" s="25"/>
    </row>
    <row r="28" spans="1:16" x14ac:dyDescent="0.3">
      <c r="A28" s="10" t="str">
        <f>Funkcionality[[#This Row],[ID_Oblast]]&amp;"_"&amp;TEXT(Funkcionality[[#This Row],[ID_cislo]],"000")&amp;IF(Funkcionality[[#This Row],[ID_Podoblast]]="","","_"&amp;Funkcionality[[#This Row],[ID_Podoblast]])</f>
        <v>03_DAT_021_BIM</v>
      </c>
      <c r="B28" s="11" t="s">
        <v>236</v>
      </c>
      <c r="C28" s="11">
        <v>1</v>
      </c>
      <c r="D28" s="24">
        <f>IF(Funkcionality[[#This Row],[Váha nepovinného požadavku]]=0,"",Funkcionality[[#This Row],[Váha nepovinného požadavku]]/$C$86)</f>
        <v>2.1739130434782608E-2</v>
      </c>
      <c r="E28" s="11" t="s">
        <v>236</v>
      </c>
      <c r="F28" s="6" t="s">
        <v>17</v>
      </c>
      <c r="G28" s="6" t="str">
        <f>IFERROR(VLOOKUP(Funkcionality[[#This Row],[Oblast]],Init!$A$2:$D$20,4,FALSE),"")</f>
        <v>03_DAT</v>
      </c>
      <c r="H28" s="13" t="s">
        <v>38</v>
      </c>
      <c r="I28" s="6" t="str">
        <f>IFERROR(VLOOKUP(Funkcionality[[#This Row],[Podoblast]],Init!$F$2:$G$20,2,FALSE),"")</f>
        <v>BIM</v>
      </c>
      <c r="J28" s="12">
        <v>21</v>
      </c>
      <c r="K28" s="13" t="s">
        <v>122</v>
      </c>
      <c r="L28" s="13" t="s">
        <v>123</v>
      </c>
      <c r="M28" s="17"/>
      <c r="N28" s="30">
        <f>IF(Funkcionality[[#This Row],[Účastník splňuje požadavek (Ano/Ne)]]="Ano",Funkcionality[[#This Row],[% vaha]],0)</f>
        <v>0</v>
      </c>
      <c r="O28" s="29"/>
      <c r="P28" s="25"/>
    </row>
    <row r="29" spans="1:16" ht="28.8" x14ac:dyDescent="0.3">
      <c r="A29" s="10" t="str">
        <f>Funkcionality[[#This Row],[ID_Oblast]]&amp;"_"&amp;TEXT(Funkcionality[[#This Row],[ID_cislo]],"000")&amp;IF(Funkcionality[[#This Row],[ID_Podoblast]]="","","_"&amp;Funkcionality[[#This Row],[ID_Podoblast]])</f>
        <v>05_UŽR_001</v>
      </c>
      <c r="B29" s="11" t="s">
        <v>235</v>
      </c>
      <c r="C29" s="11"/>
      <c r="D29" s="24" t="str">
        <f>IF(Funkcionality[[#This Row],[Váha nepovinného požadavku]]=0,"",Funkcionality[[#This Row],[Váha nepovinného požadavku]]/$C$86)</f>
        <v/>
      </c>
      <c r="E29" s="11" t="s">
        <v>236</v>
      </c>
      <c r="F29" s="6" t="s">
        <v>27</v>
      </c>
      <c r="G29" s="6" t="str">
        <f>IFERROR(VLOOKUP(Funkcionality[[#This Row],[Oblast]],Init!$A$2:$D$20,4,FALSE),"")</f>
        <v>05_UŽR</v>
      </c>
      <c r="H29" s="13"/>
      <c r="I29" s="14" t="str">
        <f>IFERROR(VLOOKUP(Funkcionality[[#This Row],[Podoblast]],Init!$F$2:$G$20,2,FALSE),"")</f>
        <v/>
      </c>
      <c r="J29" s="12">
        <v>1</v>
      </c>
      <c r="K29" s="13" t="s">
        <v>27</v>
      </c>
      <c r="L29" s="13" t="s">
        <v>125</v>
      </c>
      <c r="M29" s="17"/>
      <c r="N29" s="30">
        <f>IF(Funkcionality[[#This Row],[Účastník splňuje požadavek (Ano/Ne)]]="Ano",Funkcionality[[#This Row],[% vaha]],0)</f>
        <v>0</v>
      </c>
      <c r="O29" s="29"/>
      <c r="P29" s="25"/>
    </row>
    <row r="30" spans="1:16" ht="28.8" x14ac:dyDescent="0.3">
      <c r="A30" s="10" t="str">
        <f>Funkcionality[[#This Row],[ID_Oblast]]&amp;"_"&amp;TEXT(Funkcionality[[#This Row],[ID_cislo]],"000")&amp;IF(Funkcionality[[#This Row],[ID_Podoblast]]="","","_"&amp;Funkcionality[[#This Row],[ID_Podoblast]])</f>
        <v>05_UŽR_002</v>
      </c>
      <c r="B30" s="11" t="s">
        <v>235</v>
      </c>
      <c r="C30" s="11"/>
      <c r="D30" s="24" t="str">
        <f>IF(Funkcionality[[#This Row],[Váha nepovinného požadavku]]=0,"",Funkcionality[[#This Row],[Váha nepovinného požadavku]]/$C$86)</f>
        <v/>
      </c>
      <c r="E30" s="11" t="s">
        <v>236</v>
      </c>
      <c r="F30" s="6" t="s">
        <v>27</v>
      </c>
      <c r="G30" s="6" t="str">
        <f>IFERROR(VLOOKUP(Funkcionality[[#This Row],[Oblast]],Init!$A$2:$D$20,4,FALSE),"")</f>
        <v>05_UŽR</v>
      </c>
      <c r="H30" s="13"/>
      <c r="I30" s="14" t="str">
        <f>IFERROR(VLOOKUP(Funkcionality[[#This Row],[Podoblast]],Init!$F$2:$G$20,2,FALSE),"")</f>
        <v/>
      </c>
      <c r="J30" s="12">
        <v>2</v>
      </c>
      <c r="K30" s="13" t="s">
        <v>126</v>
      </c>
      <c r="L30" s="13" t="s">
        <v>127</v>
      </c>
      <c r="M30" s="17"/>
      <c r="N30" s="30">
        <f>IF(Funkcionality[[#This Row],[Účastník splňuje požadavek (Ano/Ne)]]="Ano",Funkcionality[[#This Row],[% vaha]],0)</f>
        <v>0</v>
      </c>
      <c r="O30" s="29"/>
      <c r="P30" s="25"/>
    </row>
    <row r="31" spans="1:16" ht="28.8" x14ac:dyDescent="0.3">
      <c r="A31" s="10" t="str">
        <f>Funkcionality[[#This Row],[ID_Oblast]]&amp;"_"&amp;TEXT(Funkcionality[[#This Row],[ID_cislo]],"000")&amp;IF(Funkcionality[[#This Row],[ID_Podoblast]]="","","_"&amp;Funkcionality[[#This Row],[ID_Podoblast]])</f>
        <v>05_UŽR_003</v>
      </c>
      <c r="B31" s="11" t="s">
        <v>235</v>
      </c>
      <c r="C31" s="11"/>
      <c r="D31" s="24" t="str">
        <f>IF(Funkcionality[[#This Row],[Váha nepovinného požadavku]]=0,"",Funkcionality[[#This Row],[Váha nepovinného požadavku]]/$C$86)</f>
        <v/>
      </c>
      <c r="E31" s="11" t="s">
        <v>236</v>
      </c>
      <c r="F31" s="6" t="s">
        <v>27</v>
      </c>
      <c r="G31" s="6" t="str">
        <f>IFERROR(VLOOKUP(Funkcionality[[#This Row],[Oblast]],Init!$A$2:$D$20,4,FALSE),"")</f>
        <v>05_UŽR</v>
      </c>
      <c r="H31" s="13"/>
      <c r="I31" s="6" t="str">
        <f>IFERROR(VLOOKUP(Funkcionality[[#This Row],[Podoblast]],Init!$F$2:$G$20,2,FALSE),"")</f>
        <v/>
      </c>
      <c r="J31" s="12">
        <v>3</v>
      </c>
      <c r="K31" s="13" t="s">
        <v>128</v>
      </c>
      <c r="L31" s="13" t="s">
        <v>129</v>
      </c>
      <c r="M31" s="17"/>
      <c r="N31" s="30">
        <f>IF(Funkcionality[[#This Row],[Účastník splňuje požadavek (Ano/Ne)]]="Ano",Funkcionality[[#This Row],[% vaha]],0)</f>
        <v>0</v>
      </c>
      <c r="O31" s="29"/>
      <c r="P31" s="25"/>
    </row>
    <row r="32" spans="1:16" x14ac:dyDescent="0.3">
      <c r="A32" s="10" t="str">
        <f>Funkcionality[[#This Row],[ID_Oblast]]&amp;"_"&amp;TEXT(Funkcionality[[#This Row],[ID_cislo]],"000")&amp;IF(Funkcionality[[#This Row],[ID_Podoblast]]="","","_"&amp;Funkcionality[[#This Row],[ID_Podoblast]])</f>
        <v>05_UŽR_004</v>
      </c>
      <c r="B32" s="11" t="s">
        <v>236</v>
      </c>
      <c r="C32" s="11">
        <v>2</v>
      </c>
      <c r="D32" s="24">
        <f>IF(Funkcionality[[#This Row],[Váha nepovinného požadavku]]=0,"",Funkcionality[[#This Row],[Váha nepovinného požadavku]]/$C$86)</f>
        <v>4.3478260869565216E-2</v>
      </c>
      <c r="E32" s="11" t="s">
        <v>236</v>
      </c>
      <c r="F32" s="6" t="s">
        <v>27</v>
      </c>
      <c r="G32" s="6" t="str">
        <f>IFERROR(VLOOKUP(Funkcionality[[#This Row],[Oblast]],Init!$A$2:$D$20,4,FALSE),"")</f>
        <v>05_UŽR</v>
      </c>
      <c r="H32" s="13"/>
      <c r="I32" s="6" t="str">
        <f>IFERROR(VLOOKUP(Funkcionality[[#This Row],[Podoblast]],Init!$F$2:$G$20,2,FALSE),"")</f>
        <v/>
      </c>
      <c r="J32" s="12">
        <v>4</v>
      </c>
      <c r="K32" s="13" t="s">
        <v>130</v>
      </c>
      <c r="L32" s="13" t="s">
        <v>131</v>
      </c>
      <c r="M32" s="17"/>
      <c r="N32" s="30">
        <f>IF(Funkcionality[[#This Row],[Účastník splňuje požadavek (Ano/Ne)]]="Ano",Funkcionality[[#This Row],[% vaha]],0)</f>
        <v>0</v>
      </c>
      <c r="O32" s="29"/>
      <c r="P32" s="25"/>
    </row>
    <row r="33" spans="1:16" ht="28.8" x14ac:dyDescent="0.3">
      <c r="A33" s="10" t="str">
        <f>Funkcionality[[#This Row],[ID_Oblast]]&amp;"_"&amp;TEXT(Funkcionality[[#This Row],[ID_cislo]],"000")&amp;IF(Funkcionality[[#This Row],[ID_Podoblast]]="","","_"&amp;Funkcionality[[#This Row],[ID_Podoblast]])</f>
        <v>05_UŽR_005</v>
      </c>
      <c r="B33" s="11" t="s">
        <v>236</v>
      </c>
      <c r="C33" s="11">
        <v>2</v>
      </c>
      <c r="D33" s="24">
        <f>IF(Funkcionality[[#This Row],[Váha nepovinného požadavku]]=0,"",Funkcionality[[#This Row],[Váha nepovinného požadavku]]/$C$86)</f>
        <v>4.3478260869565216E-2</v>
      </c>
      <c r="E33" s="11" t="s">
        <v>236</v>
      </c>
      <c r="F33" s="6" t="s">
        <v>27</v>
      </c>
      <c r="G33" s="6" t="str">
        <f>IFERROR(VLOOKUP(Funkcionality[[#This Row],[Oblast]],Init!$A$2:$D$20,4,FALSE),"")</f>
        <v>05_UŽR</v>
      </c>
      <c r="H33" s="13"/>
      <c r="I33" s="6" t="str">
        <f>IFERROR(VLOOKUP(Funkcionality[[#This Row],[Podoblast]],Init!$F$2:$G$20,2,FALSE),"")</f>
        <v/>
      </c>
      <c r="J33" s="12">
        <v>5</v>
      </c>
      <c r="K33" s="13" t="s">
        <v>132</v>
      </c>
      <c r="L33" s="13" t="s">
        <v>133</v>
      </c>
      <c r="M33" s="17"/>
      <c r="N33" s="30">
        <f>IF(Funkcionality[[#This Row],[Účastník splňuje požadavek (Ano/Ne)]]="Ano",Funkcionality[[#This Row],[% vaha]],0)</f>
        <v>0</v>
      </c>
      <c r="O33" s="29"/>
      <c r="P33" s="25"/>
    </row>
    <row r="34" spans="1:16" x14ac:dyDescent="0.3">
      <c r="A34" s="10" t="str">
        <f>Funkcionality[[#This Row],[ID_Oblast]]&amp;"_"&amp;TEXT(Funkcionality[[#This Row],[ID_cislo]],"000")&amp;IF(Funkcionality[[#This Row],[ID_Podoblast]]="","","_"&amp;Funkcionality[[#This Row],[ID_Podoblast]])</f>
        <v>05_UŽR_006</v>
      </c>
      <c r="B34" s="11" t="s">
        <v>236</v>
      </c>
      <c r="C34" s="11">
        <v>2</v>
      </c>
      <c r="D34" s="24">
        <f>IF(Funkcionality[[#This Row],[Váha nepovinného požadavku]]=0,"",Funkcionality[[#This Row],[Váha nepovinného požadavku]]/$C$86)</f>
        <v>4.3478260869565216E-2</v>
      </c>
      <c r="E34" s="11" t="s">
        <v>235</v>
      </c>
      <c r="F34" s="6" t="s">
        <v>27</v>
      </c>
      <c r="G34" s="6" t="str">
        <f>IFERROR(VLOOKUP(Funkcionality[[#This Row],[Oblast]],Init!$A$2:$D$20,4,FALSE),"")</f>
        <v>05_UŽR</v>
      </c>
      <c r="H34" s="13"/>
      <c r="I34" s="6" t="str">
        <f>IFERROR(VLOOKUP(Funkcionality[[#This Row],[Podoblast]],Init!$F$2:$G$20,2,FALSE),"")</f>
        <v/>
      </c>
      <c r="J34" s="12">
        <v>6</v>
      </c>
      <c r="K34" s="13" t="s">
        <v>134</v>
      </c>
      <c r="L34" s="13" t="s">
        <v>135</v>
      </c>
      <c r="M34" s="17"/>
      <c r="N34" s="30">
        <f>IF(Funkcionality[[#This Row],[Účastník splňuje požadavek (Ano/Ne)]]="Ano",Funkcionality[[#This Row],[% vaha]],0)</f>
        <v>0</v>
      </c>
      <c r="O34" s="29"/>
      <c r="P34" s="25"/>
    </row>
    <row r="35" spans="1:16" ht="28.8" x14ac:dyDescent="0.3">
      <c r="A35" s="10" t="str">
        <f>Funkcionality[[#This Row],[ID_Oblast]]&amp;"_"&amp;TEXT(Funkcionality[[#This Row],[ID_cislo]],"000")&amp;IF(Funkcionality[[#This Row],[ID_Podoblast]]="","","_"&amp;Funkcionality[[#This Row],[ID_Podoblast]])</f>
        <v>06_OBF_001</v>
      </c>
      <c r="B35" s="11" t="s">
        <v>236</v>
      </c>
      <c r="C35" s="11">
        <v>1</v>
      </c>
      <c r="D35" s="24">
        <f>IF(Funkcionality[[#This Row],[Váha nepovinného požadavku]]=0,"",Funkcionality[[#This Row],[Váha nepovinného požadavku]]/$C$86)</f>
        <v>2.1739130434782608E-2</v>
      </c>
      <c r="E35" s="11" t="s">
        <v>236</v>
      </c>
      <c r="F35" s="6" t="s">
        <v>30</v>
      </c>
      <c r="G35" s="6" t="str">
        <f>IFERROR(VLOOKUP(Funkcionality[[#This Row],[Oblast]],Init!$A$2:$D$20,4,FALSE),"")</f>
        <v>06_OBF</v>
      </c>
      <c r="H35" s="13"/>
      <c r="I35" s="6" t="str">
        <f>IFERROR(VLOOKUP(Funkcionality[[#This Row],[Podoblast]],Init!$F$2:$G$20,2,FALSE),"")</f>
        <v/>
      </c>
      <c r="J35" s="12">
        <v>1</v>
      </c>
      <c r="K35" s="13" t="s">
        <v>136</v>
      </c>
      <c r="L35" s="13" t="s">
        <v>137</v>
      </c>
      <c r="M35" s="17"/>
      <c r="N35" s="30">
        <f>IF(Funkcionality[[#This Row],[Účastník splňuje požadavek (Ano/Ne)]]="Ano",Funkcionality[[#This Row],[% vaha]],0)</f>
        <v>0</v>
      </c>
      <c r="O35" s="29"/>
      <c r="P35" s="25"/>
    </row>
    <row r="36" spans="1:16" ht="43.2" x14ac:dyDescent="0.3">
      <c r="A36" s="10" t="str">
        <f>Funkcionality[[#This Row],[ID_Oblast]]&amp;"_"&amp;TEXT(Funkcionality[[#This Row],[ID_cislo]],"000")&amp;IF(Funkcionality[[#This Row],[ID_Podoblast]]="","","_"&amp;Funkcionality[[#This Row],[ID_Podoblast]])</f>
        <v>06_OBF_002</v>
      </c>
      <c r="B36" s="11" t="s">
        <v>236</v>
      </c>
      <c r="C36" s="11">
        <v>1</v>
      </c>
      <c r="D36" s="24">
        <f>IF(Funkcionality[[#This Row],[Váha nepovinného požadavku]]=0,"",Funkcionality[[#This Row],[Váha nepovinného požadavku]]/$C$86)</f>
        <v>2.1739130434782608E-2</v>
      </c>
      <c r="E36" s="11" t="s">
        <v>236</v>
      </c>
      <c r="F36" s="6" t="s">
        <v>30</v>
      </c>
      <c r="G36" s="6" t="str">
        <f>IFERROR(VLOOKUP(Funkcionality[[#This Row],[Oblast]],Init!$A$2:$D$20,4,FALSE),"")</f>
        <v>06_OBF</v>
      </c>
      <c r="H36" s="13"/>
      <c r="I36" s="14" t="str">
        <f>IFERROR(VLOOKUP(Funkcionality[[#This Row],[Podoblast]],Init!$F$2:$G$20,2,FALSE),"")</f>
        <v/>
      </c>
      <c r="J36" s="12">
        <v>2</v>
      </c>
      <c r="K36" s="13" t="s">
        <v>138</v>
      </c>
      <c r="L36" s="13" t="s">
        <v>139</v>
      </c>
      <c r="M36" s="17"/>
      <c r="N36" s="30">
        <f>IF(Funkcionality[[#This Row],[Účastník splňuje požadavek (Ano/Ne)]]="Ano",Funkcionality[[#This Row],[% vaha]],0)</f>
        <v>0</v>
      </c>
      <c r="O36" s="29"/>
      <c r="P36" s="25"/>
    </row>
    <row r="37" spans="1:16" ht="57.6" x14ac:dyDescent="0.3">
      <c r="A37" s="10" t="str">
        <f>Funkcionality[[#This Row],[ID_Oblast]]&amp;"_"&amp;TEXT(Funkcionality[[#This Row],[ID_cislo]],"000")&amp;IF(Funkcionality[[#This Row],[ID_Podoblast]]="","","_"&amp;Funkcionality[[#This Row],[ID_Podoblast]])</f>
        <v>06_OBF_003</v>
      </c>
      <c r="B37" s="11" t="s">
        <v>235</v>
      </c>
      <c r="C37" s="11"/>
      <c r="D37" s="24" t="str">
        <f>IF(Funkcionality[[#This Row],[Váha nepovinného požadavku]]=0,"",Funkcionality[[#This Row],[Váha nepovinného požadavku]]/$C$86)</f>
        <v/>
      </c>
      <c r="E37" s="11" t="s">
        <v>236</v>
      </c>
      <c r="F37" s="6" t="s">
        <v>30</v>
      </c>
      <c r="G37" s="6" t="str">
        <f>IFERROR(VLOOKUP(Funkcionality[[#This Row],[Oblast]],Init!$A$2:$D$20,4,FALSE),"")</f>
        <v>06_OBF</v>
      </c>
      <c r="H37" s="13"/>
      <c r="I37" s="14" t="str">
        <f>IFERROR(VLOOKUP(Funkcionality[[#This Row],[Podoblast]],Init!$F$2:$G$20,2,FALSE),"")</f>
        <v/>
      </c>
      <c r="J37" s="12">
        <v>3</v>
      </c>
      <c r="K37" s="13" t="s">
        <v>140</v>
      </c>
      <c r="L37" s="13" t="s">
        <v>141</v>
      </c>
      <c r="M37" s="17"/>
      <c r="N37" s="30">
        <f>IF(Funkcionality[[#This Row],[Účastník splňuje požadavek (Ano/Ne)]]="Ano",Funkcionality[[#This Row],[% vaha]],0)</f>
        <v>0</v>
      </c>
      <c r="O37" s="29"/>
      <c r="P37" s="25"/>
    </row>
    <row r="38" spans="1:16" x14ac:dyDescent="0.3">
      <c r="A38" s="10" t="str">
        <f>Funkcionality[[#This Row],[ID_Oblast]]&amp;"_"&amp;TEXT(Funkcionality[[#This Row],[ID_cislo]],"000")&amp;IF(Funkcionality[[#This Row],[ID_Podoblast]]="","","_"&amp;Funkcionality[[#This Row],[ID_Podoblast]])</f>
        <v>06_OBF_004</v>
      </c>
      <c r="B38" s="11" t="s">
        <v>236</v>
      </c>
      <c r="C38" s="11">
        <v>3</v>
      </c>
      <c r="D38" s="24">
        <f>IF(Funkcionality[[#This Row],[Váha nepovinného požadavku]]=0,"",Funkcionality[[#This Row],[Váha nepovinného požadavku]]/$C$86)</f>
        <v>6.5217391304347824E-2</v>
      </c>
      <c r="E38" s="11" t="s">
        <v>235</v>
      </c>
      <c r="F38" s="6" t="s">
        <v>30</v>
      </c>
      <c r="G38" s="6" t="str">
        <f>IFERROR(VLOOKUP(Funkcionality[[#This Row],[Oblast]],Init!$A$2:$D$20,4,FALSE),"")</f>
        <v>06_OBF</v>
      </c>
      <c r="H38" s="13"/>
      <c r="I38" s="14" t="str">
        <f>IFERROR(VLOOKUP(Funkcionality[[#This Row],[Podoblast]],Init!$F$2:$G$20,2,FALSE),"")</f>
        <v/>
      </c>
      <c r="J38" s="12">
        <v>4</v>
      </c>
      <c r="K38" s="13" t="s">
        <v>142</v>
      </c>
      <c r="L38" s="13" t="s">
        <v>143</v>
      </c>
      <c r="M38" s="17"/>
      <c r="N38" s="30">
        <f>IF(Funkcionality[[#This Row],[Účastník splňuje požadavek (Ano/Ne)]]="Ano",Funkcionality[[#This Row],[% vaha]],0)</f>
        <v>0</v>
      </c>
      <c r="O38" s="29"/>
      <c r="P38" s="25"/>
    </row>
    <row r="39" spans="1:16" x14ac:dyDescent="0.3">
      <c r="A39" s="10" t="str">
        <f>Funkcionality[[#This Row],[ID_Oblast]]&amp;"_"&amp;TEXT(Funkcionality[[#This Row],[ID_cislo]],"000")&amp;IF(Funkcionality[[#This Row],[ID_Podoblast]]="","","_"&amp;Funkcionality[[#This Row],[ID_Podoblast]])</f>
        <v>06_OBF_005</v>
      </c>
      <c r="B39" s="11" t="s">
        <v>235</v>
      </c>
      <c r="C39" s="11"/>
      <c r="D39" s="24" t="str">
        <f>IF(Funkcionality[[#This Row],[Váha nepovinného požadavku]]=0,"",Funkcionality[[#This Row],[Váha nepovinného požadavku]]/$C$86)</f>
        <v/>
      </c>
      <c r="E39" s="11" t="s">
        <v>236</v>
      </c>
      <c r="F39" s="6" t="s">
        <v>30</v>
      </c>
      <c r="G39" s="6" t="str">
        <f>IFERROR(VLOOKUP(Funkcionality[[#This Row],[Oblast]],Init!$A$2:$D$20,4,FALSE),"")</f>
        <v>06_OBF</v>
      </c>
      <c r="H39" s="13"/>
      <c r="I39" s="14" t="str">
        <f>IFERROR(VLOOKUP(Funkcionality[[#This Row],[Podoblast]],Init!$F$2:$G$20,2,FALSE),"")</f>
        <v/>
      </c>
      <c r="J39" s="12">
        <v>5</v>
      </c>
      <c r="K39" s="13" t="s">
        <v>144</v>
      </c>
      <c r="L39" s="13" t="s">
        <v>145</v>
      </c>
      <c r="M39" s="17"/>
      <c r="N39" s="30">
        <f>IF(Funkcionality[[#This Row],[Účastník splňuje požadavek (Ano/Ne)]]="Ano",Funkcionality[[#This Row],[% vaha]],0)</f>
        <v>0</v>
      </c>
      <c r="O39" s="29"/>
      <c r="P39" s="25"/>
    </row>
    <row r="40" spans="1:16" x14ac:dyDescent="0.3">
      <c r="A40" s="10" t="str">
        <f>Funkcionality[[#This Row],[ID_Oblast]]&amp;"_"&amp;TEXT(Funkcionality[[#This Row],[ID_cislo]],"000")&amp;IF(Funkcionality[[#This Row],[ID_Podoblast]]="","","_"&amp;Funkcionality[[#This Row],[ID_Podoblast]])</f>
        <v>07_OPR_001</v>
      </c>
      <c r="B40" s="11" t="s">
        <v>235</v>
      </c>
      <c r="C40" s="11"/>
      <c r="D40" s="24" t="str">
        <f>IF(Funkcionality[[#This Row],[Váha nepovinného požadavku]]=0,"",Funkcionality[[#This Row],[Váha nepovinného požadavku]]/$C$86)</f>
        <v/>
      </c>
      <c r="E40" s="11" t="s">
        <v>236</v>
      </c>
      <c r="F40" s="6" t="s">
        <v>35</v>
      </c>
      <c r="G40" s="6" t="str">
        <f>IFERROR(VLOOKUP(Funkcionality[[#This Row],[Oblast]],Init!$A$2:$D$20,4,FALSE),"")</f>
        <v>07_OPR</v>
      </c>
      <c r="H40" s="13"/>
      <c r="I40" s="14" t="str">
        <f>IFERROR(VLOOKUP(Funkcionality[[#This Row],[Podoblast]],Init!$F$2:$G$20,2,FALSE),"")</f>
        <v/>
      </c>
      <c r="J40" s="12">
        <v>1</v>
      </c>
      <c r="K40" s="13" t="s">
        <v>146</v>
      </c>
      <c r="L40" s="13" t="s">
        <v>147</v>
      </c>
      <c r="M40" s="17"/>
      <c r="N40" s="30">
        <f>IF(Funkcionality[[#This Row],[Účastník splňuje požadavek (Ano/Ne)]]="Ano",Funkcionality[[#This Row],[% vaha]],0)</f>
        <v>0</v>
      </c>
      <c r="O40" s="29"/>
      <c r="P40" s="25"/>
    </row>
    <row r="41" spans="1:16" ht="28.8" x14ac:dyDescent="0.3">
      <c r="A41" s="10" t="str">
        <f>Funkcionality[[#This Row],[ID_Oblast]]&amp;"_"&amp;TEXT(Funkcionality[[#This Row],[ID_cislo]],"000")&amp;IF(Funkcionality[[#This Row],[ID_Podoblast]]="","","_"&amp;Funkcionality[[#This Row],[ID_Podoblast]])</f>
        <v>07_OPR_002</v>
      </c>
      <c r="B41" s="11" t="s">
        <v>235</v>
      </c>
      <c r="C41" s="11"/>
      <c r="D41" s="24" t="str">
        <f>IF(Funkcionality[[#This Row],[Váha nepovinného požadavku]]=0,"",Funkcionality[[#This Row],[Váha nepovinného požadavku]]/$C$86)</f>
        <v/>
      </c>
      <c r="E41" s="11" t="s">
        <v>235</v>
      </c>
      <c r="F41" s="6" t="s">
        <v>35</v>
      </c>
      <c r="G41" s="6" t="str">
        <f>IFERROR(VLOOKUP(Funkcionality[[#This Row],[Oblast]],Init!$A$2:$D$20,4,FALSE),"")</f>
        <v>07_OPR</v>
      </c>
      <c r="H41" s="13"/>
      <c r="I41" s="14" t="str">
        <f>IFERROR(VLOOKUP(Funkcionality[[#This Row],[Podoblast]],Init!$F$2:$G$20,2,FALSE),"")</f>
        <v/>
      </c>
      <c r="J41" s="12">
        <v>2</v>
      </c>
      <c r="K41" s="13" t="s">
        <v>148</v>
      </c>
      <c r="L41" s="13" t="s">
        <v>149</v>
      </c>
      <c r="M41" s="17"/>
      <c r="N41" s="30">
        <f>IF(Funkcionality[[#This Row],[Účastník splňuje požadavek (Ano/Ne)]]="Ano",Funkcionality[[#This Row],[% vaha]],0)</f>
        <v>0</v>
      </c>
      <c r="O41" s="29"/>
      <c r="P41" s="25"/>
    </row>
    <row r="42" spans="1:16" ht="28.8" x14ac:dyDescent="0.3">
      <c r="A42" s="10" t="str">
        <f>Funkcionality[[#This Row],[ID_Oblast]]&amp;"_"&amp;TEXT(Funkcionality[[#This Row],[ID_cislo]],"000")&amp;IF(Funkcionality[[#This Row],[ID_Podoblast]]="","","_"&amp;Funkcionality[[#This Row],[ID_Podoblast]])</f>
        <v>07_OPR_003</v>
      </c>
      <c r="B42" s="11" t="s">
        <v>235</v>
      </c>
      <c r="C42" s="11"/>
      <c r="D42" s="24" t="str">
        <f>IF(Funkcionality[[#This Row],[Váha nepovinného požadavku]]=0,"",Funkcionality[[#This Row],[Váha nepovinného požadavku]]/$C$86)</f>
        <v/>
      </c>
      <c r="E42" s="11" t="s">
        <v>235</v>
      </c>
      <c r="F42" s="6" t="s">
        <v>35</v>
      </c>
      <c r="G42" s="6" t="str">
        <f>IFERROR(VLOOKUP(Funkcionality[[#This Row],[Oblast]],Init!$A$2:$D$20,4,FALSE),"")</f>
        <v>07_OPR</v>
      </c>
      <c r="H42" s="13"/>
      <c r="I42" s="14" t="str">
        <f>IFERROR(VLOOKUP(Funkcionality[[#This Row],[Podoblast]],Init!$F$2:$G$20,2,FALSE),"")</f>
        <v/>
      </c>
      <c r="J42" s="12">
        <v>3</v>
      </c>
      <c r="K42" s="13" t="s">
        <v>150</v>
      </c>
      <c r="L42" s="13" t="s">
        <v>151</v>
      </c>
      <c r="M42" s="17"/>
      <c r="N42" s="30">
        <f>IF(Funkcionality[[#This Row],[Účastník splňuje požadavek (Ano/Ne)]]="Ano",Funkcionality[[#This Row],[% vaha]],0)</f>
        <v>0</v>
      </c>
      <c r="O42" s="29"/>
      <c r="P42" s="25"/>
    </row>
    <row r="43" spans="1:16" ht="57.6" x14ac:dyDescent="0.3">
      <c r="A43" s="10" t="str">
        <f>Funkcionality[[#This Row],[ID_Oblast]]&amp;"_"&amp;TEXT(Funkcionality[[#This Row],[ID_cislo]],"000")&amp;IF(Funkcionality[[#This Row],[ID_Podoblast]]="","","_"&amp;Funkcionality[[#This Row],[ID_Podoblast]])</f>
        <v>07_OPR_004</v>
      </c>
      <c r="B43" s="11" t="s">
        <v>235</v>
      </c>
      <c r="C43" s="11"/>
      <c r="D43" s="24" t="str">
        <f>IF(Funkcionality[[#This Row],[Váha nepovinného požadavku]]=0,"",Funkcionality[[#This Row],[Váha nepovinného požadavku]]/$C$86)</f>
        <v/>
      </c>
      <c r="E43" s="11" t="s">
        <v>235</v>
      </c>
      <c r="F43" s="6" t="s">
        <v>35</v>
      </c>
      <c r="G43" s="6" t="str">
        <f>IFERROR(VLOOKUP(Funkcionality[[#This Row],[Oblast]],Init!$A$2:$D$20,4,FALSE),"")</f>
        <v>07_OPR</v>
      </c>
      <c r="H43" s="13"/>
      <c r="I43" s="14" t="str">
        <f>IFERROR(VLOOKUP(Funkcionality[[#This Row],[Podoblast]],Init!$F$2:$G$20,2,FALSE),"")</f>
        <v/>
      </c>
      <c r="J43" s="12">
        <v>4</v>
      </c>
      <c r="K43" s="13" t="s">
        <v>152</v>
      </c>
      <c r="L43" s="13" t="s">
        <v>153</v>
      </c>
      <c r="M43" s="17"/>
      <c r="N43" s="30">
        <f>IF(Funkcionality[[#This Row],[Účastník splňuje požadavek (Ano/Ne)]]="Ano",Funkcionality[[#This Row],[% vaha]],0)</f>
        <v>0</v>
      </c>
      <c r="O43" s="29"/>
      <c r="P43" s="25"/>
    </row>
    <row r="44" spans="1:16" ht="28.8" x14ac:dyDescent="0.3">
      <c r="A44" s="10" t="str">
        <f>Funkcionality[[#This Row],[ID_Oblast]]&amp;"_"&amp;TEXT(Funkcionality[[#This Row],[ID_cislo]],"000")&amp;IF(Funkcionality[[#This Row],[ID_Podoblast]]="","","_"&amp;Funkcionality[[#This Row],[ID_Podoblast]])</f>
        <v>07_OPR_005</v>
      </c>
      <c r="B44" s="11" t="s">
        <v>235</v>
      </c>
      <c r="C44" s="11"/>
      <c r="D44" s="24" t="str">
        <f>IF(Funkcionality[[#This Row],[Váha nepovinného požadavku]]=0,"",Funkcionality[[#This Row],[Váha nepovinného požadavku]]/$C$86)</f>
        <v/>
      </c>
      <c r="E44" s="11" t="s">
        <v>235</v>
      </c>
      <c r="F44" s="6" t="s">
        <v>35</v>
      </c>
      <c r="G44" s="6" t="str">
        <f>IFERROR(VLOOKUP(Funkcionality[[#This Row],[Oblast]],Init!$A$2:$D$20,4,FALSE),"")</f>
        <v>07_OPR</v>
      </c>
      <c r="H44" s="13"/>
      <c r="I44" s="14" t="str">
        <f>IFERROR(VLOOKUP(Funkcionality[[#This Row],[Podoblast]],Init!$F$2:$G$20,2,FALSE),"")</f>
        <v/>
      </c>
      <c r="J44" s="12">
        <v>5</v>
      </c>
      <c r="K44" s="13" t="s">
        <v>154</v>
      </c>
      <c r="L44" s="13" t="s">
        <v>155</v>
      </c>
      <c r="M44" s="17"/>
      <c r="N44" s="30">
        <f>IF(Funkcionality[[#This Row],[Účastník splňuje požadavek (Ano/Ne)]]="Ano",Funkcionality[[#This Row],[% vaha]],0)</f>
        <v>0</v>
      </c>
      <c r="O44" s="29"/>
      <c r="P44" s="25"/>
    </row>
    <row r="45" spans="1:16" ht="28.8" x14ac:dyDescent="0.3">
      <c r="A45" s="10" t="str">
        <f>Funkcionality[[#This Row],[ID_Oblast]]&amp;"_"&amp;TEXT(Funkcionality[[#This Row],[ID_cislo]],"000")&amp;IF(Funkcionality[[#This Row],[ID_Podoblast]]="","","_"&amp;Funkcionality[[#This Row],[ID_Podoblast]])</f>
        <v>07_OPR_006</v>
      </c>
      <c r="B45" s="11" t="s">
        <v>235</v>
      </c>
      <c r="C45" s="11"/>
      <c r="D45" s="24" t="str">
        <f>IF(Funkcionality[[#This Row],[Váha nepovinného požadavku]]=0,"",Funkcionality[[#This Row],[Váha nepovinného požadavku]]/$C$86)</f>
        <v/>
      </c>
      <c r="E45" s="11" t="s">
        <v>236</v>
      </c>
      <c r="F45" s="6" t="s">
        <v>35</v>
      </c>
      <c r="G45" s="6" t="str">
        <f>IFERROR(VLOOKUP(Funkcionality[[#This Row],[Oblast]],Init!$A$2:$D$20,4,FALSE),"")</f>
        <v>07_OPR</v>
      </c>
      <c r="H45" s="13"/>
      <c r="I45" s="14" t="str">
        <f>IFERROR(VLOOKUP(Funkcionality[[#This Row],[Podoblast]],Init!$F$2:$G$20,2,FALSE),"")</f>
        <v/>
      </c>
      <c r="J45" s="12">
        <v>6</v>
      </c>
      <c r="K45" s="13" t="s">
        <v>156</v>
      </c>
      <c r="L45" s="13" t="s">
        <v>157</v>
      </c>
      <c r="M45" s="17"/>
      <c r="N45" s="30">
        <f>IF(Funkcionality[[#This Row],[Účastník splňuje požadavek (Ano/Ne)]]="Ano",Funkcionality[[#This Row],[% vaha]],0)</f>
        <v>0</v>
      </c>
      <c r="O45" s="29"/>
      <c r="P45" s="25"/>
    </row>
    <row r="46" spans="1:16" ht="43.2" x14ac:dyDescent="0.3">
      <c r="A46" s="10" t="str">
        <f>Funkcionality[[#This Row],[ID_Oblast]]&amp;"_"&amp;TEXT(Funkcionality[[#This Row],[ID_cislo]],"000")&amp;IF(Funkcionality[[#This Row],[ID_Podoblast]]="","","_"&amp;Funkcionality[[#This Row],[ID_Podoblast]])</f>
        <v>08_ÚDR_001_POČ</v>
      </c>
      <c r="B46" s="11" t="s">
        <v>235</v>
      </c>
      <c r="C46" s="11"/>
      <c r="D46" s="24" t="str">
        <f>IF(Funkcionality[[#This Row],[Váha nepovinného požadavku]]=0,"",Funkcionality[[#This Row],[Váha nepovinného požadavku]]/$C$86)</f>
        <v/>
      </c>
      <c r="E46" s="11" t="s">
        <v>235</v>
      </c>
      <c r="F46" s="6" t="s">
        <v>257</v>
      </c>
      <c r="G46" s="6" t="str">
        <f>IFERROR(VLOOKUP(Funkcionality[[#This Row],[Oblast]],Init!$A$2:$D$20,4,FALSE),"")</f>
        <v>08_ÚDR</v>
      </c>
      <c r="H46" s="13" t="s">
        <v>10</v>
      </c>
      <c r="I46" s="6" t="str">
        <f>IFERROR(VLOOKUP(Funkcionality[[#This Row],[Podoblast]],Init!$F$2:$G$20,2,FALSE),"")</f>
        <v>POČ</v>
      </c>
      <c r="J46" s="12">
        <v>1</v>
      </c>
      <c r="K46" s="13" t="s">
        <v>158</v>
      </c>
      <c r="L46" s="13" t="s">
        <v>159</v>
      </c>
      <c r="M46" s="17"/>
      <c r="N46" s="30">
        <f>IF(Funkcionality[[#This Row],[Účastník splňuje požadavek (Ano/Ne)]]="Ano",Funkcionality[[#This Row],[% vaha]],0)</f>
        <v>0</v>
      </c>
      <c r="O46" s="29"/>
      <c r="P46" s="25"/>
    </row>
    <row r="47" spans="1:16" ht="72" x14ac:dyDescent="0.3">
      <c r="A47" s="10" t="str">
        <f>Funkcionality[[#This Row],[ID_Oblast]]&amp;"_"&amp;TEXT(Funkcionality[[#This Row],[ID_cislo]],"000")&amp;IF(Funkcionality[[#This Row],[ID_Podoblast]]="","","_"&amp;Funkcionality[[#This Row],[ID_Podoblast]])</f>
        <v>08_ÚDR_002_POČ</v>
      </c>
      <c r="B47" s="11" t="s">
        <v>235</v>
      </c>
      <c r="C47" s="11"/>
      <c r="D47" s="24" t="str">
        <f>IF(Funkcionality[[#This Row],[Váha nepovinného požadavku]]=0,"",Funkcionality[[#This Row],[Váha nepovinného požadavku]]/$C$86)</f>
        <v/>
      </c>
      <c r="E47" s="11" t="s">
        <v>235</v>
      </c>
      <c r="F47" s="6" t="s">
        <v>257</v>
      </c>
      <c r="G47" s="6" t="str">
        <f>IFERROR(VLOOKUP(Funkcionality[[#This Row],[Oblast]],Init!$A$2:$D$20,4,FALSE),"")</f>
        <v>08_ÚDR</v>
      </c>
      <c r="H47" s="13" t="s">
        <v>10</v>
      </c>
      <c r="I47" s="6" t="str">
        <f>IFERROR(VLOOKUP(Funkcionality[[#This Row],[Podoblast]],Init!$F$2:$G$20,2,FALSE),"")</f>
        <v>POČ</v>
      </c>
      <c r="J47" s="12">
        <v>2</v>
      </c>
      <c r="K47" s="13" t="s">
        <v>160</v>
      </c>
      <c r="L47" s="13" t="s">
        <v>161</v>
      </c>
      <c r="M47" s="17"/>
      <c r="N47" s="30">
        <f>IF(Funkcionality[[#This Row],[Účastník splňuje požadavek (Ano/Ne)]]="Ano",Funkcionality[[#This Row],[% vaha]],0)</f>
        <v>0</v>
      </c>
      <c r="O47" s="29"/>
      <c r="P47" s="25"/>
    </row>
    <row r="48" spans="1:16" ht="43.2" x14ac:dyDescent="0.3">
      <c r="A48" s="10" t="str">
        <f>Funkcionality[[#This Row],[ID_Oblast]]&amp;"_"&amp;TEXT(Funkcionality[[#This Row],[ID_cislo]],"000")&amp;IF(Funkcionality[[#This Row],[ID_Podoblast]]="","","_"&amp;Funkcionality[[#This Row],[ID_Podoblast]])</f>
        <v>08_ÚDR_003_POČ</v>
      </c>
      <c r="B48" s="11" t="s">
        <v>235</v>
      </c>
      <c r="C48" s="11"/>
      <c r="D48" s="24" t="str">
        <f>IF(Funkcionality[[#This Row],[Váha nepovinného požadavku]]=0,"",Funkcionality[[#This Row],[Váha nepovinného požadavku]]/$C$86)</f>
        <v/>
      </c>
      <c r="E48" s="11" t="s">
        <v>235</v>
      </c>
      <c r="F48" s="6" t="s">
        <v>257</v>
      </c>
      <c r="G48" s="6" t="str">
        <f>IFERROR(VLOOKUP(Funkcionality[[#This Row],[Oblast]],Init!$A$2:$D$20,4,FALSE),"")</f>
        <v>08_ÚDR</v>
      </c>
      <c r="H48" s="13" t="s">
        <v>10</v>
      </c>
      <c r="I48" s="14" t="str">
        <f>IFERROR(VLOOKUP(Funkcionality[[#This Row],[Podoblast]],Init!$F$2:$G$20,2,FALSE),"")</f>
        <v>POČ</v>
      </c>
      <c r="J48" s="12">
        <v>3</v>
      </c>
      <c r="K48" s="13" t="s">
        <v>162</v>
      </c>
      <c r="L48" s="13" t="s">
        <v>163</v>
      </c>
      <c r="M48" s="17"/>
      <c r="N48" s="30">
        <f>IF(Funkcionality[[#This Row],[Účastník splňuje požadavek (Ano/Ne)]]="Ano",Funkcionality[[#This Row],[% vaha]],0)</f>
        <v>0</v>
      </c>
      <c r="O48" s="29"/>
      <c r="P48" s="25"/>
    </row>
    <row r="49" spans="1:16" ht="43.2" x14ac:dyDescent="0.3">
      <c r="A49" s="10" t="str">
        <f>Funkcionality[[#This Row],[ID_Oblast]]&amp;"_"&amp;TEXT(Funkcionality[[#This Row],[ID_cislo]],"000")&amp;IF(Funkcionality[[#This Row],[ID_Podoblast]]="","","_"&amp;Funkcionality[[#This Row],[ID_Podoblast]])</f>
        <v>08_ÚDR_004_POČ</v>
      </c>
      <c r="B49" s="11" t="s">
        <v>235</v>
      </c>
      <c r="C49" s="11"/>
      <c r="D49" s="24" t="str">
        <f>IF(Funkcionality[[#This Row],[Váha nepovinného požadavku]]=0,"",Funkcionality[[#This Row],[Váha nepovinného požadavku]]/$C$86)</f>
        <v/>
      </c>
      <c r="E49" s="11" t="s">
        <v>235</v>
      </c>
      <c r="F49" s="6" t="s">
        <v>257</v>
      </c>
      <c r="G49" s="6" t="str">
        <f>IFERROR(VLOOKUP(Funkcionality[[#This Row],[Oblast]],Init!$A$2:$D$20,4,FALSE),"")</f>
        <v>08_ÚDR</v>
      </c>
      <c r="H49" s="13" t="s">
        <v>10</v>
      </c>
      <c r="I49" s="14" t="str">
        <f>IFERROR(VLOOKUP(Funkcionality[[#This Row],[Podoblast]],Init!$F$2:$G$20,2,FALSE),"")</f>
        <v>POČ</v>
      </c>
      <c r="J49" s="12">
        <v>4</v>
      </c>
      <c r="K49" s="13" t="s">
        <v>164</v>
      </c>
      <c r="L49" s="13" t="s">
        <v>165</v>
      </c>
      <c r="M49" s="17"/>
      <c r="N49" s="30">
        <f>IF(Funkcionality[[#This Row],[Účastník splňuje požadavek (Ano/Ne)]]="Ano",Funkcionality[[#This Row],[% vaha]],0)</f>
        <v>0</v>
      </c>
      <c r="O49" s="29"/>
      <c r="P49" s="25"/>
    </row>
    <row r="50" spans="1:16" ht="129.6" x14ac:dyDescent="0.3">
      <c r="A50" s="10" t="str">
        <f>Funkcionality[[#This Row],[ID_Oblast]]&amp;"_"&amp;TEXT(Funkcionality[[#This Row],[ID_cislo]],"000")&amp;IF(Funkcionality[[#This Row],[ID_Podoblast]]="","","_"&amp;Funkcionality[[#This Row],[ID_Podoblast]])</f>
        <v>08_ÚDR_005_POČ</v>
      </c>
      <c r="B50" s="11" t="s">
        <v>235</v>
      </c>
      <c r="C50" s="11"/>
      <c r="D50" s="24" t="str">
        <f>IF(Funkcionality[[#This Row],[Váha nepovinného požadavku]]=0,"",Funkcionality[[#This Row],[Váha nepovinného požadavku]]/$C$86)</f>
        <v/>
      </c>
      <c r="E50" s="11" t="s">
        <v>236</v>
      </c>
      <c r="F50" s="6" t="s">
        <v>257</v>
      </c>
      <c r="G50" s="6" t="str">
        <f>IFERROR(VLOOKUP(Funkcionality[[#This Row],[Oblast]],Init!$A$2:$D$20,4,FALSE),"")</f>
        <v>08_ÚDR</v>
      </c>
      <c r="H50" s="13" t="s">
        <v>10</v>
      </c>
      <c r="I50" s="14" t="str">
        <f>IFERROR(VLOOKUP(Funkcionality[[#This Row],[Podoblast]],Init!$F$2:$G$20,2,FALSE),"")</f>
        <v>POČ</v>
      </c>
      <c r="J50" s="12">
        <v>5</v>
      </c>
      <c r="K50" s="13" t="s">
        <v>166</v>
      </c>
      <c r="L50" s="13" t="s">
        <v>167</v>
      </c>
      <c r="M50" s="17"/>
      <c r="N50" s="30">
        <f>IF(Funkcionality[[#This Row],[Účastník splňuje požadavek (Ano/Ne)]]="Ano",Funkcionality[[#This Row],[% vaha]],0)</f>
        <v>0</v>
      </c>
      <c r="O50" s="29"/>
      <c r="P50" s="25"/>
    </row>
    <row r="51" spans="1:16" ht="57.6" x14ac:dyDescent="0.3">
      <c r="A51" s="10" t="str">
        <f>Funkcionality[[#This Row],[ID_Oblast]]&amp;"_"&amp;TEXT(Funkcionality[[#This Row],[ID_cislo]],"000")&amp;IF(Funkcionality[[#This Row],[ID_Podoblast]]="","","_"&amp;Funkcionality[[#This Row],[ID_Podoblast]])</f>
        <v>08_ÚDR_006_POČ</v>
      </c>
      <c r="B51" s="11" t="s">
        <v>236</v>
      </c>
      <c r="C51" s="11">
        <v>3</v>
      </c>
      <c r="D51" s="24">
        <f>IF(Funkcionality[[#This Row],[Váha nepovinného požadavku]]=0,"",Funkcionality[[#This Row],[Váha nepovinného požadavku]]/$C$86)</f>
        <v>6.5217391304347824E-2</v>
      </c>
      <c r="E51" s="11" t="s">
        <v>235</v>
      </c>
      <c r="F51" s="6" t="s">
        <v>257</v>
      </c>
      <c r="G51" s="6" t="str">
        <f>IFERROR(VLOOKUP(Funkcionality[[#This Row],[Oblast]],Init!$A$2:$D$20,4,FALSE),"")</f>
        <v>08_ÚDR</v>
      </c>
      <c r="H51" s="13" t="s">
        <v>10</v>
      </c>
      <c r="I51" s="14" t="str">
        <f>IFERROR(VLOOKUP(Funkcionality[[#This Row],[Podoblast]],Init!$F$2:$G$20,2,FALSE),"")</f>
        <v>POČ</v>
      </c>
      <c r="J51" s="12">
        <v>6</v>
      </c>
      <c r="K51" s="13" t="s">
        <v>168</v>
      </c>
      <c r="L51" s="13" t="s">
        <v>169</v>
      </c>
      <c r="M51" s="17"/>
      <c r="N51" s="30">
        <f>IF(Funkcionality[[#This Row],[Účastník splňuje požadavek (Ano/Ne)]]="Ano",Funkcionality[[#This Row],[% vaha]],0)</f>
        <v>0</v>
      </c>
      <c r="O51" s="29"/>
      <c r="P51" s="25"/>
    </row>
    <row r="52" spans="1:16" ht="43.2" x14ac:dyDescent="0.3">
      <c r="A52" s="10" t="str">
        <f>Funkcionality[[#This Row],[ID_Oblast]]&amp;"_"&amp;TEXT(Funkcionality[[#This Row],[ID_cislo]],"000")&amp;IF(Funkcionality[[#This Row],[ID_Podoblast]]="","","_"&amp;Funkcionality[[#This Row],[ID_Podoblast]])</f>
        <v>08_ÚDR_007_POČ</v>
      </c>
      <c r="B52" s="11" t="s">
        <v>235</v>
      </c>
      <c r="C52" s="11"/>
      <c r="D52" s="24" t="str">
        <f>IF(Funkcionality[[#This Row],[Váha nepovinného požadavku]]=0,"",Funkcionality[[#This Row],[Váha nepovinného požadavku]]/$C$86)</f>
        <v/>
      </c>
      <c r="E52" s="11" t="s">
        <v>236</v>
      </c>
      <c r="F52" s="6" t="s">
        <v>257</v>
      </c>
      <c r="G52" s="6" t="str">
        <f>IFERROR(VLOOKUP(Funkcionality[[#This Row],[Oblast]],Init!$A$2:$D$20,4,FALSE),"")</f>
        <v>08_ÚDR</v>
      </c>
      <c r="H52" s="13" t="s">
        <v>10</v>
      </c>
      <c r="I52" s="6" t="str">
        <f>IFERROR(VLOOKUP(Funkcionality[[#This Row],[Podoblast]],Init!$F$2:$G$20,2,FALSE),"")</f>
        <v>POČ</v>
      </c>
      <c r="J52" s="12">
        <v>7</v>
      </c>
      <c r="K52" s="13" t="s">
        <v>170</v>
      </c>
      <c r="L52" s="13" t="s">
        <v>171</v>
      </c>
      <c r="M52" s="17"/>
      <c r="N52" s="30">
        <f>IF(Funkcionality[[#This Row],[Účastník splňuje požadavek (Ano/Ne)]]="Ano",Funkcionality[[#This Row],[% vaha]],0)</f>
        <v>0</v>
      </c>
      <c r="O52" s="29"/>
      <c r="P52" s="25"/>
    </row>
    <row r="53" spans="1:16" ht="57.6" x14ac:dyDescent="0.3">
      <c r="A53" s="10" t="str">
        <f>Funkcionality[[#This Row],[ID_Oblast]]&amp;"_"&amp;TEXT(Funkcionality[[#This Row],[ID_cislo]],"000")&amp;IF(Funkcionality[[#This Row],[ID_Podoblast]]="","","_"&amp;Funkcionality[[#This Row],[ID_Podoblast]])</f>
        <v>08_ÚDR_008_POČ</v>
      </c>
      <c r="B53" s="11" t="s">
        <v>235</v>
      </c>
      <c r="C53" s="11"/>
      <c r="D53" s="24" t="str">
        <f>IF(Funkcionality[[#This Row],[Váha nepovinného požadavku]]=0,"",Funkcionality[[#This Row],[Váha nepovinného požadavku]]/$C$86)</f>
        <v/>
      </c>
      <c r="E53" s="11" t="s">
        <v>236</v>
      </c>
      <c r="F53" s="6" t="s">
        <v>257</v>
      </c>
      <c r="G53" s="6" t="str">
        <f>IFERROR(VLOOKUP(Funkcionality[[#This Row],[Oblast]],Init!$A$2:$D$20,4,FALSE),"")</f>
        <v>08_ÚDR</v>
      </c>
      <c r="H53" s="13" t="s">
        <v>10</v>
      </c>
      <c r="I53" s="14" t="str">
        <f>IFERROR(VLOOKUP(Funkcionality[[#This Row],[Podoblast]],Init!$F$2:$G$20,2,FALSE),"")</f>
        <v>POČ</v>
      </c>
      <c r="J53" s="12">
        <v>8</v>
      </c>
      <c r="K53" s="13" t="s">
        <v>172</v>
      </c>
      <c r="L53" s="13" t="s">
        <v>173</v>
      </c>
      <c r="M53" s="17"/>
      <c r="N53" s="30">
        <f>IF(Funkcionality[[#This Row],[Účastník splňuje požadavek (Ano/Ne)]]="Ano",Funkcionality[[#This Row],[% vaha]],0)</f>
        <v>0</v>
      </c>
      <c r="O53" s="29"/>
      <c r="P53" s="25"/>
    </row>
    <row r="54" spans="1:16" ht="28.8" x14ac:dyDescent="0.3">
      <c r="A54" s="10" t="str">
        <f>Funkcionality[[#This Row],[ID_Oblast]]&amp;"_"&amp;TEXT(Funkcionality[[#This Row],[ID_cislo]],"000")&amp;IF(Funkcionality[[#This Row],[ID_Podoblast]]="","","_"&amp;Funkcionality[[#This Row],[ID_Podoblast]])</f>
        <v>08_ÚDR_010</v>
      </c>
      <c r="B54" s="11" t="s">
        <v>236</v>
      </c>
      <c r="C54" s="11">
        <v>3</v>
      </c>
      <c r="D54" s="24">
        <f>IF(Funkcionality[[#This Row],[Váha nepovinného požadavku]]=0,"",Funkcionality[[#This Row],[Váha nepovinného požadavku]]/$C$86)</f>
        <v>6.5217391304347824E-2</v>
      </c>
      <c r="E54" s="11" t="s">
        <v>236</v>
      </c>
      <c r="F54" s="6" t="s">
        <v>257</v>
      </c>
      <c r="G54" s="6" t="str">
        <f>IFERROR(VLOOKUP(Funkcionality[[#This Row],[Oblast]],Init!$A$2:$D$20,4,FALSE),"")</f>
        <v>08_ÚDR</v>
      </c>
      <c r="H54" s="13"/>
      <c r="I54" s="14" t="str">
        <f>IFERROR(VLOOKUP(Funkcionality[[#This Row],[Podoblast]],Init!$F$2:$G$20,2,FALSE),"")</f>
        <v/>
      </c>
      <c r="J54" s="12">
        <v>10</v>
      </c>
      <c r="K54" s="13" t="s">
        <v>174</v>
      </c>
      <c r="L54" s="13" t="s">
        <v>175</v>
      </c>
      <c r="M54" s="17"/>
      <c r="N54" s="30">
        <f>IF(Funkcionality[[#This Row],[Účastník splňuje požadavek (Ano/Ne)]]="Ano",Funkcionality[[#This Row],[% vaha]],0)</f>
        <v>0</v>
      </c>
      <c r="O54" s="29"/>
      <c r="P54" s="25"/>
    </row>
    <row r="55" spans="1:16" x14ac:dyDescent="0.3">
      <c r="A55" s="10" t="str">
        <f>Funkcionality[[#This Row],[ID_Oblast]]&amp;"_"&amp;TEXT(Funkcionality[[#This Row],[ID_cislo]],"000")&amp;IF(Funkcionality[[#This Row],[ID_Podoblast]]="","","_"&amp;Funkcionality[[#This Row],[ID_Podoblast]])</f>
        <v>08_ÚDR_011</v>
      </c>
      <c r="B55" s="11" t="s">
        <v>236</v>
      </c>
      <c r="C55" s="11">
        <v>3</v>
      </c>
      <c r="D55" s="24">
        <f>IF(Funkcionality[[#This Row],[Váha nepovinného požadavku]]=0,"",Funkcionality[[#This Row],[Váha nepovinného požadavku]]/$C$86)</f>
        <v>6.5217391304347824E-2</v>
      </c>
      <c r="E55" s="11" t="s">
        <v>236</v>
      </c>
      <c r="F55" s="6" t="s">
        <v>257</v>
      </c>
      <c r="G55" s="6" t="str">
        <f>IFERROR(VLOOKUP(Funkcionality[[#This Row],[Oblast]],Init!$A$2:$D$20,4,FALSE),"")</f>
        <v>08_ÚDR</v>
      </c>
      <c r="H55" s="13"/>
      <c r="I55" s="14" t="str">
        <f>IFERROR(VLOOKUP(Funkcionality[[#This Row],[Podoblast]],Init!$F$2:$G$20,2,FALSE),"")</f>
        <v/>
      </c>
      <c r="J55" s="12">
        <v>11</v>
      </c>
      <c r="K55" s="13" t="s">
        <v>176</v>
      </c>
      <c r="L55" s="13" t="s">
        <v>177</v>
      </c>
      <c r="M55" s="17"/>
      <c r="N55" s="30">
        <f>IF(Funkcionality[[#This Row],[Účastník splňuje požadavek (Ano/Ne)]]="Ano",Funkcionality[[#This Row],[% vaha]],0)</f>
        <v>0</v>
      </c>
      <c r="O55" s="29"/>
      <c r="P55" s="25"/>
    </row>
    <row r="56" spans="1:16" ht="28.8" x14ac:dyDescent="0.3">
      <c r="A56" s="10" t="str">
        <f>Funkcionality[[#This Row],[ID_Oblast]]&amp;"_"&amp;TEXT(Funkcionality[[#This Row],[ID_cislo]],"000")&amp;IF(Funkcionality[[#This Row],[ID_Podoblast]]="","","_"&amp;Funkcionality[[#This Row],[ID_Podoblast]])</f>
        <v>09_ENE_001</v>
      </c>
      <c r="B56" s="11" t="s">
        <v>235</v>
      </c>
      <c r="C56" s="11"/>
      <c r="D56" s="24" t="str">
        <f>IF(Funkcionality[[#This Row],[Váha nepovinného požadavku]]=0,"",Funkcionality[[#This Row],[Váha nepovinného požadavku]]/$C$86)</f>
        <v/>
      </c>
      <c r="E56" s="11" t="s">
        <v>235</v>
      </c>
      <c r="F56" s="6" t="s">
        <v>44</v>
      </c>
      <c r="G56" s="6" t="str">
        <f>IFERROR(VLOOKUP(Funkcionality[[#This Row],[Oblast]],Init!$A$2:$D$20,4,FALSE),"")</f>
        <v>09_ENE</v>
      </c>
      <c r="H56" s="13"/>
      <c r="I56" s="6" t="str">
        <f>IFERROR(VLOOKUP(Funkcionality[[#This Row],[Podoblast]],Init!$F$2:$G$20,2,FALSE),"")</f>
        <v/>
      </c>
      <c r="J56" s="12">
        <v>1</v>
      </c>
      <c r="K56" s="13" t="s">
        <v>178</v>
      </c>
      <c r="L56" s="13" t="s">
        <v>179</v>
      </c>
      <c r="M56" s="17"/>
      <c r="N56" s="30">
        <f>IF(Funkcionality[[#This Row],[Účastník splňuje požadavek (Ano/Ne)]]="Ano",Funkcionality[[#This Row],[% vaha]],0)</f>
        <v>0</v>
      </c>
      <c r="O56" s="29"/>
      <c r="P56" s="25"/>
    </row>
    <row r="57" spans="1:16" x14ac:dyDescent="0.3">
      <c r="A57" s="10" t="str">
        <f>Funkcionality[[#This Row],[ID_Oblast]]&amp;"_"&amp;TEXT(Funkcionality[[#This Row],[ID_cislo]],"000")&amp;IF(Funkcionality[[#This Row],[ID_Podoblast]]="","","_"&amp;Funkcionality[[#This Row],[ID_Podoblast]])</f>
        <v>09_ENE_002</v>
      </c>
      <c r="B57" s="11" t="s">
        <v>235</v>
      </c>
      <c r="C57" s="11"/>
      <c r="D57" s="24" t="str">
        <f>IF(Funkcionality[[#This Row],[Váha nepovinného požadavku]]=0,"",Funkcionality[[#This Row],[Váha nepovinného požadavku]]/$C$86)</f>
        <v/>
      </c>
      <c r="E57" s="11" t="s">
        <v>235</v>
      </c>
      <c r="F57" s="6" t="s">
        <v>44</v>
      </c>
      <c r="G57" s="6" t="str">
        <f>IFERROR(VLOOKUP(Funkcionality[[#This Row],[Oblast]],Init!$A$2:$D$20,4,FALSE),"")</f>
        <v>09_ENE</v>
      </c>
      <c r="H57" s="13"/>
      <c r="I57" s="14" t="str">
        <f>IFERROR(VLOOKUP(Funkcionality[[#This Row],[Podoblast]],Init!$F$2:$G$20,2,FALSE),"")</f>
        <v/>
      </c>
      <c r="J57" s="12">
        <v>2</v>
      </c>
      <c r="K57" s="13" t="s">
        <v>180</v>
      </c>
      <c r="L57" s="13" t="s">
        <v>181</v>
      </c>
      <c r="M57" s="17"/>
      <c r="N57" s="30">
        <f>IF(Funkcionality[[#This Row],[Účastník splňuje požadavek (Ano/Ne)]]="Ano",Funkcionality[[#This Row],[% vaha]],0)</f>
        <v>0</v>
      </c>
      <c r="O57" s="29"/>
      <c r="P57" s="25"/>
    </row>
    <row r="58" spans="1:16" ht="28.8" x14ac:dyDescent="0.3">
      <c r="A58" s="10" t="str">
        <f>Funkcionality[[#This Row],[ID_Oblast]]&amp;"_"&amp;TEXT(Funkcionality[[#This Row],[ID_cislo]],"000")&amp;IF(Funkcionality[[#This Row],[ID_Podoblast]]="","","_"&amp;Funkcionality[[#This Row],[ID_Podoblast]])</f>
        <v>09_ENE_003</v>
      </c>
      <c r="B58" s="11" t="s">
        <v>235</v>
      </c>
      <c r="C58" s="11"/>
      <c r="D58" s="24" t="str">
        <f>IF(Funkcionality[[#This Row],[Váha nepovinného požadavku]]=0,"",Funkcionality[[#This Row],[Váha nepovinného požadavku]]/$C$86)</f>
        <v/>
      </c>
      <c r="E58" s="11" t="s">
        <v>235</v>
      </c>
      <c r="F58" s="6" t="s">
        <v>44</v>
      </c>
      <c r="G58" s="6" t="str">
        <f>IFERROR(VLOOKUP(Funkcionality[[#This Row],[Oblast]],Init!$A$2:$D$20,4,FALSE),"")</f>
        <v>09_ENE</v>
      </c>
      <c r="H58" s="13"/>
      <c r="I58" s="6" t="str">
        <f>IFERROR(VLOOKUP(Funkcionality[[#This Row],[Podoblast]],Init!$F$2:$G$20,2,FALSE),"")</f>
        <v/>
      </c>
      <c r="J58" s="12">
        <v>3</v>
      </c>
      <c r="K58" s="13" t="s">
        <v>93</v>
      </c>
      <c r="L58" s="13" t="s">
        <v>182</v>
      </c>
      <c r="M58" s="17"/>
      <c r="N58" s="30">
        <f>IF(Funkcionality[[#This Row],[Účastník splňuje požadavek (Ano/Ne)]]="Ano",Funkcionality[[#This Row],[% vaha]],0)</f>
        <v>0</v>
      </c>
      <c r="O58" s="29"/>
      <c r="P58" s="25"/>
    </row>
    <row r="59" spans="1:16" x14ac:dyDescent="0.3">
      <c r="A59" s="10" t="str">
        <f>Funkcionality[[#This Row],[ID_Oblast]]&amp;"_"&amp;TEXT(Funkcionality[[#This Row],[ID_cislo]],"000")&amp;IF(Funkcionality[[#This Row],[ID_Podoblast]]="","","_"&amp;Funkcionality[[#This Row],[ID_Podoblast]])</f>
        <v>09_ENE_004</v>
      </c>
      <c r="B59" s="11" t="s">
        <v>235</v>
      </c>
      <c r="C59" s="11"/>
      <c r="D59" s="24" t="str">
        <f>IF(Funkcionality[[#This Row],[Váha nepovinného požadavku]]=0,"",Funkcionality[[#This Row],[Váha nepovinného požadavku]]/$C$86)</f>
        <v/>
      </c>
      <c r="E59" s="11" t="s">
        <v>235</v>
      </c>
      <c r="F59" s="6" t="s">
        <v>44</v>
      </c>
      <c r="G59" s="6" t="str">
        <f>IFERROR(VLOOKUP(Funkcionality[[#This Row],[Oblast]],Init!$A$2:$D$20,4,FALSE),"")</f>
        <v>09_ENE</v>
      </c>
      <c r="H59" s="13"/>
      <c r="I59" s="6" t="str">
        <f>IFERROR(VLOOKUP(Funkcionality[[#This Row],[Podoblast]],Init!$F$2:$G$20,2,FALSE),"")</f>
        <v/>
      </c>
      <c r="J59" s="12">
        <v>4</v>
      </c>
      <c r="K59" s="13" t="s">
        <v>183</v>
      </c>
      <c r="L59" s="13" t="s">
        <v>184</v>
      </c>
      <c r="M59" s="17"/>
      <c r="N59" s="30">
        <f>IF(Funkcionality[[#This Row],[Účastník splňuje požadavek (Ano/Ne)]]="Ano",Funkcionality[[#This Row],[% vaha]],0)</f>
        <v>0</v>
      </c>
      <c r="O59" s="29"/>
      <c r="P59" s="25"/>
    </row>
    <row r="60" spans="1:16" x14ac:dyDescent="0.3">
      <c r="A60" s="10" t="str">
        <f>Funkcionality[[#This Row],[ID_Oblast]]&amp;"_"&amp;TEXT(Funkcionality[[#This Row],[ID_cislo]],"000")&amp;IF(Funkcionality[[#This Row],[ID_Podoblast]]="","","_"&amp;Funkcionality[[#This Row],[ID_Podoblast]])</f>
        <v>09_ENE_005</v>
      </c>
      <c r="B60" s="11" t="s">
        <v>235</v>
      </c>
      <c r="C60" s="11"/>
      <c r="D60" s="24" t="str">
        <f>IF(Funkcionality[[#This Row],[Váha nepovinného požadavku]]=0,"",Funkcionality[[#This Row],[Váha nepovinného požadavku]]/$C$86)</f>
        <v/>
      </c>
      <c r="E60" s="11" t="s">
        <v>236</v>
      </c>
      <c r="F60" s="6" t="s">
        <v>44</v>
      </c>
      <c r="G60" s="6" t="str">
        <f>IFERROR(VLOOKUP(Funkcionality[[#This Row],[Oblast]],Init!$A$2:$D$20,4,FALSE),"")</f>
        <v>09_ENE</v>
      </c>
      <c r="H60" s="13"/>
      <c r="I60" s="6" t="str">
        <f>IFERROR(VLOOKUP(Funkcionality[[#This Row],[Podoblast]],Init!$F$2:$G$20,2,FALSE),"")</f>
        <v/>
      </c>
      <c r="J60" s="12">
        <v>5</v>
      </c>
      <c r="K60" s="13" t="s">
        <v>185</v>
      </c>
      <c r="L60" s="13" t="s">
        <v>186</v>
      </c>
      <c r="M60" s="17"/>
      <c r="N60" s="30">
        <f>IF(Funkcionality[[#This Row],[Účastník splňuje požadavek (Ano/Ne)]]="Ano",Funkcionality[[#This Row],[% vaha]],0)</f>
        <v>0</v>
      </c>
      <c r="O60" s="29"/>
      <c r="P60" s="25"/>
    </row>
    <row r="61" spans="1:16" x14ac:dyDescent="0.3">
      <c r="A61" s="10" t="str">
        <f>Funkcionality[[#This Row],[ID_Oblast]]&amp;"_"&amp;TEXT(Funkcionality[[#This Row],[ID_cislo]],"000")&amp;IF(Funkcionality[[#This Row],[ID_Podoblast]]="","","_"&amp;Funkcionality[[#This Row],[ID_Podoblast]])</f>
        <v>09_ENE_006</v>
      </c>
      <c r="B61" s="11" t="s">
        <v>235</v>
      </c>
      <c r="C61" s="11"/>
      <c r="D61" s="24" t="str">
        <f>IF(Funkcionality[[#This Row],[Váha nepovinného požadavku]]=0,"",Funkcionality[[#This Row],[Váha nepovinného požadavku]]/$C$86)</f>
        <v/>
      </c>
      <c r="E61" s="11" t="s">
        <v>236</v>
      </c>
      <c r="F61" s="6" t="s">
        <v>44</v>
      </c>
      <c r="G61" s="6" t="str">
        <f>IFERROR(VLOOKUP(Funkcionality[[#This Row],[Oblast]],Init!$A$2:$D$20,4,FALSE),"")</f>
        <v>09_ENE</v>
      </c>
      <c r="H61" s="13"/>
      <c r="I61" s="6" t="str">
        <f>IFERROR(VLOOKUP(Funkcionality[[#This Row],[Podoblast]],Init!$F$2:$G$20,2,FALSE),"")</f>
        <v/>
      </c>
      <c r="J61" s="12">
        <v>6</v>
      </c>
      <c r="K61" s="13" t="s">
        <v>187</v>
      </c>
      <c r="L61" s="13" t="s">
        <v>188</v>
      </c>
      <c r="M61" s="17"/>
      <c r="N61" s="30">
        <f>IF(Funkcionality[[#This Row],[Účastník splňuje požadavek (Ano/Ne)]]="Ano",Funkcionality[[#This Row],[% vaha]],0)</f>
        <v>0</v>
      </c>
      <c r="O61" s="29"/>
      <c r="P61" s="25"/>
    </row>
    <row r="62" spans="1:16" x14ac:dyDescent="0.3">
      <c r="A62" s="10" t="str">
        <f>Funkcionality[[#This Row],[ID_Oblast]]&amp;"_"&amp;TEXT(Funkcionality[[#This Row],[ID_cislo]],"000")&amp;IF(Funkcionality[[#This Row],[ID_Podoblast]]="","","_"&amp;Funkcionality[[#This Row],[ID_Podoblast]])</f>
        <v>09_ENE_007</v>
      </c>
      <c r="B62" s="11" t="s">
        <v>235</v>
      </c>
      <c r="C62" s="11"/>
      <c r="D62" s="24" t="str">
        <f>IF(Funkcionality[[#This Row],[Váha nepovinného požadavku]]=0,"",Funkcionality[[#This Row],[Váha nepovinného požadavku]]/$C$86)</f>
        <v/>
      </c>
      <c r="E62" s="11" t="s">
        <v>236</v>
      </c>
      <c r="F62" s="6" t="s">
        <v>44</v>
      </c>
      <c r="G62" s="6" t="str">
        <f>IFERROR(VLOOKUP(Funkcionality[[#This Row],[Oblast]],Init!$A$2:$D$20,4,FALSE),"")</f>
        <v>09_ENE</v>
      </c>
      <c r="H62" s="13"/>
      <c r="I62" s="6" t="str">
        <f>IFERROR(VLOOKUP(Funkcionality[[#This Row],[Podoblast]],Init!$F$2:$G$20,2,FALSE),"")</f>
        <v/>
      </c>
      <c r="J62" s="12">
        <v>7</v>
      </c>
      <c r="K62" s="13" t="s">
        <v>189</v>
      </c>
      <c r="L62" s="13" t="s">
        <v>190</v>
      </c>
      <c r="M62" s="17"/>
      <c r="N62" s="30">
        <f>IF(Funkcionality[[#This Row],[Účastník splňuje požadavek (Ano/Ne)]]="Ano",Funkcionality[[#This Row],[% vaha]],0)</f>
        <v>0</v>
      </c>
      <c r="O62" s="29"/>
      <c r="P62" s="25"/>
    </row>
    <row r="63" spans="1:16" x14ac:dyDescent="0.3">
      <c r="A63" s="10" t="str">
        <f>Funkcionality[[#This Row],[ID_Oblast]]&amp;"_"&amp;TEXT(Funkcionality[[#This Row],[ID_cislo]],"000")&amp;IF(Funkcionality[[#This Row],[ID_Podoblast]]="","","_"&amp;Funkcionality[[#This Row],[ID_Podoblast]])</f>
        <v>09_ENE_008</v>
      </c>
      <c r="B63" s="11" t="s">
        <v>235</v>
      </c>
      <c r="C63" s="11"/>
      <c r="D63" s="24" t="str">
        <f>IF(Funkcionality[[#This Row],[Váha nepovinného požadavku]]=0,"",Funkcionality[[#This Row],[Váha nepovinného požadavku]]/$C$86)</f>
        <v/>
      </c>
      <c r="E63" s="11" t="s">
        <v>236</v>
      </c>
      <c r="F63" s="6" t="s">
        <v>44</v>
      </c>
      <c r="G63" s="6" t="str">
        <f>IFERROR(VLOOKUP(Funkcionality[[#This Row],[Oblast]],Init!$A$2:$D$20,4,FALSE),"")</f>
        <v>09_ENE</v>
      </c>
      <c r="H63" s="13"/>
      <c r="I63" s="6" t="str">
        <f>IFERROR(VLOOKUP(Funkcionality[[#This Row],[Podoblast]],Init!$F$2:$G$20,2,FALSE),"")</f>
        <v/>
      </c>
      <c r="J63" s="12">
        <v>8</v>
      </c>
      <c r="K63" s="13" t="s">
        <v>191</v>
      </c>
      <c r="L63" s="13" t="s">
        <v>192</v>
      </c>
      <c r="M63" s="17"/>
      <c r="N63" s="30">
        <f>IF(Funkcionality[[#This Row],[Účastník splňuje požadavek (Ano/Ne)]]="Ano",Funkcionality[[#This Row],[% vaha]],0)</f>
        <v>0</v>
      </c>
      <c r="O63" s="29"/>
      <c r="P63" s="25"/>
    </row>
    <row r="64" spans="1:16" x14ac:dyDescent="0.3">
      <c r="A64" s="10" t="str">
        <f>Funkcionality[[#This Row],[ID_Oblast]]&amp;"_"&amp;TEXT(Funkcionality[[#This Row],[ID_cislo]],"000")&amp;IF(Funkcionality[[#This Row],[ID_Podoblast]]="","","_"&amp;Funkcionality[[#This Row],[ID_Podoblast]])</f>
        <v>09_ENE_009</v>
      </c>
      <c r="B64" s="11" t="s">
        <v>236</v>
      </c>
      <c r="C64" s="11">
        <v>1</v>
      </c>
      <c r="D64" s="24">
        <f>IF(Funkcionality[[#This Row],[Váha nepovinného požadavku]]=0,"",Funkcionality[[#This Row],[Váha nepovinného požadavku]]/$C$86)</f>
        <v>2.1739130434782608E-2</v>
      </c>
      <c r="E64" s="11" t="s">
        <v>236</v>
      </c>
      <c r="F64" s="6" t="s">
        <v>44</v>
      </c>
      <c r="G64" s="6" t="str">
        <f>IFERROR(VLOOKUP(Funkcionality[[#This Row],[Oblast]],Init!$A$2:$D$20,4,FALSE),"")</f>
        <v>09_ENE</v>
      </c>
      <c r="H64" s="13"/>
      <c r="I64" s="14" t="str">
        <f>IFERROR(VLOOKUP(Funkcionality[[#This Row],[Podoblast]],Init!$F$2:$G$20,2,FALSE),"")</f>
        <v/>
      </c>
      <c r="J64" s="12">
        <v>9</v>
      </c>
      <c r="K64" s="13" t="s">
        <v>193</v>
      </c>
      <c r="L64" s="13" t="s">
        <v>194</v>
      </c>
      <c r="M64" s="17"/>
      <c r="N64" s="30">
        <f>IF(Funkcionality[[#This Row],[Účastník splňuje požadavek (Ano/Ne)]]="Ano",Funkcionality[[#This Row],[% vaha]],0)</f>
        <v>0</v>
      </c>
      <c r="O64" s="29"/>
      <c r="P64" s="25"/>
    </row>
    <row r="65" spans="1:16" ht="28.8" x14ac:dyDescent="0.3">
      <c r="A65" s="10" t="str">
        <f>Funkcionality[[#This Row],[ID_Oblast]]&amp;"_"&amp;TEXT(Funkcionality[[#This Row],[ID_cislo]],"000")&amp;IF(Funkcionality[[#This Row],[ID_Podoblast]]="","","_"&amp;Funkcionality[[#This Row],[ID_Podoblast]])</f>
        <v>09_ENE_010</v>
      </c>
      <c r="B65" s="11" t="s">
        <v>236</v>
      </c>
      <c r="C65" s="11">
        <v>1</v>
      </c>
      <c r="D65" s="24">
        <f>IF(Funkcionality[[#This Row],[Váha nepovinného požadavku]]=0,"",Funkcionality[[#This Row],[Váha nepovinného požadavku]]/$C$86)</f>
        <v>2.1739130434782608E-2</v>
      </c>
      <c r="E65" s="11" t="s">
        <v>236</v>
      </c>
      <c r="F65" s="6" t="s">
        <v>44</v>
      </c>
      <c r="G65" s="6" t="str">
        <f>IFERROR(VLOOKUP(Funkcionality[[#This Row],[Oblast]],Init!$A$2:$D$20,4,FALSE),"")</f>
        <v>09_ENE</v>
      </c>
      <c r="H65" s="13"/>
      <c r="I65" s="14" t="str">
        <f>IFERROR(VLOOKUP(Funkcionality[[#This Row],[Podoblast]],Init!$F$2:$G$20,2,FALSE),"")</f>
        <v/>
      </c>
      <c r="J65" s="12">
        <v>10</v>
      </c>
      <c r="K65" s="13" t="s">
        <v>195</v>
      </c>
      <c r="L65" s="13" t="s">
        <v>196</v>
      </c>
      <c r="M65" s="17"/>
      <c r="N65" s="30">
        <f>IF(Funkcionality[[#This Row],[Účastník splňuje požadavek (Ano/Ne)]]="Ano",Funkcionality[[#This Row],[% vaha]],0)</f>
        <v>0</v>
      </c>
      <c r="O65" s="29"/>
      <c r="P65" s="25"/>
    </row>
    <row r="66" spans="1:16" ht="43.2" x14ac:dyDescent="0.3">
      <c r="A66" s="10" t="str">
        <f>Funkcionality[[#This Row],[ID_Oblast]]&amp;"_"&amp;TEXT(Funkcionality[[#This Row],[ID_cislo]],"000")&amp;IF(Funkcionality[[#This Row],[ID_Podoblast]]="","","_"&amp;Funkcionality[[#This Row],[ID_Podoblast]])</f>
        <v>10_DOK_001</v>
      </c>
      <c r="B66" s="11" t="s">
        <v>235</v>
      </c>
      <c r="C66" s="11"/>
      <c r="D66" s="24" t="str">
        <f>IF(Funkcionality[[#This Row],[Váha nepovinného požadavku]]=0,"",Funkcionality[[#This Row],[Váha nepovinného požadavku]]/$C$86)</f>
        <v/>
      </c>
      <c r="E66" s="11" t="s">
        <v>235</v>
      </c>
      <c r="F66" s="6" t="s">
        <v>47</v>
      </c>
      <c r="G66" s="6" t="str">
        <f>IFERROR(VLOOKUP(Funkcionality[[#This Row],[Oblast]],Init!$A$2:$D$20,4,FALSE),"")</f>
        <v>10_DOK</v>
      </c>
      <c r="H66" s="13"/>
      <c r="I66" s="14" t="str">
        <f>IFERROR(VLOOKUP(Funkcionality[[#This Row],[Podoblast]],Init!$F$2:$G$20,2,FALSE),"")</f>
        <v/>
      </c>
      <c r="J66" s="12">
        <v>1</v>
      </c>
      <c r="K66" s="13" t="s">
        <v>197</v>
      </c>
      <c r="L66" s="13" t="s">
        <v>198</v>
      </c>
      <c r="M66" s="17"/>
      <c r="N66" s="30">
        <f>IF(Funkcionality[[#This Row],[Účastník splňuje požadavek (Ano/Ne)]]="Ano",Funkcionality[[#This Row],[% vaha]],0)</f>
        <v>0</v>
      </c>
      <c r="O66" s="29"/>
      <c r="P66" s="25"/>
    </row>
    <row r="67" spans="1:16" ht="28.8" x14ac:dyDescent="0.3">
      <c r="A67" s="10" t="str">
        <f>Funkcionality[[#This Row],[ID_Oblast]]&amp;"_"&amp;TEXT(Funkcionality[[#This Row],[ID_cislo]],"000")&amp;IF(Funkcionality[[#This Row],[ID_Podoblast]]="","","_"&amp;Funkcionality[[#This Row],[ID_Podoblast]])</f>
        <v>10_DOK_002</v>
      </c>
      <c r="B67" s="11" t="s">
        <v>235</v>
      </c>
      <c r="C67" s="11"/>
      <c r="D67" s="24" t="str">
        <f>IF(Funkcionality[[#This Row],[Váha nepovinného požadavku]]=0,"",Funkcionality[[#This Row],[Váha nepovinného požadavku]]/$C$86)</f>
        <v/>
      </c>
      <c r="E67" s="11" t="s">
        <v>236</v>
      </c>
      <c r="F67" s="6" t="s">
        <v>47</v>
      </c>
      <c r="G67" s="6" t="str">
        <f>IFERROR(VLOOKUP(Funkcionality[[#This Row],[Oblast]],Init!$A$2:$D$20,4,FALSE),"")</f>
        <v>10_DOK</v>
      </c>
      <c r="H67" s="13"/>
      <c r="I67" s="14" t="str">
        <f>IFERROR(VLOOKUP(Funkcionality[[#This Row],[Podoblast]],Init!$F$2:$G$20,2,FALSE),"")</f>
        <v/>
      </c>
      <c r="J67" s="12">
        <v>2</v>
      </c>
      <c r="K67" s="13" t="s">
        <v>199</v>
      </c>
      <c r="L67" s="13" t="s">
        <v>200</v>
      </c>
      <c r="M67" s="17"/>
      <c r="N67" s="30">
        <f>IF(Funkcionality[[#This Row],[Účastník splňuje požadavek (Ano/Ne)]]="Ano",Funkcionality[[#This Row],[% vaha]],0)</f>
        <v>0</v>
      </c>
      <c r="O67" s="29"/>
      <c r="P67" s="25"/>
    </row>
    <row r="68" spans="1:16" ht="28.8" x14ac:dyDescent="0.3">
      <c r="A68" s="10" t="str">
        <f>Funkcionality[[#This Row],[ID_Oblast]]&amp;"_"&amp;TEXT(Funkcionality[[#This Row],[ID_cislo]],"000")&amp;IF(Funkcionality[[#This Row],[ID_Podoblast]]="","","_"&amp;Funkcionality[[#This Row],[ID_Podoblast]])</f>
        <v>10_DOK_003</v>
      </c>
      <c r="B68" s="11" t="s">
        <v>235</v>
      </c>
      <c r="C68" s="11"/>
      <c r="D68" s="24" t="str">
        <f>IF(Funkcionality[[#This Row],[Váha nepovinného požadavku]]=0,"",Funkcionality[[#This Row],[Váha nepovinného požadavku]]/$C$86)</f>
        <v/>
      </c>
      <c r="E68" s="11" t="s">
        <v>236</v>
      </c>
      <c r="F68" s="6" t="s">
        <v>47</v>
      </c>
      <c r="G68" s="6" t="str">
        <f>IFERROR(VLOOKUP(Funkcionality[[#This Row],[Oblast]],Init!$A$2:$D$20,4,FALSE),"")</f>
        <v>10_DOK</v>
      </c>
      <c r="H68" s="13"/>
      <c r="I68" s="14" t="str">
        <f>IFERROR(VLOOKUP(Funkcionality[[#This Row],[Podoblast]],Init!$F$2:$G$20,2,FALSE),"")</f>
        <v/>
      </c>
      <c r="J68" s="12">
        <v>3</v>
      </c>
      <c r="K68" s="13" t="s">
        <v>201</v>
      </c>
      <c r="L68" s="13" t="s">
        <v>202</v>
      </c>
      <c r="M68" s="17"/>
      <c r="N68" s="30">
        <f>IF(Funkcionality[[#This Row],[Účastník splňuje požadavek (Ano/Ne)]]="Ano",Funkcionality[[#This Row],[% vaha]],0)</f>
        <v>0</v>
      </c>
      <c r="O68" s="29"/>
      <c r="P68" s="25"/>
    </row>
    <row r="69" spans="1:16" x14ac:dyDescent="0.3">
      <c r="A69" s="10" t="str">
        <f>Funkcionality[[#This Row],[ID_Oblast]]&amp;"_"&amp;TEXT(Funkcionality[[#This Row],[ID_cislo]],"000")&amp;IF(Funkcionality[[#This Row],[ID_Podoblast]]="","","_"&amp;Funkcionality[[#This Row],[ID_Podoblast]])</f>
        <v>10_DOK_004</v>
      </c>
      <c r="B69" s="11" t="s">
        <v>236</v>
      </c>
      <c r="C69" s="11">
        <v>1</v>
      </c>
      <c r="D69" s="24">
        <f>IF(Funkcionality[[#This Row],[Váha nepovinného požadavku]]=0,"",Funkcionality[[#This Row],[Váha nepovinného požadavku]]/$C$86)</f>
        <v>2.1739130434782608E-2</v>
      </c>
      <c r="E69" s="11" t="s">
        <v>236</v>
      </c>
      <c r="F69" s="6" t="s">
        <v>47</v>
      </c>
      <c r="G69" s="6" t="str">
        <f>IFERROR(VLOOKUP(Funkcionality[[#This Row],[Oblast]],Init!$A$2:$D$20,4,FALSE),"")</f>
        <v>10_DOK</v>
      </c>
      <c r="H69" s="13"/>
      <c r="I69" s="14" t="str">
        <f>IFERROR(VLOOKUP(Funkcionality[[#This Row],[Podoblast]],Init!$F$2:$G$20,2,FALSE),"")</f>
        <v/>
      </c>
      <c r="J69" s="12">
        <v>4</v>
      </c>
      <c r="K69" s="13" t="s">
        <v>203</v>
      </c>
      <c r="L69" s="13" t="s">
        <v>204</v>
      </c>
      <c r="M69" s="17"/>
      <c r="N69" s="30">
        <f>IF(Funkcionality[[#This Row],[Účastník splňuje požadavek (Ano/Ne)]]="Ano",Funkcionality[[#This Row],[% vaha]],0)</f>
        <v>0</v>
      </c>
      <c r="O69" s="29"/>
      <c r="P69" s="25"/>
    </row>
    <row r="70" spans="1:16" ht="28.8" x14ac:dyDescent="0.3">
      <c r="A70" s="10" t="str">
        <f>Funkcionality[[#This Row],[ID_Oblast]]&amp;"_"&amp;TEXT(Funkcionality[[#This Row],[ID_cislo]],"000")&amp;IF(Funkcionality[[#This Row],[ID_Podoblast]]="","","_"&amp;Funkcionality[[#This Row],[ID_Podoblast]])</f>
        <v>10_DOK_005</v>
      </c>
      <c r="B70" s="11" t="s">
        <v>235</v>
      </c>
      <c r="C70" s="11"/>
      <c r="D70" s="24" t="str">
        <f>IF(Funkcionality[[#This Row],[Váha nepovinného požadavku]]=0,"",Funkcionality[[#This Row],[Váha nepovinného požadavku]]/$C$86)</f>
        <v/>
      </c>
      <c r="E70" s="11" t="s">
        <v>236</v>
      </c>
      <c r="F70" s="6" t="s">
        <v>47</v>
      </c>
      <c r="G70" s="6" t="str">
        <f>IFERROR(VLOOKUP(Funkcionality[[#This Row],[Oblast]],Init!$A$2:$D$20,4,FALSE),"")</f>
        <v>10_DOK</v>
      </c>
      <c r="H70" s="13"/>
      <c r="I70" s="14" t="str">
        <f>IFERROR(VLOOKUP(Funkcionality[[#This Row],[Podoblast]],Init!$F$2:$G$20,2,FALSE),"")</f>
        <v/>
      </c>
      <c r="J70" s="12">
        <v>5</v>
      </c>
      <c r="K70" s="13" t="s">
        <v>205</v>
      </c>
      <c r="L70" s="13" t="s">
        <v>206</v>
      </c>
      <c r="M70" s="17"/>
      <c r="N70" s="30">
        <f>IF(Funkcionality[[#This Row],[Účastník splňuje požadavek (Ano/Ne)]]="Ano",Funkcionality[[#This Row],[% vaha]],0)</f>
        <v>0</v>
      </c>
      <c r="O70" s="29"/>
      <c r="P70" s="25"/>
    </row>
    <row r="71" spans="1:16" x14ac:dyDescent="0.3">
      <c r="A71" s="10" t="str">
        <f>Funkcionality[[#This Row],[ID_Oblast]]&amp;"_"&amp;TEXT(Funkcionality[[#This Row],[ID_cislo]],"000")&amp;IF(Funkcionality[[#This Row],[ID_Podoblast]]="","","_"&amp;Funkcionality[[#This Row],[ID_Podoblast]])</f>
        <v>10_DOK_006</v>
      </c>
      <c r="B71" s="11" t="s">
        <v>236</v>
      </c>
      <c r="C71" s="11">
        <v>1</v>
      </c>
      <c r="D71" s="24">
        <f>IF(Funkcionality[[#This Row],[Váha nepovinného požadavku]]=0,"",Funkcionality[[#This Row],[Váha nepovinného požadavku]]/$C$86)</f>
        <v>2.1739130434782608E-2</v>
      </c>
      <c r="E71" s="11" t="s">
        <v>236</v>
      </c>
      <c r="F71" s="6" t="s">
        <v>47</v>
      </c>
      <c r="G71" s="6" t="str">
        <f>IFERROR(VLOOKUP(Funkcionality[[#This Row],[Oblast]],Init!$A$2:$D$20,4,FALSE),"")</f>
        <v>10_DOK</v>
      </c>
      <c r="H71" s="13"/>
      <c r="I71" s="14" t="str">
        <f>IFERROR(VLOOKUP(Funkcionality[[#This Row],[Podoblast]],Init!$F$2:$G$20,2,FALSE),"")</f>
        <v/>
      </c>
      <c r="J71" s="12">
        <v>6</v>
      </c>
      <c r="K71" s="13" t="s">
        <v>207</v>
      </c>
      <c r="L71" s="13" t="s">
        <v>208</v>
      </c>
      <c r="M71" s="17"/>
      <c r="N71" s="30">
        <f>IF(Funkcionality[[#This Row],[Účastník splňuje požadavek (Ano/Ne)]]="Ano",Funkcionality[[#This Row],[% vaha]],0)</f>
        <v>0</v>
      </c>
      <c r="O71" s="29"/>
      <c r="P71" s="25"/>
    </row>
    <row r="72" spans="1:16" ht="43.2" x14ac:dyDescent="0.3">
      <c r="A72" s="10" t="str">
        <f>Funkcionality[[#This Row],[ID_Oblast]]&amp;"_"&amp;TEXT(Funkcionality[[#This Row],[ID_cislo]],"000")&amp;IF(Funkcionality[[#This Row],[ID_Podoblast]]="","","_"&amp;Funkcionality[[#This Row],[ID_Podoblast]])</f>
        <v>10_DOK_007</v>
      </c>
      <c r="B72" s="11" t="s">
        <v>236</v>
      </c>
      <c r="C72" s="11">
        <v>1</v>
      </c>
      <c r="D72" s="24">
        <f>IF(Funkcionality[[#This Row],[Váha nepovinného požadavku]]=0,"",Funkcionality[[#This Row],[Váha nepovinného požadavku]]/$C$86)</f>
        <v>2.1739130434782608E-2</v>
      </c>
      <c r="E72" s="11" t="s">
        <v>236</v>
      </c>
      <c r="F72" s="6" t="s">
        <v>47</v>
      </c>
      <c r="G72" s="6" t="str">
        <f>IFERROR(VLOOKUP(Funkcionality[[#This Row],[Oblast]],Init!$A$2:$D$20,4,FALSE),"")</f>
        <v>10_DOK</v>
      </c>
      <c r="H72" s="13"/>
      <c r="I72" s="14" t="str">
        <f>IFERROR(VLOOKUP(Funkcionality[[#This Row],[Podoblast]],Init!$F$2:$G$20,2,FALSE),"")</f>
        <v/>
      </c>
      <c r="J72" s="12">
        <v>7</v>
      </c>
      <c r="K72" s="13" t="s">
        <v>209</v>
      </c>
      <c r="L72" s="13" t="s">
        <v>210</v>
      </c>
      <c r="M72" s="17"/>
      <c r="N72" s="30">
        <f>IF(Funkcionality[[#This Row],[Účastník splňuje požadavek (Ano/Ne)]]="Ano",Funkcionality[[#This Row],[% vaha]],0)</f>
        <v>0</v>
      </c>
      <c r="O72" s="29"/>
      <c r="P72" s="25"/>
    </row>
    <row r="73" spans="1:16" ht="28.8" x14ac:dyDescent="0.3">
      <c r="A73" s="10" t="str">
        <f>Funkcionality[[#This Row],[ID_Oblast]]&amp;"_"&amp;TEXT(Funkcionality[[#This Row],[ID_cislo]],"000")&amp;IF(Funkcionality[[#This Row],[ID_Podoblast]]="","","_"&amp;Funkcionality[[#This Row],[ID_Podoblast]])</f>
        <v>11_NÁJ_001</v>
      </c>
      <c r="B73" s="11" t="s">
        <v>235</v>
      </c>
      <c r="C73" s="11"/>
      <c r="D73" s="24" t="str">
        <f>IF(Funkcionality[[#This Row],[Váha nepovinného požadavku]]=0,"",Funkcionality[[#This Row],[Váha nepovinného požadavku]]/$C$86)</f>
        <v/>
      </c>
      <c r="E73" s="11" t="s">
        <v>235</v>
      </c>
      <c r="F73" s="6" t="s">
        <v>50</v>
      </c>
      <c r="G73" s="6" t="str">
        <f>IFERROR(VLOOKUP(Funkcionality[[#This Row],[Oblast]],Init!$A$2:$D$20,4,FALSE),"")</f>
        <v>11_NÁJ</v>
      </c>
      <c r="H73" s="13"/>
      <c r="I73" s="14" t="str">
        <f>IFERROR(VLOOKUP(Funkcionality[[#This Row],[Podoblast]],Init!$F$2:$G$20,2,FALSE),"")</f>
        <v/>
      </c>
      <c r="J73" s="12">
        <v>1</v>
      </c>
      <c r="K73" s="13" t="s">
        <v>211</v>
      </c>
      <c r="L73" s="13" t="s">
        <v>212</v>
      </c>
      <c r="M73" s="17"/>
      <c r="N73" s="30">
        <f>IF(Funkcionality[[#This Row],[Účastník splňuje požadavek (Ano/Ne)]]="Ano",Funkcionality[[#This Row],[% vaha]],0)</f>
        <v>0</v>
      </c>
      <c r="O73" s="29"/>
      <c r="P73" s="25"/>
    </row>
    <row r="74" spans="1:16" ht="43.2" x14ac:dyDescent="0.3">
      <c r="A74" s="10" t="str">
        <f>Funkcionality[[#This Row],[ID_Oblast]]&amp;"_"&amp;TEXT(Funkcionality[[#This Row],[ID_cislo]],"000")&amp;IF(Funkcionality[[#This Row],[ID_Podoblast]]="","","_"&amp;Funkcionality[[#This Row],[ID_Podoblast]])</f>
        <v>11_NÁJ_002</v>
      </c>
      <c r="B74" s="11" t="s">
        <v>235</v>
      </c>
      <c r="C74" s="11"/>
      <c r="D74" s="24" t="str">
        <f>IF(Funkcionality[[#This Row],[Váha nepovinného požadavku]]=0,"",Funkcionality[[#This Row],[Váha nepovinného požadavku]]/$C$86)</f>
        <v/>
      </c>
      <c r="E74" s="11" t="s">
        <v>235</v>
      </c>
      <c r="F74" s="6" t="s">
        <v>50</v>
      </c>
      <c r="G74" s="6" t="str">
        <f>IFERROR(VLOOKUP(Funkcionality[[#This Row],[Oblast]],Init!$A$2:$D$20,4,FALSE),"")</f>
        <v>11_NÁJ</v>
      </c>
      <c r="H74" s="13"/>
      <c r="I74" s="14" t="str">
        <f>IFERROR(VLOOKUP(Funkcionality[[#This Row],[Podoblast]],Init!$F$2:$G$20,2,FALSE),"")</f>
        <v/>
      </c>
      <c r="J74" s="12">
        <v>2</v>
      </c>
      <c r="K74" s="13" t="s">
        <v>213</v>
      </c>
      <c r="L74" s="13" t="s">
        <v>214</v>
      </c>
      <c r="M74" s="17"/>
      <c r="N74" s="30">
        <f>IF(Funkcionality[[#This Row],[Účastník splňuje požadavek (Ano/Ne)]]="Ano",Funkcionality[[#This Row],[% vaha]],0)</f>
        <v>0</v>
      </c>
      <c r="O74" s="29"/>
      <c r="P74" s="25"/>
    </row>
    <row r="75" spans="1:16" x14ac:dyDescent="0.3">
      <c r="A75" s="10" t="str">
        <f>Funkcionality[[#This Row],[ID_Oblast]]&amp;"_"&amp;TEXT(Funkcionality[[#This Row],[ID_cislo]],"000")&amp;IF(Funkcionality[[#This Row],[ID_Podoblast]]="","","_"&amp;Funkcionality[[#This Row],[ID_Podoblast]])</f>
        <v>11_NÁJ_003</v>
      </c>
      <c r="B75" s="11" t="s">
        <v>236</v>
      </c>
      <c r="C75" s="11"/>
      <c r="D75" s="24" t="str">
        <f>IF(Funkcionality[[#This Row],[Váha nepovinného požadavku]]=0,"",Funkcionality[[#This Row],[Váha nepovinného požadavku]]/$C$86)</f>
        <v/>
      </c>
      <c r="E75" s="11" t="s">
        <v>236</v>
      </c>
      <c r="F75" s="6" t="s">
        <v>50</v>
      </c>
      <c r="G75" s="6" t="str">
        <f>IFERROR(VLOOKUP(Funkcionality[[#This Row],[Oblast]],Init!$A$2:$D$20,4,FALSE),"")</f>
        <v>11_NÁJ</v>
      </c>
      <c r="H75" s="13"/>
      <c r="I75" s="14" t="str">
        <f>IFERROR(VLOOKUP(Funkcionality[[#This Row],[Podoblast]],Init!$F$2:$G$20,2,FALSE),"")</f>
        <v/>
      </c>
      <c r="J75" s="12">
        <v>3</v>
      </c>
      <c r="K75" s="13" t="s">
        <v>215</v>
      </c>
      <c r="L75" s="13" t="s">
        <v>216</v>
      </c>
      <c r="M75" s="17"/>
      <c r="N75" s="30">
        <f>IF(Funkcionality[[#This Row],[Účastník splňuje požadavek (Ano/Ne)]]="Ano",Funkcionality[[#This Row],[% vaha]],0)</f>
        <v>0</v>
      </c>
      <c r="O75" s="29"/>
      <c r="P75" s="25"/>
    </row>
    <row r="76" spans="1:16" ht="28.8" x14ac:dyDescent="0.3">
      <c r="A76" s="10" t="str">
        <f>Funkcionality[[#This Row],[ID_Oblast]]&amp;"_"&amp;TEXT(Funkcionality[[#This Row],[ID_cislo]],"000")&amp;IF(Funkcionality[[#This Row],[ID_Podoblast]]="","","_"&amp;Funkcionality[[#This Row],[ID_Podoblast]])</f>
        <v>13_SML_001</v>
      </c>
      <c r="B76" s="11" t="s">
        <v>235</v>
      </c>
      <c r="C76" s="11"/>
      <c r="D76" s="24" t="str">
        <f>IF(Funkcionality[[#This Row],[Váha nepovinného požadavku]]=0,"",Funkcionality[[#This Row],[Váha nepovinného požadavku]]/$C$86)</f>
        <v/>
      </c>
      <c r="E76" s="11" t="s">
        <v>236</v>
      </c>
      <c r="F76" s="6" t="s">
        <v>67</v>
      </c>
      <c r="G76" s="6" t="str">
        <f>IFERROR(VLOOKUP(Funkcionality[[#This Row],[Oblast]],Init!$A$2:$D$20,4,FALSE),"")</f>
        <v>13_SML</v>
      </c>
      <c r="H76" s="13"/>
      <c r="I76" s="14" t="str">
        <f>IFERROR(VLOOKUP(Funkcionality[[#This Row],[Podoblast]],Init!$F$2:$G$20,2,FALSE),"")</f>
        <v/>
      </c>
      <c r="J76" s="12">
        <v>1</v>
      </c>
      <c r="K76" s="13" t="s">
        <v>217</v>
      </c>
      <c r="L76" s="13" t="s">
        <v>218</v>
      </c>
      <c r="M76" s="17"/>
      <c r="N76" s="30">
        <f>IF(Funkcionality[[#This Row],[Účastník splňuje požadavek (Ano/Ne)]]="Ano",Funkcionality[[#This Row],[% vaha]],0)</f>
        <v>0</v>
      </c>
      <c r="O76" s="29"/>
      <c r="P76" s="25"/>
    </row>
    <row r="77" spans="1:16" x14ac:dyDescent="0.3">
      <c r="A77" s="10" t="str">
        <f>Funkcionality[[#This Row],[ID_Oblast]]&amp;"_"&amp;TEXT(Funkcionality[[#This Row],[ID_cislo]],"000")&amp;IF(Funkcionality[[#This Row],[ID_Podoblast]]="","","_"&amp;Funkcionality[[#This Row],[ID_Podoblast]])</f>
        <v>13_SML_002</v>
      </c>
      <c r="B77" s="11" t="s">
        <v>236</v>
      </c>
      <c r="C77" s="11">
        <v>1</v>
      </c>
      <c r="D77" s="24">
        <f>IF(Funkcionality[[#This Row],[Váha nepovinného požadavku]]=0,"",Funkcionality[[#This Row],[Váha nepovinného požadavku]]/$C$86)</f>
        <v>2.1739130434782608E-2</v>
      </c>
      <c r="E77" s="11" t="s">
        <v>235</v>
      </c>
      <c r="F77" s="6" t="s">
        <v>67</v>
      </c>
      <c r="G77" s="6" t="str">
        <f>IFERROR(VLOOKUP(Funkcionality[[#This Row],[Oblast]],Init!$A$2:$D$20,4,FALSE),"")</f>
        <v>13_SML</v>
      </c>
      <c r="H77" s="13"/>
      <c r="I77" s="14" t="str">
        <f>IFERROR(VLOOKUP(Funkcionality[[#This Row],[Podoblast]],Init!$F$2:$G$20,2,FALSE),"")</f>
        <v/>
      </c>
      <c r="J77" s="12">
        <v>2</v>
      </c>
      <c r="K77" s="13" t="s">
        <v>219</v>
      </c>
      <c r="L77" s="13" t="s">
        <v>220</v>
      </c>
      <c r="M77" s="17"/>
      <c r="N77" s="30">
        <f>IF(Funkcionality[[#This Row],[Účastník splňuje požadavek (Ano/Ne)]]="Ano",Funkcionality[[#This Row],[% vaha]],0)</f>
        <v>0</v>
      </c>
      <c r="O77" s="29"/>
      <c r="P77" s="25"/>
    </row>
    <row r="78" spans="1:16" ht="28.8" x14ac:dyDescent="0.3">
      <c r="A78" s="10" t="str">
        <f>Funkcionality[[#This Row],[ID_Oblast]]&amp;"_"&amp;TEXT(Funkcionality[[#This Row],[ID_cislo]],"000")&amp;IF(Funkcionality[[#This Row],[ID_Podoblast]]="","","_"&amp;Funkcionality[[#This Row],[ID_Podoblast]])</f>
        <v>14_GRA_001_BIM</v>
      </c>
      <c r="B78" s="11" t="s">
        <v>236</v>
      </c>
      <c r="C78" s="11">
        <v>3</v>
      </c>
      <c r="D78" s="24">
        <f>IF(Funkcionality[[#This Row],[Váha nepovinného požadavku]]=0,"",Funkcionality[[#This Row],[Váha nepovinného požadavku]]/$C$86)</f>
        <v>6.5217391304347824E-2</v>
      </c>
      <c r="E78" s="11" t="s">
        <v>236</v>
      </c>
      <c r="F78" s="6" t="s">
        <v>256</v>
      </c>
      <c r="G78" s="6" t="str">
        <f>IFERROR(VLOOKUP(Funkcionality[[#This Row],[Oblast]],Init!$A$2:$D$20,4,FALSE),"")</f>
        <v>14_GRA</v>
      </c>
      <c r="H78" s="13" t="s">
        <v>38</v>
      </c>
      <c r="I78" s="6" t="str">
        <f>IFERROR(VLOOKUP(Funkcionality[[#This Row],[Podoblast]],Init!$F$2:$G$20,2,FALSE),"")</f>
        <v>BIM</v>
      </c>
      <c r="J78" s="12">
        <v>1</v>
      </c>
      <c r="K78" s="13" t="s">
        <v>246</v>
      </c>
      <c r="L78" s="13" t="s">
        <v>242</v>
      </c>
      <c r="M78" s="17"/>
      <c r="N78" s="30">
        <f>IF(Funkcionality[[#This Row],[Účastník splňuje požadavek (Ano/Ne)]]="Ano",Funkcionality[[#This Row],[% vaha]],0)</f>
        <v>0</v>
      </c>
      <c r="O78" s="29"/>
      <c r="P78" s="25"/>
    </row>
    <row r="79" spans="1:16" ht="28.8" x14ac:dyDescent="0.3">
      <c r="A79" s="10" t="str">
        <f>Funkcionality[[#This Row],[ID_Oblast]]&amp;"_"&amp;TEXT(Funkcionality[[#This Row],[ID_cislo]],"000")&amp;IF(Funkcionality[[#This Row],[ID_Podoblast]]="","","_"&amp;Funkcionality[[#This Row],[ID_Podoblast]])</f>
        <v>14_GRA_002_CAD</v>
      </c>
      <c r="B79" s="11" t="s">
        <v>236</v>
      </c>
      <c r="C79" s="11">
        <v>2</v>
      </c>
      <c r="D79" s="24">
        <f>IF(Funkcionality[[#This Row],[Váha nepovinného požadavku]]=0,"",Funkcionality[[#This Row],[Váha nepovinného požadavku]]/$C$86)</f>
        <v>4.3478260869565216E-2</v>
      </c>
      <c r="E79" s="11" t="s">
        <v>236</v>
      </c>
      <c r="F79" s="6" t="s">
        <v>256</v>
      </c>
      <c r="G79" s="6" t="str">
        <f>IFERROR(VLOOKUP(Funkcionality[[#This Row],[Oblast]],Init!$A$2:$D$20,4,FALSE),"")</f>
        <v>14_GRA</v>
      </c>
      <c r="H79" s="13" t="s">
        <v>42</v>
      </c>
      <c r="I79" s="6" t="str">
        <f>IFERROR(VLOOKUP(Funkcionality[[#This Row],[Podoblast]],Init!$F$2:$G$20,2,FALSE),"")</f>
        <v>CAD</v>
      </c>
      <c r="J79" s="12">
        <v>2</v>
      </c>
      <c r="K79" s="13" t="s">
        <v>247</v>
      </c>
      <c r="L79" s="13" t="s">
        <v>243</v>
      </c>
      <c r="M79" s="17"/>
      <c r="N79" s="30">
        <f>IF(Funkcionality[[#This Row],[Účastník splňuje požadavek (Ano/Ne)]]="Ano",Funkcionality[[#This Row],[% vaha]],0)</f>
        <v>0</v>
      </c>
      <c r="O79" s="29"/>
      <c r="P79" s="25"/>
    </row>
    <row r="80" spans="1:16" x14ac:dyDescent="0.3">
      <c r="A80" s="10" t="str">
        <f>Funkcionality[[#This Row],[ID_Oblast]]&amp;"_"&amp;TEXT(Funkcionality[[#This Row],[ID_cislo]],"000")&amp;IF(Funkcionality[[#This Row],[ID_Podoblast]]="","","_"&amp;Funkcionality[[#This Row],[ID_Podoblast]])</f>
        <v>15_APP_001</v>
      </c>
      <c r="B80" s="11" t="s">
        <v>235</v>
      </c>
      <c r="C80" s="11"/>
      <c r="D80" s="24" t="str">
        <f>IF(Funkcionality[[#This Row],[Váha nepovinného požadavku]]=0,"",Funkcionality[[#This Row],[Váha nepovinného požadavku]]/$C$86)</f>
        <v/>
      </c>
      <c r="E80" s="11" t="s">
        <v>236</v>
      </c>
      <c r="F80" s="6" t="s">
        <v>64</v>
      </c>
      <c r="G80" s="6" t="str">
        <f>IFERROR(VLOOKUP(Funkcionality[[#This Row],[Oblast]],Init!$A$2:$D$20,4,FALSE),"")</f>
        <v>15_APP</v>
      </c>
      <c r="H80" s="13"/>
      <c r="I80" s="14" t="str">
        <f>IFERROR(VLOOKUP(Funkcionality[[#This Row],[Podoblast]],Init!$F$2:$G$20,2,FALSE),"")</f>
        <v/>
      </c>
      <c r="J80" s="12">
        <v>1</v>
      </c>
      <c r="K80" s="13" t="s">
        <v>221</v>
      </c>
      <c r="L80" s="13" t="s">
        <v>222</v>
      </c>
      <c r="M80" s="17"/>
      <c r="N80" s="30">
        <f>IF(Funkcionality[[#This Row],[Účastník splňuje požadavek (Ano/Ne)]]="Ano",Funkcionality[[#This Row],[% vaha]],0)</f>
        <v>0</v>
      </c>
      <c r="O80" s="29"/>
      <c r="P80" s="25"/>
    </row>
    <row r="81" spans="1:16" ht="43.2" x14ac:dyDescent="0.3">
      <c r="A81" s="10" t="str">
        <f>Funkcionality[[#This Row],[ID_Oblast]]&amp;"_"&amp;TEXT(Funkcionality[[#This Row],[ID_cislo]],"000")&amp;IF(Funkcionality[[#This Row],[ID_Podoblast]]="","","_"&amp;Funkcionality[[#This Row],[ID_Podoblast]])</f>
        <v>15_APP_002_POČ</v>
      </c>
      <c r="B81" s="11" t="s">
        <v>235</v>
      </c>
      <c r="C81" s="11"/>
      <c r="D81" s="24" t="str">
        <f>IF(Funkcionality[[#This Row],[Váha nepovinného požadavku]]=0,"",Funkcionality[[#This Row],[Váha nepovinného požadavku]]/$C$86)</f>
        <v/>
      </c>
      <c r="E81" s="11" t="s">
        <v>236</v>
      </c>
      <c r="F81" s="6" t="s">
        <v>64</v>
      </c>
      <c r="G81" s="6" t="str">
        <f>IFERROR(VLOOKUP(Funkcionality[[#This Row],[Oblast]],Init!$A$2:$D$20,4,FALSE),"")</f>
        <v>15_APP</v>
      </c>
      <c r="H81" s="13" t="s">
        <v>10</v>
      </c>
      <c r="I81" s="14" t="str">
        <f>IFERROR(VLOOKUP(Funkcionality[[#This Row],[Podoblast]],Init!$F$2:$G$20,2,FALSE),"")</f>
        <v>POČ</v>
      </c>
      <c r="J81" s="12">
        <v>2</v>
      </c>
      <c r="K81" s="13" t="s">
        <v>223</v>
      </c>
      <c r="L81" s="13" t="s">
        <v>224</v>
      </c>
      <c r="M81" s="17"/>
      <c r="N81" s="30">
        <f>IF(Funkcionality[[#This Row],[Účastník splňuje požadavek (Ano/Ne)]]="Ano",Funkcionality[[#This Row],[% vaha]],0)</f>
        <v>0</v>
      </c>
      <c r="O81" s="29"/>
      <c r="P81" s="25"/>
    </row>
    <row r="82" spans="1:16" x14ac:dyDescent="0.3">
      <c r="A82" s="10" t="str">
        <f>Funkcionality[[#This Row],[ID_Oblast]]&amp;"_"&amp;TEXT(Funkcionality[[#This Row],[ID_cislo]],"000")&amp;IF(Funkcionality[[#This Row],[ID_Podoblast]]="","","_"&amp;Funkcionality[[#This Row],[ID_Podoblast]])</f>
        <v>15_APP_003</v>
      </c>
      <c r="B82" s="11" t="s">
        <v>236</v>
      </c>
      <c r="C82" s="11">
        <v>1</v>
      </c>
      <c r="D82" s="24">
        <f>IF(Funkcionality[[#This Row],[Váha nepovinného požadavku]]=0,"",Funkcionality[[#This Row],[Váha nepovinného požadavku]]/$C$86)</f>
        <v>2.1739130434782608E-2</v>
      </c>
      <c r="E82" s="11" t="s">
        <v>236</v>
      </c>
      <c r="F82" s="6" t="s">
        <v>64</v>
      </c>
      <c r="G82" s="6" t="str">
        <f>IFERROR(VLOOKUP(Funkcionality[[#This Row],[Oblast]],Init!$A$2:$D$20,4,FALSE),"")</f>
        <v>15_APP</v>
      </c>
      <c r="H82" s="13"/>
      <c r="I82" s="14" t="str">
        <f>IFERROR(VLOOKUP(Funkcionality[[#This Row],[Podoblast]],Init!$F$2:$G$20,2,FALSE),"")</f>
        <v/>
      </c>
      <c r="J82" s="12">
        <v>3</v>
      </c>
      <c r="K82" s="13" t="s">
        <v>225</v>
      </c>
      <c r="L82" s="13" t="s">
        <v>226</v>
      </c>
      <c r="M82" s="17"/>
      <c r="N82" s="30">
        <f>IF(Funkcionality[[#This Row],[Účastník splňuje požadavek (Ano/Ne)]]="Ano",Funkcionality[[#This Row],[% vaha]],0)</f>
        <v>0</v>
      </c>
      <c r="O82" s="29"/>
      <c r="P82" s="25"/>
    </row>
    <row r="83" spans="1:16" ht="15" thickBot="1" x14ac:dyDescent="0.35">
      <c r="A83" s="18" t="str">
        <f>Funkcionality[[#This Row],[ID_Oblast]]&amp;"_"&amp;TEXT(Funkcionality[[#This Row],[ID_cislo]],"000")&amp;IF(Funkcionality[[#This Row],[ID_Podoblast]]="","","_"&amp;Funkcionality[[#This Row],[ID_Podoblast]])</f>
        <v>15_APP_004</v>
      </c>
      <c r="B83" s="11" t="s">
        <v>236</v>
      </c>
      <c r="C83" s="19">
        <v>1</v>
      </c>
      <c r="D83" s="24">
        <f>IF(Funkcionality[[#This Row],[Váha nepovinného požadavku]]=0,"",Funkcionality[[#This Row],[Váha nepovinného požadavku]]/$C$86)</f>
        <v>2.1739130434782608E-2</v>
      </c>
      <c r="E83" s="19" t="s">
        <v>236</v>
      </c>
      <c r="F83" s="20" t="s">
        <v>64</v>
      </c>
      <c r="G83" s="20" t="str">
        <f>IFERROR(VLOOKUP(Funkcionality[[#This Row],[Oblast]],Init!$A$2:$D$20,4,FALSE),"")</f>
        <v>15_APP</v>
      </c>
      <c r="H83" s="23"/>
      <c r="I83" s="21" t="str">
        <f>IFERROR(VLOOKUP(Funkcionality[[#This Row],[Podoblast]],Init!$F$2:$G$20,2,FALSE),"")</f>
        <v/>
      </c>
      <c r="J83" s="22">
        <v>4</v>
      </c>
      <c r="K83" s="23" t="s">
        <v>144</v>
      </c>
      <c r="L83" s="23" t="s">
        <v>227</v>
      </c>
      <c r="M83" s="17"/>
      <c r="N83" s="30">
        <f>IF(Funkcionality[[#This Row],[Účastník splňuje požadavek (Ano/Ne)]]="Ano",Funkcionality[[#This Row],[% vaha]],0)</f>
        <v>0</v>
      </c>
      <c r="O83" s="29"/>
      <c r="P83" s="25"/>
    </row>
    <row r="84" spans="1:16" ht="35.549999999999997" customHeight="1" thickBot="1" x14ac:dyDescent="0.35">
      <c r="A84" s="18" t="str">
        <f>Funkcionality[[#This Row],[ID_Oblast]]&amp;"_"&amp;TEXT(Funkcionality[[#This Row],[ID_cislo]],"000")&amp;IF(Funkcionality[[#This Row],[ID_Podoblast]]="","","_"&amp;Funkcionality[[#This Row],[ID_Podoblast]])</f>
        <v>15_APP_005</v>
      </c>
      <c r="B84" s="11" t="s">
        <v>236</v>
      </c>
      <c r="C84" s="11">
        <v>1</v>
      </c>
      <c r="D84" s="24">
        <f>IF(Funkcionality[[#This Row],[Váha nepovinného požadavku]]=0,"",Funkcionality[[#This Row],[Váha nepovinného požadavku]]/$C$86)</f>
        <v>2.1739130434782608E-2</v>
      </c>
      <c r="E84" s="11" t="s">
        <v>236</v>
      </c>
      <c r="F84" s="20" t="s">
        <v>64</v>
      </c>
      <c r="G84" s="6" t="str">
        <f>IFERROR(VLOOKUP(Funkcionality[[#This Row],[Oblast]],Init!$A$2:$D$20,4,FALSE),"")</f>
        <v>15_APP</v>
      </c>
      <c r="H84" s="13"/>
      <c r="I84" s="14" t="str">
        <f>IFERROR(VLOOKUP(Funkcionality[[#This Row],[Podoblast]],Init!$F$2:$G$20,2,FALSE),"")</f>
        <v/>
      </c>
      <c r="J84" s="12">
        <v>5</v>
      </c>
      <c r="K84" s="13" t="s">
        <v>228</v>
      </c>
      <c r="L84" s="13" t="s">
        <v>229</v>
      </c>
      <c r="M84" s="17"/>
      <c r="N84" s="30">
        <f>IF(Funkcionality[[#This Row],[Účastník splňuje požadavek (Ano/Ne)]]="Ano",Funkcionality[[#This Row],[% vaha]],0)</f>
        <v>0</v>
      </c>
      <c r="O84" s="29"/>
      <c r="P84" s="25"/>
    </row>
    <row r="85" spans="1:16" x14ac:dyDescent="0.3">
      <c r="A85" s="25"/>
      <c r="B85" s="25"/>
      <c r="C85" s="25"/>
      <c r="D85" s="25"/>
      <c r="E85" s="25"/>
      <c r="F85" s="25"/>
      <c r="G85" s="25"/>
      <c r="H85" s="25"/>
      <c r="I85" s="25"/>
      <c r="J85" s="25"/>
      <c r="K85" s="25"/>
      <c r="L85" s="25"/>
      <c r="M85" s="25"/>
      <c r="N85" s="25"/>
      <c r="O85" s="25"/>
    </row>
    <row r="86" spans="1:16" x14ac:dyDescent="0.3">
      <c r="B86" s="26" t="s">
        <v>230</v>
      </c>
      <c r="C86" s="26">
        <f>SUM(Funkcionality[Váha nepovinného požadavku])</f>
        <v>46</v>
      </c>
      <c r="D86" s="26"/>
      <c r="L86" s="27" t="s">
        <v>248</v>
      </c>
      <c r="M86" s="6">
        <f>COUNTIF(Funkcionality[Účastník splňuje požadavek (Ano/Ne)],"Ano")</f>
        <v>0</v>
      </c>
    </row>
    <row r="87" spans="1:16" x14ac:dyDescent="0.3">
      <c r="A87" s="27" t="s">
        <v>231</v>
      </c>
      <c r="B87" s="26">
        <f>COUNTIF(Funkcionality[Povinný požadavek],"Ano")</f>
        <v>53</v>
      </c>
      <c r="L87" s="27" t="s">
        <v>249</v>
      </c>
      <c r="M87" s="6">
        <f>COUNTIF(Funkcionality[Účastník splňuje požadavek (Ano/Ne)],"Ne")</f>
        <v>0</v>
      </c>
    </row>
    <row r="88" spans="1:16" x14ac:dyDescent="0.3">
      <c r="A88" s="27" t="s">
        <v>232</v>
      </c>
      <c r="B88" s="26">
        <f>COUNTIF(Funkcionality[Povinný požadavek],"Ne")</f>
        <v>29</v>
      </c>
      <c r="L88" s="27" t="s">
        <v>250</v>
      </c>
      <c r="M88" s="6">
        <f>COUNTBLANK(Funkcionality[Účastník splňuje požadavek (Ano/Ne)])</f>
        <v>82</v>
      </c>
    </row>
    <row r="90" spans="1:16" x14ac:dyDescent="0.3">
      <c r="L90" s="27" t="s">
        <v>252</v>
      </c>
      <c r="M90" s="26"/>
      <c r="N90" s="26">
        <f>SUM(Funkcionality[Body])</f>
        <v>0</v>
      </c>
      <c r="O90" s="26" t="str">
        <f>"z celkového počtu "&amp;D86&amp;" bodů"</f>
        <v>z celkového počtu  bodů</v>
      </c>
    </row>
  </sheetData>
  <phoneticPr fontId="4" type="noConversion"/>
  <conditionalFormatting sqref="A3:L1029">
    <cfRule type="cellIs" dxfId="32" priority="3" operator="notEqual">
      <formula>"Kousek těsta"</formula>
    </cfRule>
  </conditionalFormatting>
  <conditionalFormatting sqref="B3:C1029">
    <cfRule type="expression" dxfId="31" priority="35">
      <formula>$B3="Ano"</formula>
    </cfRule>
    <cfRule type="expression" dxfId="30" priority="34">
      <formula>$B3="Ne"</formula>
    </cfRule>
  </conditionalFormatting>
  <conditionalFormatting sqref="C3:E1029">
    <cfRule type="cellIs" dxfId="29" priority="28" operator="equal">
      <formula>"Ano"</formula>
    </cfRule>
  </conditionalFormatting>
  <conditionalFormatting sqref="D3:D1029">
    <cfRule type="dataBar" priority="19">
      <dataBar>
        <cfvo type="num" val="0"/>
        <cfvo type="num" val="1"/>
        <color rgb="FF47B0FF"/>
      </dataBar>
      <extLst>
        <ext xmlns:x14="http://schemas.microsoft.com/office/spreadsheetml/2009/9/main" uri="{B025F937-C7B1-47D3-B67F-A62EFF666E3E}">
          <x14:id>{AACD6570-7933-4C40-82D4-197F1DFB3B8D}</x14:id>
        </ext>
      </extLst>
    </cfRule>
  </conditionalFormatting>
  <conditionalFormatting sqref="D86">
    <cfRule type="expression" dxfId="28" priority="16">
      <formula>$B86="N"</formula>
    </cfRule>
    <cfRule type="expression" dxfId="27" priority="17">
      <formula>$B86="A"</formula>
    </cfRule>
  </conditionalFormatting>
  <conditionalFormatting sqref="E3:E1029">
    <cfRule type="cellIs" dxfId="26" priority="18" operator="equal">
      <formula>"Ne"</formula>
    </cfRule>
  </conditionalFormatting>
  <conditionalFormatting sqref="L86:L87">
    <cfRule type="expression" dxfId="13" priority="2">
      <formula>$B86="Ano"</formula>
    </cfRule>
    <cfRule type="expression" dxfId="12" priority="1">
      <formula>$B86="Ne"</formula>
    </cfRule>
  </conditionalFormatting>
  <pageMargins left="0.7" right="0.7" top="0.75" bottom="0.75" header="0.3" footer="0.3"/>
  <pageSetup paperSize="9"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AACD6570-7933-4C40-82D4-197F1DFB3B8D}">
            <x14:dataBar minLength="0" maxLength="100" border="1" gradient="0" negativeBarBorderColorSameAsPositive="0">
              <x14:cfvo type="num">
                <xm:f>0</xm:f>
              </x14:cfvo>
              <x14:cfvo type="num">
                <xm:f>1</xm:f>
              </x14:cfvo>
              <x14:borderColor theme="1"/>
              <x14:negativeFillColor rgb="FFFF0000"/>
              <x14:negativeBorderColor rgb="FFFF0000"/>
              <x14:axisColor rgb="FF000000"/>
            </x14:dataBar>
          </x14:cfRule>
          <xm:sqref>D3:D1029</xm:sqref>
        </x14:conditionalFormatting>
        <x14:conditionalFormatting xmlns:xm="http://schemas.microsoft.com/office/excel/2006/main">
          <x14:cfRule type="expression" priority="60" id="{71362FA5-5189-4B53-B818-1ED200FE2723}">
            <xm:f>$F3=Init!$A$11</xm:f>
            <x14:dxf>
              <fill>
                <patternFill>
                  <bgColor theme="8" tint="0.79998168889431442"/>
                </patternFill>
              </fill>
            </x14:dxf>
          </x14:cfRule>
          <x14:cfRule type="expression" priority="61" id="{68CACB95-331F-472B-AE76-929079057048}">
            <xm:f>$F3=Init!$A$17</xm:f>
            <x14:dxf>
              <fill>
                <patternFill>
                  <bgColor rgb="FFBA8CDC"/>
                </patternFill>
              </fill>
            </x14:dxf>
          </x14:cfRule>
          <x14:cfRule type="expression" priority="62" id="{EFDDA1C3-DB4F-4DA9-A130-FC5E8364EB30}">
            <xm:f>$F3=Init!$A$8</xm:f>
            <x14:dxf>
              <fill>
                <patternFill>
                  <bgColor rgb="FFFF9BBC"/>
                </patternFill>
              </fill>
            </x14:dxf>
          </x14:cfRule>
          <x14:cfRule type="expression" priority="63" id="{B76470AF-A1D3-48E2-BAFF-C479C45E7FE4}">
            <xm:f>$F3=Init!$A$7</xm:f>
            <x14:dxf>
              <fill>
                <patternFill>
                  <bgColor theme="6" tint="0.59996337778862885"/>
                </patternFill>
              </fill>
            </x14:dxf>
          </x14:cfRule>
          <x14:cfRule type="expression" priority="64" id="{D761926C-E629-4C8C-B501-69DCBEB02835}">
            <xm:f>$F3=Init!$A$10</xm:f>
            <x14:dxf>
              <fill>
                <patternFill>
                  <bgColor theme="7" tint="0.39994506668294322"/>
                </patternFill>
              </fill>
            </x14:dxf>
          </x14:cfRule>
          <x14:cfRule type="expression" priority="65" id="{9F11E636-CAFA-45A1-8875-1361643FEB64}">
            <xm:f>$F3=Init!$A$9</xm:f>
            <x14:dxf>
              <fill>
                <patternFill>
                  <bgColor theme="9" tint="0.59996337778862885"/>
                </patternFill>
              </fill>
            </x14:dxf>
          </x14:cfRule>
          <x14:cfRule type="expression" priority="66" id="{C06A7E17-FF83-47ED-85C4-1ED927C86373}">
            <xm:f>$F3=Init!$A$4</xm:f>
            <x14:dxf>
              <fill>
                <patternFill>
                  <bgColor theme="3" tint="0.59996337778862885"/>
                </patternFill>
              </fill>
            </x14:dxf>
          </x14:cfRule>
          <x14:cfRule type="expression" priority="67" id="{C78B6BC5-E7E0-4325-8EF4-6A912D55755B}">
            <xm:f>$F3=Init!$A$6</xm:f>
            <x14:dxf>
              <fill>
                <patternFill>
                  <bgColor theme="5" tint="0.39994506668294322"/>
                </patternFill>
              </fill>
            </x14:dxf>
          </x14:cfRule>
          <x14:cfRule type="expression" priority="68" id="{30E61D8B-DF3E-4DA4-B4E9-9EAFDCE72BD4}">
            <xm:f>$F3=Init!$A$3</xm:f>
            <x14:dxf>
              <fill>
                <patternFill>
                  <bgColor theme="3" tint="0.79998168889431442"/>
                </patternFill>
              </fill>
            </x14:dxf>
          </x14:cfRule>
          <x14:cfRule type="expression" priority="69" id="{FDBE1FC8-F2B1-4E80-883C-F68153451EF2}">
            <xm:f>$F3=Init!$A$2</xm:f>
            <x14:dxf>
              <fill>
                <patternFill>
                  <bgColor theme="7" tint="0.79998168889431442"/>
                </patternFill>
              </fill>
            </x14:dxf>
          </x14:cfRule>
          <x14:cfRule type="expression" priority="21" id="{6CE8BC63-E7A2-40CE-87CE-784099526879}">
            <xm:f>$F3=Init!$A$12</xm:f>
            <x14:dxf>
              <fill>
                <patternFill>
                  <bgColor rgb="FF61BBFF"/>
                </patternFill>
              </fill>
            </x14:dxf>
          </x14:cfRule>
          <x14:cfRule type="expression" priority="22" id="{FBF49E8C-B551-4BA9-8391-6E70CE053559}">
            <xm:f>$F3=Init!$A$18</xm:f>
            <x14:dxf>
              <fill>
                <patternFill>
                  <bgColor rgb="FFF09456"/>
                </patternFill>
              </fill>
            </x14:dxf>
          </x14:cfRule>
          <xm:sqref>F3:L85 F86:K90 F91:L1029</xm:sqref>
        </x14:conditionalFormatting>
        <x14:conditionalFormatting xmlns:xm="http://schemas.microsoft.com/office/excel/2006/main">
          <x14:cfRule type="expression" priority="4" id="{F53C3924-AE96-4594-B434-09E973809306}">
            <xm:f>$E86=Init!$A$12</xm:f>
            <x14:dxf>
              <fill>
                <patternFill>
                  <bgColor rgb="FF61BBFF"/>
                </patternFill>
              </fill>
            </x14:dxf>
          </x14:cfRule>
          <x14:cfRule type="expression" priority="5" id="{5F342D53-55BD-41D5-889E-4643840B161E}">
            <xm:f>$E86=Init!$A$18</xm:f>
            <x14:dxf>
              <fill>
                <patternFill>
                  <bgColor rgb="FFF09456"/>
                </patternFill>
              </fill>
            </x14:dxf>
          </x14:cfRule>
          <x14:cfRule type="expression" priority="6" id="{C392987F-D68B-44DF-8D3A-66E70B2DA3B6}">
            <xm:f>$E86=Init!$A$11</xm:f>
            <x14:dxf>
              <fill>
                <patternFill>
                  <bgColor theme="8" tint="0.79998168889431442"/>
                </patternFill>
              </fill>
            </x14:dxf>
          </x14:cfRule>
          <x14:cfRule type="expression" priority="7" id="{CED8D3B9-8E19-49B4-8F84-2EFB2A7512A7}">
            <xm:f>$E86=Init!$A$17</xm:f>
            <x14:dxf>
              <fill>
                <patternFill>
                  <bgColor rgb="FFBA8CDC"/>
                </patternFill>
              </fill>
            </x14:dxf>
          </x14:cfRule>
          <x14:cfRule type="expression" priority="8" id="{35F9484D-628D-4554-8BC6-F7EA7B3A4D51}">
            <xm:f>$E86=Init!$A$8</xm:f>
            <x14:dxf>
              <fill>
                <patternFill>
                  <bgColor rgb="FFFF9BBC"/>
                </patternFill>
              </fill>
            </x14:dxf>
          </x14:cfRule>
          <x14:cfRule type="expression" priority="9" id="{2EBA043F-3764-4613-9B2D-8D49C34C3CA6}">
            <xm:f>$E86=Init!$A$7</xm:f>
            <x14:dxf>
              <fill>
                <patternFill>
                  <bgColor theme="6" tint="0.59996337778862885"/>
                </patternFill>
              </fill>
            </x14:dxf>
          </x14:cfRule>
          <x14:cfRule type="expression" priority="10" id="{A3283473-BF40-4FDA-8D09-C502C34CF4BD}">
            <xm:f>$E86=Init!$A$10</xm:f>
            <x14:dxf>
              <fill>
                <patternFill>
                  <bgColor theme="7" tint="0.39994506668294322"/>
                </patternFill>
              </fill>
            </x14:dxf>
          </x14:cfRule>
          <x14:cfRule type="expression" priority="11" id="{422E2F59-F28D-4B89-929A-6708C93F092B}">
            <xm:f>$E86=Init!$A$9</xm:f>
            <x14:dxf>
              <fill>
                <patternFill>
                  <bgColor theme="9" tint="0.59996337778862885"/>
                </patternFill>
              </fill>
            </x14:dxf>
          </x14:cfRule>
          <x14:cfRule type="expression" priority="14" id="{B4EBF47B-F0EF-4F35-8B9F-0CBA19FE91DA}">
            <xm:f>$E86=Init!$A$3</xm:f>
            <x14:dxf>
              <fill>
                <patternFill>
                  <bgColor theme="3" tint="0.79998168889431442"/>
                </patternFill>
              </fill>
            </x14:dxf>
          </x14:cfRule>
          <x14:cfRule type="expression" priority="13" id="{3549D6F0-94FD-4BB6-80AE-7DE3893692CF}">
            <xm:f>$E86=Init!$A$6</xm:f>
            <x14:dxf>
              <fill>
                <patternFill>
                  <bgColor theme="5" tint="0.39994506668294322"/>
                </patternFill>
              </fill>
            </x14:dxf>
          </x14:cfRule>
          <x14:cfRule type="expression" priority="12" id="{3CF1D5C0-EC36-4011-A93B-413DE64A2474}">
            <xm:f>$E86=Init!$A$4</xm:f>
            <x14:dxf>
              <fill>
                <patternFill>
                  <bgColor theme="3" tint="0.59996337778862885"/>
                </patternFill>
              </fill>
            </x14:dxf>
          </x14:cfRule>
          <x14:cfRule type="expression" priority="15" id="{011FE88E-B835-4B54-9B37-F725C4CBB38F}">
            <xm:f>$E86=Init!$A$2</xm:f>
            <x14:dxf>
              <fill>
                <patternFill>
                  <bgColor theme="7" tint="0.79998168889431442"/>
                </patternFill>
              </fill>
            </x14:dxf>
          </x14:cfRule>
          <xm:sqref>L86:L90</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xr:uid="{05B7ABAC-96E3-4C03-9268-B55334D0E08E}">
          <x14:formula1>
            <xm:f>Init!$A$2:$A$20</xm:f>
          </x14:formula1>
          <xm:sqref>F3:F84</xm:sqref>
        </x14:dataValidation>
        <x14:dataValidation type="list" allowBlank="1" showInputMessage="1" xr:uid="{6E6051F2-7DD9-400E-81C5-A9DBC05F7E81}">
          <x14:formula1>
            <xm:f>Init!$F$2:$F$13</xm:f>
          </x14:formula1>
          <xm:sqref>H3:H84</xm:sqref>
        </x14:dataValidation>
        <x14:dataValidation type="list" allowBlank="1" showInputMessage="1" showErrorMessage="1" xr:uid="{2245AE30-09F0-4CD0-BC0B-CEEF0E34E28D}">
          <x14:formula1>
            <xm:f>Init!$J$2:$J$3</xm:f>
          </x14:formula1>
          <xm:sqref>B3:B84 M3:M84 E3:E84</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EBC07A9E80DABE49A914D740F28F9787" ma:contentTypeVersion="4" ma:contentTypeDescription="Vytvoří nový dokument" ma:contentTypeScope="" ma:versionID="211f132b29945a90170d0bce18a7b8b9">
  <xsd:schema xmlns:xsd="http://www.w3.org/2001/XMLSchema" xmlns:xs="http://www.w3.org/2001/XMLSchema" xmlns:p="http://schemas.microsoft.com/office/2006/metadata/properties" xmlns:ns2="472a2e50-a3a0-4127-bd2b-b59b3584b600" targetNamespace="http://schemas.microsoft.com/office/2006/metadata/properties" ma:root="true" ma:fieldsID="75ad3535aacf4fe535f61da1e925e7a8" ns2:_="">
    <xsd:import namespace="472a2e50-a3a0-4127-bd2b-b59b3584b60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2a2e50-a3a0-4127-bd2b-b59b3584b6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E44CD86-8966-4BC6-85E6-E38A9C00C3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2a2e50-a3a0-4127-bd2b-b59b3584b6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4AE2DD7-77E8-4C70-86CE-AAC06B3FE300}">
  <ds:schemaRefs>
    <ds:schemaRef ds:uri="http://purl.org/dc/elements/1.1/"/>
    <ds:schemaRef ds:uri="http://schemas.microsoft.com/office/2006/metadata/properties"/>
    <ds:schemaRef ds:uri="http://purl.org/dc/terms/"/>
    <ds:schemaRef ds:uri="http://purl.org/dc/dcmitype/"/>
    <ds:schemaRef ds:uri="http://www.w3.org/XML/1998/namespace"/>
    <ds:schemaRef ds:uri="http://schemas.microsoft.com/office/2006/documentManagement/types"/>
    <ds:schemaRef ds:uri="http://schemas.openxmlformats.org/package/2006/metadata/core-properties"/>
    <ds:schemaRef ds:uri="472a2e50-a3a0-4127-bd2b-b59b3584b600"/>
    <ds:schemaRef ds:uri="http://schemas.microsoft.com/office/infopath/2007/PartnerControls"/>
  </ds:schemaRefs>
</ds:datastoreItem>
</file>

<file path=customXml/itemProps3.xml><?xml version="1.0" encoding="utf-8"?>
<ds:datastoreItem xmlns:ds="http://schemas.openxmlformats.org/officeDocument/2006/customXml" ds:itemID="{F5750D37-DFA3-4AD5-8B66-5376095B80D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5</vt:i4>
      </vt:variant>
    </vt:vector>
  </HeadingPairs>
  <TitlesOfParts>
    <vt:vector size="5" baseType="lpstr">
      <vt:lpstr>Init</vt:lpstr>
      <vt:lpstr>Pokyny</vt:lpstr>
      <vt:lpstr>Povinné</vt:lpstr>
      <vt:lpstr>Hodnocené</vt:lpstr>
      <vt:lpstr>FunkcionalitySystemu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Bůcha Ladislav</dc:creator>
  <cp:keywords/>
  <dc:description/>
  <cp:lastModifiedBy>David Sommer</cp:lastModifiedBy>
  <cp:revision/>
  <dcterms:created xsi:type="dcterms:W3CDTF">2023-10-30T10:23:17Z</dcterms:created>
  <dcterms:modified xsi:type="dcterms:W3CDTF">2024-07-12T12:19:09Z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0x010100EBC07A9E80DABE49A914D740F28F9787</vt:lpwstr>
  </property>
  <property fmtid="{D5CDD505-2E9C-101B-9397-08002B2CF9AE}" pid="3" name="MediaServiceImageTags">
    <vt:lpwstr/>
  </property>
</Properties>
</file>