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ersons/person.xml" ContentType="application/vnd.ms-excel.person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026"/>
  <workbookPr codeName="ThisWorkbook" defaultThemeVersion="124226"/>
  <bookViews>
    <workbookView xWindow="65428" yWindow="65428" windowWidth="23256" windowHeight="12456" activeTab="0"/>
  </bookViews>
  <sheets>
    <sheet name="SoupisStavebníchPrací a Dodáv. " sheetId="10" r:id="rId1"/>
    <sheet name="titl SSPD" sheetId="19" r:id="rId2"/>
    <sheet name=" titl ROZ" sheetId="4" r:id="rId3"/>
  </sheets>
  <definedNames>
    <definedName name="_xlnm.Print_Area" localSheetId="0">'SoupisStavebníchPrací a Dodáv. '!$A$1:$I$801</definedName>
    <definedName name="_xlnm.Print_Titles" localSheetId="0">'SoupisStavebníchPrací a Dodáv. '!$35:$35</definedName>
  </definedNames>
  <calcPr calcId="191029"/>
  <extLst/>
</workbook>
</file>

<file path=xl/sharedStrings.xml><?xml version="1.0" encoding="utf-8"?>
<sst xmlns="http://schemas.openxmlformats.org/spreadsheetml/2006/main" count="2471" uniqueCount="1434">
  <si>
    <t>na akci :</t>
  </si>
  <si>
    <t>Aktualizace a doplnění PD - oprava a regulace stávajícího topného systému v objektu UK PF</t>
  </si>
  <si>
    <t>Právnická Fakulta Univerzity  Karlovy</t>
  </si>
  <si>
    <t>Praha 1, Náměstí Curieových 7</t>
  </si>
  <si>
    <t>Základní rozpočtové náklady</t>
  </si>
  <si>
    <t>Přípravné práce</t>
  </si>
  <si>
    <t>Kč</t>
  </si>
  <si>
    <t>783 - Nátěry</t>
  </si>
  <si>
    <t xml:space="preserve">731 - Vytápění </t>
  </si>
  <si>
    <t>721 - Zdravotně technické instalace</t>
  </si>
  <si>
    <t>Dokončovací práce</t>
  </si>
  <si>
    <t xml:space="preserve">Vedlejší rozpočtové náklady                        </t>
  </si>
  <si>
    <t>Náklady celkem bez DPH</t>
  </si>
  <si>
    <t>DPH 21%</t>
  </si>
  <si>
    <t>Náklady celkem včetně DPH</t>
  </si>
  <si>
    <t>p.č.</t>
  </si>
  <si>
    <t>položka č.</t>
  </si>
  <si>
    <t>popis prací a dodávek</t>
  </si>
  <si>
    <t>m.j.</t>
  </si>
  <si>
    <t>počet m.j.</t>
  </si>
  <si>
    <t>cena / m.j.</t>
  </si>
  <si>
    <t>cena celkem</t>
  </si>
  <si>
    <t>2</t>
  </si>
  <si>
    <t>3</t>
  </si>
  <si>
    <t>4</t>
  </si>
  <si>
    <t>5</t>
  </si>
  <si>
    <t>Všeobecné poznámky: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</si>
  <si>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</si>
  <si>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</si>
  <si>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</si>
  <si>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</si>
  <si>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</si>
  <si>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</si>
  <si>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</si>
  <si>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</si>
  <si>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</si>
  <si>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</si>
  <si>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KČ</t>
  </si>
  <si>
    <t>celkem</t>
  </si>
  <si>
    <t>16</t>
  </si>
  <si>
    <t>17</t>
  </si>
  <si>
    <t>m2</t>
  </si>
  <si>
    <t>18</t>
  </si>
  <si>
    <t>21</t>
  </si>
  <si>
    <t>19</t>
  </si>
  <si>
    <t>20</t>
  </si>
  <si>
    <t>22</t>
  </si>
  <si>
    <t>23</t>
  </si>
  <si>
    <t>Vypuštění vody z otopných těles</t>
  </si>
  <si>
    <t>24</t>
  </si>
  <si>
    <t>25</t>
  </si>
  <si>
    <t>26</t>
  </si>
  <si>
    <t>27</t>
  </si>
  <si>
    <t>28</t>
  </si>
  <si>
    <t>29</t>
  </si>
  <si>
    <t>30</t>
  </si>
  <si>
    <t>31</t>
  </si>
  <si>
    <t xml:space="preserve">Vypouštění vody ze stoupacího potrubí v úseku od uzávěru stoupacího potrubí </t>
  </si>
  <si>
    <t>32</t>
  </si>
  <si>
    <t>2.PP  - (90* 0,0628)</t>
  </si>
  <si>
    <t>33</t>
  </si>
  <si>
    <t>1.PP  - (495* 0,0628)</t>
  </si>
  <si>
    <t>34</t>
  </si>
  <si>
    <t>1.NP  - (358* 0,0628)</t>
  </si>
  <si>
    <t>35</t>
  </si>
  <si>
    <t>2.NP  - (320* 0,0628)</t>
  </si>
  <si>
    <t>36</t>
  </si>
  <si>
    <t>3.PP  - (298* 0,0628)</t>
  </si>
  <si>
    <t>37</t>
  </si>
  <si>
    <t>4.PP  - (229* 0,0628)</t>
  </si>
  <si>
    <t>38</t>
  </si>
  <si>
    <t>39</t>
  </si>
  <si>
    <t>40</t>
  </si>
  <si>
    <t>2.PP  - (85+80+7)* 0,0628</t>
  </si>
  <si>
    <t>41</t>
  </si>
  <si>
    <t>1.PP  - (296+257+80)* 0,0628</t>
  </si>
  <si>
    <t>42</t>
  </si>
  <si>
    <t>1.NP  - (293+308+85)* 0,0628</t>
  </si>
  <si>
    <t>43</t>
  </si>
  <si>
    <t>2.NP  - (263+281+68)* 0,0628</t>
  </si>
  <si>
    <t>44</t>
  </si>
  <si>
    <t>3.PP  - (288+290+70)* 0,0628</t>
  </si>
  <si>
    <t>45</t>
  </si>
  <si>
    <t>4.PP  - (375+385+90)* 0,0628</t>
  </si>
  <si>
    <t>46</t>
  </si>
  <si>
    <t>47</t>
  </si>
  <si>
    <t>HZS4232</t>
  </si>
  <si>
    <t xml:space="preserve"> Vzorový radiátor na posouzení vhodnosti nátěru a proměření tl. nátěru 1 ks (3,57m2/prům. otopné těleso)</t>
  </si>
  <si>
    <t>HZS</t>
  </si>
  <si>
    <t>48</t>
  </si>
  <si>
    <t>735110001/r</t>
  </si>
  <si>
    <t>ks</t>
  </si>
  <si>
    <t>49</t>
  </si>
  <si>
    <t>50</t>
  </si>
  <si>
    <t>784111001
D+M</t>
  </si>
  <si>
    <t>Oprášení (ometení ) podkladu v místnostech v do 3,80 m</t>
  </si>
  <si>
    <t>Omytí podkladu v místnostech v do 3,80 m</t>
  </si>
  <si>
    <t>784221101
D+M</t>
  </si>
  <si>
    <t>Dvojnásobné bílé malby ze směsí za sucha dobře otěruvzdorných v místnostech do 3,80 m</t>
  </si>
  <si>
    <t>784221031
D+M</t>
  </si>
  <si>
    <t>Příplatek k cenám 1x maleb za sucha otěruvzdorných za provádění pl do 5 m2</t>
  </si>
  <si>
    <t>Ochrana radiátorů před znečištěním malbou netkanou geotextilii do hm 200/m20g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</si>
  <si>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</si>
  <si>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</si>
  <si>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</si>
  <si>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</si>
  <si>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</si>
  <si>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</si>
  <si>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</si>
  <si>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</si>
  <si>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</si>
  <si>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</si>
  <si>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</si>
  <si>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</si>
  <si>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</si>
  <si>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</si>
  <si>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</si>
  <si>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t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</si>
  <si>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</si>
  <si>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</si>
  <si>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</si>
  <si>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</si>
  <si>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</si>
  <si>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</si>
  <si>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</si>
  <si>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</si>
  <si>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</si>
  <si>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</si>
  <si>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</si>
  <si>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</si>
  <si>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</si>
  <si>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</si>
  <si>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</si>
  <si>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</si>
  <si>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</si>
  <si>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</si>
  <si>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</si>
  <si>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</si>
  <si>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</si>
  <si>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</si>
  <si>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</si>
  <si>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</si>
  <si>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</si>
  <si>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</si>
  <si>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</si>
  <si>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</si>
  <si>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</si>
  <si>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Nátěry litinových článkových radiátorů a potrubí</t>
  </si>
  <si>
    <t>95</t>
  </si>
  <si>
    <t>96</t>
  </si>
  <si>
    <t>Ometení článkových otopných těles před provedením nátěru</t>
  </si>
  <si>
    <t>97</t>
  </si>
  <si>
    <t>98</t>
  </si>
  <si>
    <t>99</t>
  </si>
  <si>
    <t>100</t>
  </si>
  <si>
    <t>Odmaštění litinových otopných těles odmašťovačem vodou ředitelným před provedením nátěru</t>
  </si>
  <si>
    <t>101</t>
  </si>
  <si>
    <t>102</t>
  </si>
  <si>
    <t>Tmelení článkových otopných těles disperzním tmelem</t>
  </si>
  <si>
    <t>103</t>
  </si>
  <si>
    <t>výměra z 30% (výměra : 1927,92*30%)</t>
  </si>
  <si>
    <t>104</t>
  </si>
  <si>
    <t>105</t>
  </si>
  <si>
    <t>106</t>
  </si>
  <si>
    <t>107</t>
  </si>
  <si>
    <t>108</t>
  </si>
  <si>
    <t>109</t>
  </si>
  <si>
    <t>Odmaštění ředidlovým odmašťovačem potrubí DN do 50 mm ;  
výměra : (1790,0+4115,0)m</t>
  </si>
  <si>
    <t>m</t>
  </si>
  <si>
    <t>110</t>
  </si>
  <si>
    <t>111</t>
  </si>
  <si>
    <t>112</t>
  </si>
  <si>
    <t>113</t>
  </si>
  <si>
    <t>114</t>
  </si>
  <si>
    <t>115</t>
  </si>
  <si>
    <t>116</t>
  </si>
  <si>
    <t>výměry pro nátěry stoupací potrubí</t>
  </si>
  <si>
    <t>bm</t>
  </si>
  <si>
    <t>117</t>
  </si>
  <si>
    <t>2.PP  - 90</t>
  </si>
  <si>
    <t>118</t>
  </si>
  <si>
    <t>1.PP  - 495</t>
  </si>
  <si>
    <t>119</t>
  </si>
  <si>
    <t>1.NP  -358</t>
  </si>
  <si>
    <t>120</t>
  </si>
  <si>
    <t>2.NP  - 320</t>
  </si>
  <si>
    <t>121</t>
  </si>
  <si>
    <t>3.PP  - 298</t>
  </si>
  <si>
    <t>122</t>
  </si>
  <si>
    <t>4.PP  - 229</t>
  </si>
  <si>
    <t>123</t>
  </si>
  <si>
    <t>124</t>
  </si>
  <si>
    <r>
      <rPr>
        <b/>
        <sz val="10"/>
        <rFont val="Calibri"/>
        <family val="2"/>
      </rPr>
      <t>výměry pro</t>
    </r>
    <r>
      <rPr>
        <sz val="10"/>
        <rFont val="Calibri"/>
        <family val="2"/>
      </rPr>
      <t xml:space="preserve"> </t>
    </r>
    <r>
      <rPr>
        <b/>
        <sz val="10"/>
        <rFont val="Calibri"/>
        <family val="2"/>
      </rPr>
      <t>nátěry</t>
    </r>
    <r>
      <rPr>
        <sz val="10"/>
        <rFont val="Calibri"/>
        <family val="2"/>
      </rPr>
      <t xml:space="preserve"> </t>
    </r>
    <r>
      <rPr>
        <b/>
        <sz val="10"/>
        <rFont val="Calibri"/>
        <family val="2"/>
      </rPr>
      <t>potrubí vodorovné</t>
    </r>
    <r>
      <rPr>
        <sz val="10"/>
        <rFont val="Calibri"/>
        <family val="2"/>
      </rPr>
      <t xml:space="preserve"> (přívodní + zpátečka) a připojovací potrubí (ccatr. 20mm)</t>
    </r>
  </si>
  <si>
    <t>125</t>
  </si>
  <si>
    <t>2.PP  - (90+85+7)</t>
  </si>
  <si>
    <t>126</t>
  </si>
  <si>
    <t>1.PP  - (352+313+80)</t>
  </si>
  <si>
    <t>127</t>
  </si>
  <si>
    <t>1.NP  - (349+364+85)</t>
  </si>
  <si>
    <t>128</t>
  </si>
  <si>
    <t>2.NP  - (319+281+68)</t>
  </si>
  <si>
    <t>129</t>
  </si>
  <si>
    <t>3.PP  - (344+346+70)</t>
  </si>
  <si>
    <t>130</t>
  </si>
  <si>
    <t>4.PP  - (431+441+90)</t>
  </si>
  <si>
    <t>131</t>
  </si>
  <si>
    <t>132</t>
  </si>
  <si>
    <t>133</t>
  </si>
  <si>
    <t>134</t>
  </si>
  <si>
    <t>135</t>
  </si>
  <si>
    <t>136</t>
  </si>
  <si>
    <t>137</t>
  </si>
  <si>
    <t>138</t>
  </si>
  <si>
    <t>mezisoučet</t>
  </si>
  <si>
    <t>139</t>
  </si>
  <si>
    <t>140</t>
  </si>
  <si>
    <t>024</t>
  </si>
  <si>
    <t>141</t>
  </si>
  <si>
    <t>026</t>
  </si>
  <si>
    <t>142</t>
  </si>
  <si>
    <t>027</t>
  </si>
  <si>
    <t>143</t>
  </si>
  <si>
    <t>061</t>
  </si>
  <si>
    <t>144</t>
  </si>
  <si>
    <t>062</t>
  </si>
  <si>
    <t>145</t>
  </si>
  <si>
    <t>063</t>
  </si>
  <si>
    <t>146</t>
  </si>
  <si>
    <t>064</t>
  </si>
  <si>
    <t>147</t>
  </si>
  <si>
    <t>148</t>
  </si>
  <si>
    <t>149</t>
  </si>
  <si>
    <t>150</t>
  </si>
  <si>
    <t>151</t>
  </si>
  <si>
    <t>152</t>
  </si>
  <si>
    <t>007</t>
  </si>
  <si>
    <t>153</t>
  </si>
  <si>
    <t>010</t>
  </si>
  <si>
    <t>154</t>
  </si>
  <si>
    <t>011</t>
  </si>
  <si>
    <t>155</t>
  </si>
  <si>
    <t>156</t>
  </si>
  <si>
    <t>016</t>
  </si>
  <si>
    <t xml:space="preserve">  10 - 900/160 /ks 1/ (0,440m2/čl.)</t>
  </si>
  <si>
    <t>157</t>
  </si>
  <si>
    <t>018</t>
  </si>
  <si>
    <t>158</t>
  </si>
  <si>
    <t>022</t>
  </si>
  <si>
    <t xml:space="preserve">  12 - 500/160 /ks 1/ (0,255m2/čl.)</t>
  </si>
  <si>
    <t>159</t>
  </si>
  <si>
    <t xml:space="preserve">  14 - 500/160 /ks 1/ (0,255m2/čl.)</t>
  </si>
  <si>
    <t>160</t>
  </si>
  <si>
    <t xml:space="preserve">  24 - 500/160 /ks 1/ (0,255m2/čl.)</t>
  </si>
  <si>
    <t>161</t>
  </si>
  <si>
    <t>022_1</t>
  </si>
  <si>
    <t>162</t>
  </si>
  <si>
    <t>163</t>
  </si>
  <si>
    <t>023</t>
  </si>
  <si>
    <t>164</t>
  </si>
  <si>
    <t xml:space="preserve">  15 - 500/160 /ks 1/ (0,255m2/čl.)</t>
  </si>
  <si>
    <t>165</t>
  </si>
  <si>
    <t>025</t>
  </si>
  <si>
    <t xml:space="preserve">  16 - 500/160 /ks 1/ (0,255m2/čl.)</t>
  </si>
  <si>
    <t>166</t>
  </si>
  <si>
    <t>167</t>
  </si>
  <si>
    <t xml:space="preserve">  20- 500/160 /ks 2/ (0,255m2/čl.)</t>
  </si>
  <si>
    <t>168</t>
  </si>
  <si>
    <t>030</t>
  </si>
  <si>
    <t>169</t>
  </si>
  <si>
    <t>031</t>
  </si>
  <si>
    <t xml:space="preserve">  22 - 500/160 /ks 2/ (0,255m2/čl.)</t>
  </si>
  <si>
    <t>170</t>
  </si>
  <si>
    <t>035</t>
  </si>
  <si>
    <t xml:space="preserve">  18 - 500/160 /ks 2/ (0,255m2/čl.)</t>
  </si>
  <si>
    <t>171</t>
  </si>
  <si>
    <t>037</t>
  </si>
  <si>
    <t xml:space="preserve"> 15 - 500/160 /ks 1/ (0,255m2/čl.)</t>
  </si>
  <si>
    <t>172</t>
  </si>
  <si>
    <t>041</t>
  </si>
  <si>
    <t>173</t>
  </si>
  <si>
    <t>044</t>
  </si>
  <si>
    <t>174</t>
  </si>
  <si>
    <t>046</t>
  </si>
  <si>
    <t>175</t>
  </si>
  <si>
    <t>176</t>
  </si>
  <si>
    <t>047</t>
  </si>
  <si>
    <t>177</t>
  </si>
  <si>
    <t>048</t>
  </si>
  <si>
    <t>178</t>
  </si>
  <si>
    <t>049</t>
  </si>
  <si>
    <t>179</t>
  </si>
  <si>
    <t>050</t>
  </si>
  <si>
    <t>180</t>
  </si>
  <si>
    <t>053</t>
  </si>
  <si>
    <t xml:space="preserve"> 18 - 500/160 /ks 1/ (0,255m2/čl.)</t>
  </si>
  <si>
    <t>181</t>
  </si>
  <si>
    <t>058</t>
  </si>
  <si>
    <t>182</t>
  </si>
  <si>
    <t>060</t>
  </si>
  <si>
    <t>183</t>
  </si>
  <si>
    <t>184</t>
  </si>
  <si>
    <t>065</t>
  </si>
  <si>
    <t>185</t>
  </si>
  <si>
    <t>186</t>
  </si>
  <si>
    <t>078</t>
  </si>
  <si>
    <t>187</t>
  </si>
  <si>
    <t>188</t>
  </si>
  <si>
    <t>079</t>
  </si>
  <si>
    <t>189</t>
  </si>
  <si>
    <t>081</t>
  </si>
  <si>
    <t>190</t>
  </si>
  <si>
    <t>086</t>
  </si>
  <si>
    <t>191</t>
  </si>
  <si>
    <t>087</t>
  </si>
  <si>
    <t>192</t>
  </si>
  <si>
    <t>193</t>
  </si>
  <si>
    <t>090</t>
  </si>
  <si>
    <t>194</t>
  </si>
  <si>
    <t>093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</si>
  <si>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</si>
  <si>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</si>
  <si>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</si>
  <si>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</si>
  <si>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</si>
  <si>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</si>
  <si>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</si>
  <si>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</si>
  <si>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</si>
  <si>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</si>
  <si>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</si>
  <si>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</si>
  <si>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</si>
  <si>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</si>
  <si>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 xml:space="preserve"> 16 - 500/160 /ks 1/ (0,255m2/čl.)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</si>
  <si>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</si>
  <si>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</si>
  <si>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</si>
  <si>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</si>
  <si>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</si>
  <si>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</si>
  <si>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</si>
  <si>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</si>
  <si>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</si>
  <si>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</si>
  <si>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</si>
  <si>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</si>
  <si>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</si>
  <si>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</si>
  <si>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001_1</t>
  </si>
  <si>
    <t>223</t>
  </si>
  <si>
    <t>224</t>
  </si>
  <si>
    <t>225</t>
  </si>
  <si>
    <t>226</t>
  </si>
  <si>
    <t>005_1</t>
  </si>
  <si>
    <t>227</t>
  </si>
  <si>
    <t>006_1</t>
  </si>
  <si>
    <t>228</t>
  </si>
  <si>
    <t>229</t>
  </si>
  <si>
    <t>008_1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</si>
  <si>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</si>
  <si>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</si>
  <si>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</si>
  <si>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</si>
  <si>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</si>
  <si>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</si>
  <si>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</si>
  <si>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</si>
  <si>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</si>
  <si>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</si>
  <si>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</si>
  <si>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016_1</t>
  </si>
  <si>
    <t>241</t>
  </si>
  <si>
    <t>016_2</t>
  </si>
  <si>
    <t>242</t>
  </si>
  <si>
    <t>243</t>
  </si>
  <si>
    <t>244</t>
  </si>
  <si>
    <t>245</t>
  </si>
  <si>
    <t>246</t>
  </si>
  <si>
    <t>023_1</t>
  </si>
  <si>
    <t>247</t>
  </si>
  <si>
    <t>248</t>
  </si>
  <si>
    <t>024_1</t>
  </si>
  <si>
    <t>249</t>
  </si>
  <si>
    <t>250</t>
  </si>
  <si>
    <t>025_1</t>
  </si>
  <si>
    <t>251</t>
  </si>
  <si>
    <t>026_1</t>
  </si>
  <si>
    <t>252</t>
  </si>
  <si>
    <t>027_1</t>
  </si>
  <si>
    <t>253</t>
  </si>
  <si>
    <t>028_1</t>
  </si>
  <si>
    <t>254</t>
  </si>
  <si>
    <t>029_1</t>
  </si>
  <si>
    <t>255</t>
  </si>
  <si>
    <t>256</t>
  </si>
  <si>
    <t>031_1</t>
  </si>
  <si>
    <t>257</t>
  </si>
  <si>
    <t>032_1</t>
  </si>
  <si>
    <t>258</t>
  </si>
  <si>
    <t>033_1</t>
  </si>
  <si>
    <t>259</t>
  </si>
  <si>
    <t>034_1</t>
  </si>
  <si>
    <t>260</t>
  </si>
  <si>
    <t>034_3</t>
  </si>
  <si>
    <t>261</t>
  </si>
  <si>
    <t>262</t>
  </si>
  <si>
    <t>263</t>
  </si>
  <si>
    <t>264</t>
  </si>
  <si>
    <t>265</t>
  </si>
  <si>
    <t>266</t>
  </si>
  <si>
    <t>054_2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</si>
  <si>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</si>
  <si>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</si>
  <si>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</si>
  <si>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</si>
  <si>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</si>
  <si>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</si>
  <si>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</si>
  <si>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</si>
  <si>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</si>
  <si>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</si>
  <si>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</si>
  <si>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</si>
  <si>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</si>
  <si>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</si>
  <si>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</si>
  <si>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</si>
  <si>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</si>
  <si>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</si>
  <si>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</si>
  <si>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</si>
  <si>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</si>
  <si>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</si>
  <si>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</si>
  <si>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105_1</t>
  </si>
  <si>
    <t>290</t>
  </si>
  <si>
    <t>106_1</t>
  </si>
  <si>
    <t>291</t>
  </si>
  <si>
    <t>292</t>
  </si>
  <si>
    <t>293</t>
  </si>
  <si>
    <t>294</t>
  </si>
  <si>
    <t>295</t>
  </si>
  <si>
    <t>296</t>
  </si>
  <si>
    <t>297</t>
  </si>
  <si>
    <t>298</t>
  </si>
  <si>
    <t>114_1</t>
  </si>
  <si>
    <t>299</t>
  </si>
  <si>
    <t>300</t>
  </si>
  <si>
    <t>301</t>
  </si>
  <si>
    <t>302</t>
  </si>
  <si>
    <t>118_1</t>
  </si>
  <si>
    <t>303</t>
  </si>
  <si>
    <t>304</t>
  </si>
  <si>
    <t>305</t>
  </si>
  <si>
    <t>306</t>
  </si>
  <si>
    <t>307</t>
  </si>
  <si>
    <t>308</t>
  </si>
  <si>
    <t>309</t>
  </si>
  <si>
    <t>310</t>
  </si>
  <si>
    <t>125_1</t>
  </si>
  <si>
    <t>311</t>
  </si>
  <si>
    <t>312</t>
  </si>
  <si>
    <t>127_1</t>
  </si>
  <si>
    <t>313</t>
  </si>
  <si>
    <t>314</t>
  </si>
  <si>
    <t>128_1</t>
  </si>
  <si>
    <t>315</t>
  </si>
  <si>
    <t>129_1</t>
  </si>
  <si>
    <t>316</t>
  </si>
  <si>
    <t>130_1</t>
  </si>
  <si>
    <t>317</t>
  </si>
  <si>
    <t>131_1</t>
  </si>
  <si>
    <t>318</t>
  </si>
  <si>
    <t>132_1</t>
  </si>
  <si>
    <t>319</t>
  </si>
  <si>
    <t>133_1</t>
  </si>
  <si>
    <t>320</t>
  </si>
  <si>
    <t>134_1</t>
  </si>
  <si>
    <t>321</t>
  </si>
  <si>
    <t>135_1</t>
  </si>
  <si>
    <t>322</t>
  </si>
  <si>
    <t>136_1</t>
  </si>
  <si>
    <t>323</t>
  </si>
  <si>
    <t>137_1</t>
  </si>
  <si>
    <t>324</t>
  </si>
  <si>
    <t>138_1</t>
  </si>
  <si>
    <t>325</t>
  </si>
  <si>
    <t>139_1</t>
  </si>
  <si>
    <t>326</t>
  </si>
  <si>
    <t>140_1</t>
  </si>
  <si>
    <t>327</t>
  </si>
  <si>
    <t>141_1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</si>
  <si>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</si>
  <si>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</si>
  <si>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</si>
  <si>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</si>
  <si>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</si>
  <si>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</si>
  <si>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</si>
  <si>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</si>
  <si>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</si>
  <si>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</si>
  <si>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</si>
  <si>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</si>
  <si>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</si>
  <si>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</si>
  <si>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</si>
  <si>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</si>
  <si>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</si>
  <si>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</si>
  <si>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</si>
  <si>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</si>
  <si>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</si>
  <si>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</si>
  <si>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</si>
  <si>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</si>
  <si>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</si>
  <si>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</si>
  <si>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</si>
  <si>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</si>
  <si>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</si>
  <si>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</si>
  <si>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</si>
  <si>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</si>
  <si>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</si>
  <si>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</si>
  <si>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</si>
  <si>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</si>
  <si>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215_1</t>
  </si>
  <si>
    <t>364</t>
  </si>
  <si>
    <t>216_1</t>
  </si>
  <si>
    <t>365</t>
  </si>
  <si>
    <t>217_1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</si>
  <si>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</si>
  <si>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</si>
  <si>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</si>
  <si>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</si>
  <si>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</si>
  <si>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</si>
  <si>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</si>
  <si>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</si>
  <si>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</si>
  <si>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</si>
  <si>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227_1</t>
  </si>
  <si>
    <t>376</t>
  </si>
  <si>
    <t>228_1</t>
  </si>
  <si>
    <t>377</t>
  </si>
  <si>
    <t>378</t>
  </si>
  <si>
    <t>230_1</t>
  </si>
  <si>
    <t>379</t>
  </si>
  <si>
    <t>231_1</t>
  </si>
  <si>
    <t>380</t>
  </si>
  <si>
    <t>232_1</t>
  </si>
  <si>
    <t>381</t>
  </si>
  <si>
    <t>233_1</t>
  </si>
  <si>
    <t>382</t>
  </si>
  <si>
    <t>234_1</t>
  </si>
  <si>
    <t>383</t>
  </si>
  <si>
    <t>235_1</t>
  </si>
  <si>
    <t>384</t>
  </si>
  <si>
    <t>236_1</t>
  </si>
  <si>
    <t>385</t>
  </si>
  <si>
    <t>237_1</t>
  </si>
  <si>
    <t>386</t>
  </si>
  <si>
    <t>387</t>
  </si>
  <si>
    <t>239_1</t>
  </si>
  <si>
    <t>388</t>
  </si>
  <si>
    <t>240_1</t>
  </si>
  <si>
    <t>389</t>
  </si>
  <si>
    <t>390</t>
  </si>
  <si>
    <t>391</t>
  </si>
  <si>
    <t>392</t>
  </si>
  <si>
    <t>393</t>
  </si>
  <si>
    <t>252_1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</si>
  <si>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</si>
  <si>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</si>
  <si>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</si>
  <si>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</si>
  <si>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</si>
  <si>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</si>
  <si>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</si>
  <si>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</si>
  <si>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</si>
  <si>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</si>
  <si>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</si>
  <si>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</si>
  <si>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</si>
  <si>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</si>
  <si>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</si>
  <si>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</si>
  <si>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</si>
  <si>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</si>
  <si>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</si>
  <si>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</si>
  <si>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</si>
  <si>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</si>
  <si>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</si>
  <si>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</si>
  <si>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</si>
  <si>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306_1</t>
  </si>
  <si>
    <t>419</t>
  </si>
  <si>
    <t>307_1</t>
  </si>
  <si>
    <t>420</t>
  </si>
  <si>
    <t>308_1</t>
  </si>
  <si>
    <t>421</t>
  </si>
  <si>
    <t>309_1</t>
  </si>
  <si>
    <t>422</t>
  </si>
  <si>
    <t>423</t>
  </si>
  <si>
    <t>310_1</t>
  </si>
  <si>
    <t>424</t>
  </si>
  <si>
    <t>311_1</t>
  </si>
  <si>
    <t>425</t>
  </si>
  <si>
    <t>312_1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</si>
  <si>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</si>
  <si>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</si>
  <si>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</si>
  <si>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</si>
  <si>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</si>
  <si>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</si>
  <si>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</si>
  <si>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</si>
  <si>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</si>
  <si>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320_1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</si>
  <si>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</si>
  <si>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</si>
  <si>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</si>
  <si>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</si>
  <si>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</si>
  <si>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</si>
  <si>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</si>
  <si>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</si>
  <si>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</si>
  <si>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</si>
  <si>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</si>
  <si>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</si>
  <si>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</si>
  <si>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</si>
  <si>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</si>
  <si>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</si>
  <si>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</si>
  <si>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336_1</t>
  </si>
  <si>
    <t>452</t>
  </si>
  <si>
    <t>337_1</t>
  </si>
  <si>
    <t>453</t>
  </si>
  <si>
    <t>454</t>
  </si>
  <si>
    <t>455</t>
  </si>
  <si>
    <t>456</t>
  </si>
  <si>
    <t>339_1</t>
  </si>
  <si>
    <t>457</t>
  </si>
  <si>
    <t>458</t>
  </si>
  <si>
    <t>341_1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</si>
  <si>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</si>
  <si>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</si>
  <si>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</si>
  <si>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</si>
  <si>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</si>
  <si>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</si>
  <si>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</si>
  <si>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</si>
  <si>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</si>
  <si>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</si>
  <si>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</si>
  <si>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</si>
  <si>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</si>
  <si>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</si>
  <si>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</si>
  <si>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</si>
  <si>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</si>
  <si>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</si>
  <si>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</si>
  <si>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800-731</t>
  </si>
  <si>
    <t>731 -Vytápění</t>
  </si>
  <si>
    <t xml:space="preserve">Kč </t>
  </si>
  <si>
    <t>478</t>
  </si>
  <si>
    <t>479</t>
  </si>
  <si>
    <t>800-735</t>
  </si>
  <si>
    <t>Otopná tělesa</t>
  </si>
  <si>
    <t>480</t>
  </si>
  <si>
    <t>Dodávka</t>
  </si>
  <si>
    <t xml:space="preserve">Nové otopné těleso ocelové deskové typ 22,  600/600mm, barva bílá, včetně zátek a  materiálu pro uchycení na zeď </t>
  </si>
  <si>
    <t>481</t>
  </si>
  <si>
    <t>482</t>
  </si>
  <si>
    <t>Přesun hmot procentní pro otopná tělesa v objektech v přes 12 do 24 m /  2,39%</t>
  </si>
  <si>
    <t>483</t>
  </si>
  <si>
    <t>484</t>
  </si>
  <si>
    <t>485</t>
  </si>
  <si>
    <r>
      <t>Otopná tělesa litinová článková</t>
    </r>
    <r>
      <rPr>
        <sz val="9"/>
        <rFont val="Calibri"/>
        <family val="2"/>
      </rPr>
      <t xml:space="preserve"> (natřená)</t>
    </r>
  </si>
  <si>
    <t>486</t>
  </si>
  <si>
    <t>487</t>
  </si>
  <si>
    <t>488</t>
  </si>
  <si>
    <t>489</t>
  </si>
  <si>
    <t>490</t>
  </si>
  <si>
    <t>767991911/P</t>
  </si>
  <si>
    <t>491</t>
  </si>
  <si>
    <t>767000001/r</t>
  </si>
  <si>
    <t>492</t>
  </si>
  <si>
    <t>493</t>
  </si>
  <si>
    <t>494</t>
  </si>
  <si>
    <t>7333</t>
  </si>
  <si>
    <t>Rozvod potrubí</t>
  </si>
  <si>
    <t>495</t>
  </si>
  <si>
    <t>dodávka</t>
  </si>
  <si>
    <t>Potrubí z uhlíkové oceli vně pozinkované spojované lisováním DN15, včetně tvarovek</t>
  </si>
  <si>
    <t>496</t>
  </si>
  <si>
    <t>Potrubí z  uhlíkové oceli vně pozinkované spojované lisováním DN20, včetně tvarovek</t>
  </si>
  <si>
    <t>497</t>
  </si>
  <si>
    <t xml:space="preserve"> dodávka</t>
  </si>
  <si>
    <t>Potrubí z  uhlíkové oceli vně pozinkované spojované lisováním DN25, včetně tvarovek</t>
  </si>
  <si>
    <t>498</t>
  </si>
  <si>
    <t>Potrubí z  uhlíkové oceli vně pozinkované spojované lisováním DN32, včetně tvarovek</t>
  </si>
  <si>
    <t>499</t>
  </si>
  <si>
    <t>Potrubí z  uhlíkové oceli vně pozinkované spojované lisováním DN40, včetně tvarovek</t>
  </si>
  <si>
    <t>500</t>
  </si>
  <si>
    <t>501</t>
  </si>
  <si>
    <t>722131921 montáž</t>
  </si>
  <si>
    <t>502</t>
  </si>
  <si>
    <t>722131922 montáž</t>
  </si>
  <si>
    <t>503</t>
  </si>
  <si>
    <t>722131923 montáž</t>
  </si>
  <si>
    <t>504</t>
  </si>
  <si>
    <t>722131924 montáž</t>
  </si>
  <si>
    <t>505</t>
  </si>
  <si>
    <t>722131925 montáž</t>
  </si>
  <si>
    <t>506</t>
  </si>
  <si>
    <t>Zkouška těsnosti potrubí ocelové závitové DN do 40</t>
  </si>
  <si>
    <t>507</t>
  </si>
  <si>
    <t>734290912/P</t>
  </si>
  <si>
    <t>508</t>
  </si>
  <si>
    <t>998733203</t>
  </si>
  <si>
    <t>509</t>
  </si>
  <si>
    <t>510</t>
  </si>
  <si>
    <t>Armatury</t>
  </si>
  <si>
    <t>511</t>
  </si>
  <si>
    <t xml:space="preserve">dodávka </t>
  </si>
  <si>
    <t>512</t>
  </si>
  <si>
    <t>DN 15</t>
  </si>
  <si>
    <t>513</t>
  </si>
  <si>
    <t>DN 20</t>
  </si>
  <si>
    <t>514</t>
  </si>
  <si>
    <t>515</t>
  </si>
  <si>
    <t>DN32</t>
  </si>
  <si>
    <t>516</t>
  </si>
  <si>
    <t>517</t>
  </si>
  <si>
    <t>518</t>
  </si>
  <si>
    <t xml:space="preserve">ks  </t>
  </si>
  <si>
    <t>519</t>
  </si>
  <si>
    <t>DN 25</t>
  </si>
  <si>
    <t>520</t>
  </si>
  <si>
    <t>521</t>
  </si>
  <si>
    <t>DN40</t>
  </si>
  <si>
    <t>522</t>
  </si>
  <si>
    <t>Šroubení přímé , PN6 - pro montáž závitových armatur</t>
  </si>
  <si>
    <t>523</t>
  </si>
  <si>
    <t>524</t>
  </si>
  <si>
    <t>525</t>
  </si>
  <si>
    <t>526</t>
  </si>
  <si>
    <t>527</t>
  </si>
  <si>
    <t>528</t>
  </si>
  <si>
    <t>Termostatická hlavice s pojistkou proti odcizení</t>
  </si>
  <si>
    <t>529</t>
  </si>
  <si>
    <t>530</t>
  </si>
  <si>
    <t>531</t>
  </si>
  <si>
    <t>přímý - DN 10</t>
  </si>
  <si>
    <t>532</t>
  </si>
  <si>
    <t>přímý - DN 15</t>
  </si>
  <si>
    <t>533</t>
  </si>
  <si>
    <t>534</t>
  </si>
  <si>
    <t>535</t>
  </si>
  <si>
    <t>rohový - DN 10</t>
  </si>
  <si>
    <t>536</t>
  </si>
  <si>
    <t>rohový - DN 15</t>
  </si>
  <si>
    <t>537</t>
  </si>
  <si>
    <t xml:space="preserve">Uzavíratelné a regulační šroubení s vypouštěním </t>
  </si>
  <si>
    <t>538</t>
  </si>
  <si>
    <t>539</t>
  </si>
  <si>
    <t>540</t>
  </si>
  <si>
    <t>541</t>
  </si>
  <si>
    <t>542</t>
  </si>
  <si>
    <t>543</t>
  </si>
  <si>
    <t>544</t>
  </si>
  <si>
    <t>545</t>
  </si>
  <si>
    <t>546</t>
  </si>
  <si>
    <t>Ventil odvzdušňovací  pro litinová tělesa 1/4"</t>
  </si>
  <si>
    <t>547</t>
  </si>
  <si>
    <t>734211112/P</t>
  </si>
  <si>
    <t xml:space="preserve">Dtto, avšak montáž </t>
  </si>
  <si>
    <t>548</t>
  </si>
  <si>
    <t xml:space="preserve">Dtto, avšak demontáž </t>
  </si>
  <si>
    <t>549</t>
  </si>
  <si>
    <t>Ventil odvzdušňovací  pro 3/8"</t>
  </si>
  <si>
    <t>550</t>
  </si>
  <si>
    <t>734211113/P</t>
  </si>
  <si>
    <t>551</t>
  </si>
  <si>
    <t>553</t>
  </si>
  <si>
    <t>554</t>
  </si>
  <si>
    <t>Montáž termostatické hlavice ručního a termostatického ovládání</t>
  </si>
  <si>
    <t xml:space="preserve">ks </t>
  </si>
  <si>
    <t>555</t>
  </si>
  <si>
    <t>734291923/P</t>
  </si>
  <si>
    <t>Montáž nových radiátorových ventilů DN10 až DN20, přímých a rohových / kompletní provedení</t>
  </si>
  <si>
    <t>556</t>
  </si>
  <si>
    <t>557</t>
  </si>
  <si>
    <t>734291924/P</t>
  </si>
  <si>
    <t>558</t>
  </si>
  <si>
    <t>734190922/P</t>
  </si>
  <si>
    <t>559</t>
  </si>
  <si>
    <t>Montáž nových regulačních vyvažovacích ventilů do DN40</t>
  </si>
  <si>
    <t>560</t>
  </si>
  <si>
    <t>Montáž nových uzavíracích kohoutů do DN40,</t>
  </si>
  <si>
    <t>561</t>
  </si>
  <si>
    <t>562</t>
  </si>
  <si>
    <t>Zpětná montáž  stávajících litinových článkových vytápěcích těles s přípojkami DN20</t>
  </si>
  <si>
    <t>563</t>
  </si>
  <si>
    <t>Přesun hmot procentní pro armatury v objektech v.do 24m</t>
  </si>
  <si>
    <t>564</t>
  </si>
  <si>
    <t>565</t>
  </si>
  <si>
    <t>Napuštění vody do otopného systému včetně potrubí (bez kotle a ohříváků), otopných těles a s patronou na úpravu vody</t>
  </si>
  <si>
    <t>566</t>
  </si>
  <si>
    <t>dodávka +montáž</t>
  </si>
  <si>
    <t>Patrony na úpravu vody ks1 +1 náhradní</t>
  </si>
  <si>
    <t>567</t>
  </si>
  <si>
    <t>568</t>
  </si>
  <si>
    <t>569</t>
  </si>
  <si>
    <t>570</t>
  </si>
  <si>
    <t xml:space="preserve">Demontáže, přesun hmot </t>
  </si>
  <si>
    <t>571</t>
  </si>
  <si>
    <t>734300814/P</t>
  </si>
  <si>
    <t>Demontáž stávajících regulačních vyvažovacích ventilů DN15 až DN50, přímých a šikmých</t>
  </si>
  <si>
    <t>572</t>
  </si>
  <si>
    <t>Demontáž stávajících radiátorových ventilů DN10 až DN20, přímých a rohových</t>
  </si>
  <si>
    <t>573</t>
  </si>
  <si>
    <t>Demontáž stávajících radiátorových šroubení DN10 až DN20, přímých a rohových</t>
  </si>
  <si>
    <t>574</t>
  </si>
  <si>
    <t>575</t>
  </si>
  <si>
    <t>Demontáž stávajících uzavíracích kohoutů a šoupat DN15 až DN50, přímých a šikmých</t>
  </si>
  <si>
    <t>576</t>
  </si>
  <si>
    <t>Demontáž stávajících litinových článkových vytápěcích těles s přípojkami DN20</t>
  </si>
  <si>
    <t>577</t>
  </si>
  <si>
    <t>Demontáž posledního článku stávajících litinových článkových vytápěcích těles s přípojkami DN20</t>
  </si>
  <si>
    <t>578</t>
  </si>
  <si>
    <t>579</t>
  </si>
  <si>
    <t>580</t>
  </si>
  <si>
    <t>581</t>
  </si>
  <si>
    <t>582</t>
  </si>
  <si>
    <t>583</t>
  </si>
  <si>
    <t>584</t>
  </si>
  <si>
    <t>585</t>
  </si>
  <si>
    <t>586</t>
  </si>
  <si>
    <t>587</t>
  </si>
  <si>
    <t>588</t>
  </si>
  <si>
    <t>589</t>
  </si>
  <si>
    <t>590</t>
  </si>
  <si>
    <t>Izolace tepelné</t>
  </si>
  <si>
    <t>591</t>
  </si>
  <si>
    <t>Krycí folie na minerální tepelnou izolaci s Al. polepem tl. Izolace 100mm pro potrubí 2xDN200</t>
  </si>
  <si>
    <t>592</t>
  </si>
  <si>
    <t>593</t>
  </si>
  <si>
    <t>ISV.8592248027236 / dodávka</t>
  </si>
  <si>
    <t>.</t>
  </si>
  <si>
    <t>.. rohož na hliníkové fólii je vhodná zejména pro izolace potrubí</t>
  </si>
  <si>
    <t>594</t>
  </si>
  <si>
    <t>713471121
montáž</t>
  </si>
  <si>
    <t>Montáž tepelné izolace potrubí pásy s Pz pletivem v plechovém pouzdře s patentními uzávěry</t>
  </si>
  <si>
    <t>595</t>
  </si>
  <si>
    <t>596</t>
  </si>
  <si>
    <t>Přesun hmot procentní pro izolace tepelné v objektu do 24 m / 2,2%</t>
  </si>
  <si>
    <t>597</t>
  </si>
  <si>
    <t>598</t>
  </si>
  <si>
    <t>599</t>
  </si>
  <si>
    <t>800-721</t>
  </si>
  <si>
    <t>600</t>
  </si>
  <si>
    <t>601</t>
  </si>
  <si>
    <t>Vodovod</t>
  </si>
  <si>
    <t>602</t>
  </si>
  <si>
    <t>Z trubek ocelových pozinkovaných</t>
  </si>
  <si>
    <t>603</t>
  </si>
  <si>
    <t xml:space="preserve">Potrubí vodovodní DN 80 </t>
  </si>
  <si>
    <t>604</t>
  </si>
  <si>
    <t>Zkoušky, proplach a desinfekce vodovodního potrubí</t>
  </si>
  <si>
    <t>605</t>
  </si>
  <si>
    <t>606</t>
  </si>
  <si>
    <t>722 29 - 0234</t>
  </si>
  <si>
    <t>Proplach a dezinfekce vodovodu do DN 80</t>
  </si>
  <si>
    <t>607</t>
  </si>
  <si>
    <t>722 18-1</t>
  </si>
  <si>
    <t>Ochrana potrubí</t>
  </si>
  <si>
    <t>608</t>
  </si>
  <si>
    <t>609</t>
  </si>
  <si>
    <t>610</t>
  </si>
  <si>
    <t>Demontáže</t>
  </si>
  <si>
    <t>611</t>
  </si>
  <si>
    <t>722 13-0805</t>
  </si>
  <si>
    <t>612</t>
  </si>
  <si>
    <t>722 18-1817</t>
  </si>
  <si>
    <t>Demontáž plstěných pásů z potrubí do DN 150</t>
  </si>
  <si>
    <t>613</t>
  </si>
  <si>
    <t>722 21-1813</t>
  </si>
  <si>
    <t>Demontáž armatur přírubových DN 80</t>
  </si>
  <si>
    <t>614</t>
  </si>
  <si>
    <t>Opravy potrubí</t>
  </si>
  <si>
    <t>615</t>
  </si>
  <si>
    <t>722 13-1938</t>
  </si>
  <si>
    <t xml:space="preserve">propoj dosavadního potrubí DN 80 </t>
  </si>
  <si>
    <t>616</t>
  </si>
  <si>
    <t>617</t>
  </si>
  <si>
    <t>618</t>
  </si>
  <si>
    <t>Dokončovací práce - HZS - celkem</t>
  </si>
  <si>
    <t>619</t>
  </si>
  <si>
    <t>620</t>
  </si>
  <si>
    <t>621</t>
  </si>
  <si>
    <t>HZS4211</t>
  </si>
  <si>
    <t xml:space="preserve">Vedlejší rozpočtové náklady  </t>
  </si>
  <si>
    <t>celek</t>
  </si>
  <si>
    <t>Dopravní značení na staveništi</t>
  </si>
  <si>
    <t>Informační tabule na staveništi</t>
  </si>
  <si>
    <t>1025</t>
  </si>
  <si>
    <t>1026</t>
  </si>
  <si>
    <t>1027</t>
  </si>
  <si>
    <t>1028</t>
  </si>
  <si>
    <t>1029</t>
  </si>
  <si>
    <t xml:space="preserve"> R O Z P O Č E T </t>
  </si>
  <si>
    <t>stupeň</t>
  </si>
  <si>
    <t>Dokumentace pro provedení stavby</t>
  </si>
  <si>
    <t>na akci:</t>
  </si>
  <si>
    <t>místo stavby :</t>
  </si>
  <si>
    <t>Právnická fakulta</t>
  </si>
  <si>
    <t>Náměstí Curieových 7, 116 40 Praha 1</t>
  </si>
  <si>
    <t>investor - stavebník :</t>
  </si>
  <si>
    <t xml:space="preserve">PRÁVNICKÁ FAKULTA UK </t>
  </si>
  <si>
    <t>hlavní projektant</t>
  </si>
  <si>
    <t>Ing. Jiří Žoček</t>
  </si>
  <si>
    <t>Projekty TZB</t>
  </si>
  <si>
    <t>Jeseniova 1196/52</t>
  </si>
  <si>
    <t>Praha 3</t>
  </si>
  <si>
    <t>rozpočet sestavil:</t>
  </si>
  <si>
    <t>Věra Ulčová (+420773518887)</t>
  </si>
  <si>
    <t xml:space="preserve">Mirovická 1081, 182 00 Praha 8 </t>
  </si>
  <si>
    <t>email: vera.ulcova@volny.cz</t>
  </si>
  <si>
    <t>ing Josef Fuk (+420606643181)</t>
  </si>
  <si>
    <t>V Podbabě 2516, 160 00 Praha 6</t>
  </si>
  <si>
    <t>email: pepifuk@sipk.cz</t>
  </si>
  <si>
    <t xml:space="preserve"> R O Z P O Č E T - n á v r h</t>
  </si>
  <si>
    <t>Aktualizace a doplnění PD - oprava a regulace stávajícího topného systému v objektu UK PF úprava stávajících prostor Právnické fakulty</t>
  </si>
  <si>
    <t>Aktualizace a doplnění PD - oprava a regulace stávajícího topného systému v objektu UK PFStavební úprava stávajících prostor Právnické fakulty</t>
  </si>
  <si>
    <t>552</t>
  </si>
  <si>
    <t>735191904/P</t>
  </si>
  <si>
    <t>Přípravné práce pro proplach a nátěry otopných těles a malby po nátěrech</t>
  </si>
  <si>
    <t>Po proplachu a úpravě těles opravit poškozenou malbu stěn. Výmalbu sjednotit s okolní plochou stěn.</t>
  </si>
  <si>
    <t xml:space="preserve">kč </t>
  </si>
  <si>
    <t>783 - Proplach otopných těles</t>
  </si>
  <si>
    <t>Opatření na ochranu sousedních pozemků  se staveništěm (oplocení+ ochranné zábrany)</t>
  </si>
  <si>
    <t>Rozebrání, bourání a odvoz zařízení staveniště</t>
  </si>
  <si>
    <t>Provozní zařízení ve dvoře</t>
  </si>
  <si>
    <t>Hygienické zázemí a sklad v budově</t>
  </si>
  <si>
    <t>Výrobní dokumentace</t>
  </si>
  <si>
    <t>Náklady na opatření BOZP</t>
  </si>
  <si>
    <t xml:space="preserve"> :</t>
  </si>
  <si>
    <t>Přesun hmot procentní pro vnitřní vodovod v objektech v přes 12 do 24 m . 1,12%</t>
  </si>
  <si>
    <t>735159340/P</t>
  </si>
  <si>
    <t>733190107</t>
  </si>
  <si>
    <t>CÚ2023 /I</t>
  </si>
  <si>
    <t xml:space="preserve">  12 - 500/160 /ks 2/ (0,255m2/čl.)</t>
  </si>
  <si>
    <t>m.č.</t>
  </si>
  <si>
    <t xml:space="preserve">  22 - 500/160 /ks 1/ (0,255m2/čl.)</t>
  </si>
  <si>
    <t xml:space="preserve">  20 - 500/160 /ks 2/ (0,255m2/čl.)</t>
  </si>
  <si>
    <t xml:space="preserve">  16 - 500/160 /ks 2/ (0,255m2/čl.)</t>
  </si>
  <si>
    <t xml:space="preserve">  24 - 500/160 /ks 2/ (0,255m2/čl.)</t>
  </si>
  <si>
    <t xml:space="preserve">  22 - 500/160 /ks 4/ (0,255m2/čl.)</t>
  </si>
  <si>
    <t xml:space="preserve">  10 - 900/70 /ks 1/ (0,205m2/čl.)</t>
  </si>
  <si>
    <t xml:space="preserve">  12 - 900/160 /ks 1/ (0,440m2/čl.)</t>
  </si>
  <si>
    <t>014.1</t>
  </si>
  <si>
    <t>014.2</t>
  </si>
  <si>
    <t>012</t>
  </si>
  <si>
    <t xml:space="preserve">  18 - 500/160 /ks 1/ (0,255m2/čl.)</t>
  </si>
  <si>
    <t xml:space="preserve">  17 - 500/160 /ks 1/ (0,255m2/čl.)</t>
  </si>
  <si>
    <t>010.1</t>
  </si>
  <si>
    <t>009.1</t>
  </si>
  <si>
    <t xml:space="preserve">  14 - 500/160 /ks 6/ (0,255m2/čl.)</t>
  </si>
  <si>
    <t xml:space="preserve">  19 - 500/160 /ks 1/ (0,255m2/čl.)</t>
  </si>
  <si>
    <t>005.1</t>
  </si>
  <si>
    <t>007_1</t>
  </si>
  <si>
    <t>004.1</t>
  </si>
  <si>
    <t>003</t>
  </si>
  <si>
    <t>002</t>
  </si>
  <si>
    <t>038</t>
  </si>
  <si>
    <t xml:space="preserve">  20- 350/160 /ks 3/ (0,185m2/čl.)</t>
  </si>
  <si>
    <t xml:space="preserve">  24 - 500/160 /ks 3/ (0,255m2/čl.)</t>
  </si>
  <si>
    <t xml:space="preserve">  18- 500/160 /ks 1/ (0,255m2/čl.)</t>
  </si>
  <si>
    <t xml:space="preserve">  18- 500/160 /ks 2/ (0,255m2/čl.)</t>
  </si>
  <si>
    <t xml:space="preserve">  20 - 500/160 /ks 1/ (0,255m2/čl.)</t>
  </si>
  <si>
    <t xml:space="preserve">  17- 500/160 /ks 1/ (0,255m2/čl.)</t>
  </si>
  <si>
    <t xml:space="preserve">  22 - 500/160 /ks 3/ (0,255m2/čl.)</t>
  </si>
  <si>
    <t xml:space="preserve">  28 - 500/160 /ks 1/ (0,255m2/čl.)</t>
  </si>
  <si>
    <t xml:space="preserve">  16 - 500/160 /ks 3/ (0,255m2/čl.)</t>
  </si>
  <si>
    <t>206.1</t>
  </si>
  <si>
    <t>203.1</t>
  </si>
  <si>
    <t xml:space="preserve">  30 - 500/160 /ks 1/ (0,255m2/čl.)</t>
  </si>
  <si>
    <t xml:space="preserve">  22- 500/160 /ks 1/ (0,255m2/čl.)</t>
  </si>
  <si>
    <t xml:space="preserve">  22- 500/160 /ks 3/ (0,255m2/čl.)</t>
  </si>
  <si>
    <t xml:space="preserve">  16- 500/160 /ks 1/ (0,255m2/čl.)</t>
  </si>
  <si>
    <t xml:space="preserve">  16- 500/160 /ks 2/ (0,255m2/čl.)</t>
  </si>
  <si>
    <t xml:space="preserve">  24- 500/160 /ks 1/ (0,255m2/čl.)</t>
  </si>
  <si>
    <t xml:space="preserve">  20- 500/160 /ks 1/ (0,255m2/čl.)</t>
  </si>
  <si>
    <t xml:space="preserve">  29- 500/160 /ks 1/ (0,255m2/čl.)</t>
  </si>
  <si>
    <t xml:space="preserve">  13- 900/160 /ks 1/ (0,440m2/čl.)</t>
  </si>
  <si>
    <t xml:space="preserve">  30- 500/160 /ks 2/ (0,255m2/čl.)</t>
  </si>
  <si>
    <t xml:space="preserve">  26 - 500/160 /ks 1/ (0,255m2/čl.)</t>
  </si>
  <si>
    <t xml:space="preserve">  30 - 500/160 /ks 2/ (0,255m2/čl.)</t>
  </si>
  <si>
    <t xml:space="preserve">  30 - 500/160 /ks 3/ (0,255m2/čl.)</t>
  </si>
  <si>
    <t xml:space="preserve">  7- 900/160 /ks 1/ (0,440m2/čl.)</t>
  </si>
  <si>
    <t>021</t>
  </si>
  <si>
    <t xml:space="preserve">  28 - 500/160 /ks1/ (0,255m2/čl.)</t>
  </si>
  <si>
    <t xml:space="preserve">  19 - 500/160 /ks1/ (0,255m2/čl.)</t>
  </si>
  <si>
    <t xml:space="preserve"> 19 - 500/160 /ks1/ (0,255m2/čl.)</t>
  </si>
  <si>
    <t xml:space="preserve">  22 - 500/160 /ks1/ (0,255m2/čl.)</t>
  </si>
  <si>
    <t>126-1</t>
  </si>
  <si>
    <t xml:space="preserve">  19 - 500/160 /ks 2/ (0,255m2/čl.)</t>
  </si>
  <si>
    <t xml:space="preserve">  25 - 500/160 /ks 2/ (0,255m2/čl.)</t>
  </si>
  <si>
    <t>340_4</t>
  </si>
  <si>
    <t xml:space="preserve">  25 - 500/160 /ks 1/ (0,255m2/čl.)</t>
  </si>
  <si>
    <t>030_1</t>
  </si>
  <si>
    <t xml:space="preserve">  19- 500/160 /ks 1/ (0,255m2/čl.)</t>
  </si>
  <si>
    <t xml:space="preserve">  23 - 500/160 /ks 1/ (0,255m2/čl.)</t>
  </si>
  <si>
    <t xml:space="preserve">  20 - 350/160 /ks 3/ (0,185m2/čl.)</t>
  </si>
  <si>
    <t xml:space="preserve">  21- 500/160 /ks 1/ (0,255m2/čl.)</t>
  </si>
  <si>
    <t>238-1</t>
  </si>
  <si>
    <t xml:space="preserve">  25- 500/160 /ks 1/ (0,255m2/čl.)</t>
  </si>
  <si>
    <t xml:space="preserve">  23- 500/160 /ks 1/ (0,255m2/čl.)</t>
  </si>
  <si>
    <t xml:space="preserve">  26- 500/160 /ks 2/ (0,255m2/čl.)</t>
  </si>
  <si>
    <t xml:space="preserve">  23- 500/160 /ks 2/ (0,255m2/čl.)</t>
  </si>
  <si>
    <t>větev VÝCHOD 1</t>
  </si>
  <si>
    <t>011_1</t>
  </si>
  <si>
    <t xml:space="preserve">  13- 900/70 /ks 1/ (0,205m2/čl.)</t>
  </si>
  <si>
    <t xml:space="preserve">  12- 900/70 /ks 1/ (0,205m2/čl.)</t>
  </si>
  <si>
    <t xml:space="preserve">  8 - 900/70 /ks 1/ (0,205m2/čl.)</t>
  </si>
  <si>
    <t xml:space="preserve">  5 - 900/70 /ks 1/ (0,205m2/čl.)</t>
  </si>
  <si>
    <t xml:space="preserve">  18 - 900/160 /ks 1/ (0,440m2/čl.)</t>
  </si>
  <si>
    <t>054_3</t>
  </si>
  <si>
    <t xml:space="preserve">  19 - 900/160 /ks 1/ (0,440m2/čl.)</t>
  </si>
  <si>
    <t xml:space="preserve"> těleso plechové / jen nová Termo.Hlavice</t>
  </si>
  <si>
    <t xml:space="preserve">  25 - 900/160 /ks 1/ (0,440m2/čl.)</t>
  </si>
  <si>
    <t xml:space="preserve">  20 - 900/160 /ks 4/ (0,440m2/čl.)</t>
  </si>
  <si>
    <t>252_2</t>
  </si>
  <si>
    <t xml:space="preserve">  14- 500/160 /ks 1/ (0,255m2/čl.)</t>
  </si>
  <si>
    <t xml:space="preserve">  20 - 900/160 /ks 2/ (0,440m2/čl.)</t>
  </si>
  <si>
    <t xml:space="preserve">  20 - 900/160 /ks 3/ (0,440m2/čl.)</t>
  </si>
  <si>
    <t xml:space="preserve">  20 - 500/160 /ks 3/ (0,255m2/čl.)</t>
  </si>
  <si>
    <t>větev VÝCHOD 2</t>
  </si>
  <si>
    <t xml:space="preserve">  18 - 900/160 /ks 3/ (0,440m2/čl.)</t>
  </si>
  <si>
    <t>036</t>
  </si>
  <si>
    <t xml:space="preserve">  23 - 350/160 /ks 2/ (0,185m2/čl.)</t>
  </si>
  <si>
    <t xml:space="preserve">  10 - 500/160 /ks 1/ (0,255m2/čl.)</t>
  </si>
  <si>
    <t>251_1</t>
  </si>
  <si>
    <t xml:space="preserve">  11 - 500/160 /ks 1/ (0,255m2/čl.)</t>
  </si>
  <si>
    <t>větev ZÁPAD 1</t>
  </si>
  <si>
    <t xml:space="preserve">  9 - 900/160 /ks 1/ (0,440m2/čl.)</t>
  </si>
  <si>
    <t>020</t>
  </si>
  <si>
    <t>019</t>
  </si>
  <si>
    <t xml:space="preserve">  21 - 500/160 /ks 1/ (0,255m2/čl.)</t>
  </si>
  <si>
    <t xml:space="preserve">  25 - 500/160 /ks 5/ (0,255m2/čl.)</t>
  </si>
  <si>
    <t>015</t>
  </si>
  <si>
    <t>119_1</t>
  </si>
  <si>
    <t>332_2</t>
  </si>
  <si>
    <t>větev ZÁPAD 2</t>
  </si>
  <si>
    <t xml:space="preserve">  10 - 900/160 /ks 1 / (0,440m2/čl.)</t>
  </si>
  <si>
    <t xml:space="preserve">  6 - 900/160 /ks 1 / (0,440m2/čl.)</t>
  </si>
  <si>
    <t xml:space="preserve">  8 - 500/160 /ks 1/ (0,255m2/čl.)</t>
  </si>
  <si>
    <t xml:space="preserve">  5 - 900/160 /ks 1 / (0,440m2/čl.)</t>
  </si>
  <si>
    <t xml:space="preserve">  9 - 900/70 /ks 1/ (0,205m2/čl.)</t>
  </si>
  <si>
    <t>054_4</t>
  </si>
  <si>
    <t xml:space="preserve">  10- 500/160 /ks 1/ (0,255m2/čl.)</t>
  </si>
  <si>
    <t>059</t>
  </si>
  <si>
    <t>056</t>
  </si>
  <si>
    <t xml:space="preserve"> 10- 900/70 /ks 1/ (0,205m2/čl.)</t>
  </si>
  <si>
    <t xml:space="preserve">  15 - 900/160 /ks 1/ (0,440m2/čl.)</t>
  </si>
  <si>
    <t xml:space="preserve">  11 - 900/70 /ks 1/ (0,205m2/čl.)</t>
  </si>
  <si>
    <t xml:space="preserve">  21 - 900/160 /ks 1/ (0,440m2/čl.)</t>
  </si>
  <si>
    <t xml:space="preserve">  6 - 900/70 /ks 1/ (0,205m2/čl.)</t>
  </si>
  <si>
    <t xml:space="preserve">  7 - 900/70 /ks 1/ (0,205m2/čl.)</t>
  </si>
  <si>
    <t xml:space="preserve">  9 - 500/160 /ks 1/ (0,255m2/čl.)</t>
  </si>
  <si>
    <t>větev VÝCHOD DVŮR 1</t>
  </si>
  <si>
    <t>119_3</t>
  </si>
  <si>
    <t xml:space="preserve">  10 - 500/160 /ks 2/ (0,255m2/čl.)</t>
  </si>
  <si>
    <t xml:space="preserve">  10 - 500/160 /ks 3/ (0,255m2/čl.)</t>
  </si>
  <si>
    <t>1.PP/ PP01  -   větev / východní dvůr</t>
  </si>
  <si>
    <t>1.NP / NP00  -   větev / východní dvůr</t>
  </si>
  <si>
    <t xml:space="preserve">  10 - 500/160 /ks 4/ (0,255m2/čl.)</t>
  </si>
  <si>
    <t>2.NP / NP01  -   větev / východní dvůr</t>
  </si>
  <si>
    <t>3.NP / NP02  -   větev / východní dvůr</t>
  </si>
  <si>
    <t xml:space="preserve">  11 - 500/160 /ks 2/ (0,255m2/čl.)</t>
  </si>
  <si>
    <t xml:space="preserve">  20 - 350/160 /ks 1/ (0,185m2/čl.)</t>
  </si>
  <si>
    <t>4.NP / NP03  -   větev / východní dvůr</t>
  </si>
  <si>
    <t xml:space="preserve">  14 - 500/160 /ks 3/ (0,255m2/čl.)</t>
  </si>
  <si>
    <t>větev BYTY</t>
  </si>
  <si>
    <t>1.PP/ PP01  -   větev / BYTY - LEVÁ část</t>
  </si>
  <si>
    <t xml:space="preserve">  - těleso plechové / jen nová Termo.Hlavice</t>
  </si>
  <si>
    <t>066</t>
  </si>
  <si>
    <t xml:space="preserve">  17 - 500/160 /ks2/ (0,255m2/čl.)</t>
  </si>
  <si>
    <t xml:space="preserve">  12 - 500/160 /ks1/ (0,255m2/čl.)</t>
  </si>
  <si>
    <t xml:space="preserve">  13 - 500/160 /ks1/ (0,255m2/čl.)</t>
  </si>
  <si>
    <t xml:space="preserve">  10 - 500/160 /ks1/ (0,255m2/čl.)</t>
  </si>
  <si>
    <t xml:space="preserve">  - těleso plechové 22-1400/600  /  jen nová Termo.Hlavice</t>
  </si>
  <si>
    <t xml:space="preserve">  - těleso plechové 22-800/900  /  jen nová Termo.Hlavice</t>
  </si>
  <si>
    <t>082</t>
  </si>
  <si>
    <t xml:space="preserve">  12 - 900/70/ks 1/ (0,205m2/čl.)</t>
  </si>
  <si>
    <t xml:space="preserve">  18 - 900/160 /ks 2/ (0,440m2/čl.)</t>
  </si>
  <si>
    <t xml:space="preserve">  28- 500/160 /ks 1/ (0,255m2/čl.)</t>
  </si>
  <si>
    <t xml:space="preserve">  11- 500/160 /ks 1/ (0,255m2/čl.)</t>
  </si>
  <si>
    <t>nové těleso plechové  /22 - 600/600 TH</t>
  </si>
  <si>
    <t>Celková plocha otopných ploch litinových radiátorů</t>
  </si>
  <si>
    <t>větev - Dvořákovo náměstí- sever</t>
  </si>
  <si>
    <t>větev - 17.listopadu - jih</t>
  </si>
  <si>
    <t>větev - Východ 1</t>
  </si>
  <si>
    <t>DN 32</t>
  </si>
  <si>
    <t>větev - Východ 2</t>
  </si>
  <si>
    <t>větev - Západ 1</t>
  </si>
  <si>
    <t>větev - Západ 2</t>
  </si>
  <si>
    <t>větev - Východ dvůr</t>
  </si>
  <si>
    <t>větev - Byty</t>
  </si>
  <si>
    <t>Přesun hmot procentní pro rozvody potrubí v objektech v přes 12 do 24 m  %</t>
  </si>
  <si>
    <t xml:space="preserve">celkem ks </t>
  </si>
  <si>
    <t>DN 40</t>
  </si>
  <si>
    <t xml:space="preserve"> DN 15</t>
  </si>
  <si>
    <t xml:space="preserve">  DN 25</t>
  </si>
  <si>
    <t xml:space="preserve">  DN 15</t>
  </si>
  <si>
    <t xml:space="preserve">  DN 20</t>
  </si>
  <si>
    <t>735111810/P</t>
  </si>
  <si>
    <t>Šroubení  uzavíratelné s vypouštěním  rohové DN 20</t>
  </si>
  <si>
    <t>Šroubení uzavíratelné s vypouštěním  rohové DN 10</t>
  </si>
  <si>
    <t>Šroubení uzavíratelné s vypouštěním  rohové DN 15</t>
  </si>
  <si>
    <t>Šroubení uzavíratelné s vypouštěním - přímé DN 10</t>
  </si>
  <si>
    <t>Šroubení  uzavíratelné s vypouštěním - přímé DN 15</t>
  </si>
  <si>
    <t>Šroubení s uzavíratelné s vypouštěním - přímé DN 20</t>
  </si>
  <si>
    <t xml:space="preserve">Výměna  dodávka + montáž </t>
  </si>
  <si>
    <t>Montáž nových ocelových těles připevněných na zeď  (kompletní provedení)</t>
  </si>
  <si>
    <t>733191914/P</t>
  </si>
  <si>
    <t>Zaslepení přípojek -ks2 po demontáži otopného tělesa</t>
  </si>
  <si>
    <t>výměra pro obložení výtahu a nášlapné plochy 2,0*2,0 +(2,0+2,0)*2*1,50</t>
  </si>
  <si>
    <t>větev  - Východ 1</t>
  </si>
  <si>
    <t>větev  - Východ 2</t>
  </si>
  <si>
    <t>větev  - Západ 1</t>
  </si>
  <si>
    <t>větev  - Západ 2</t>
  </si>
  <si>
    <t>větev  - Východ dvůr 1</t>
  </si>
  <si>
    <t>větev  - Byty</t>
  </si>
  <si>
    <t>výměry : 410*5,0</t>
  </si>
  <si>
    <t>919726121.MTM</t>
  </si>
  <si>
    <t>Krycí dvojnásobný akrylátový nátěr článkových otopných těles</t>
  </si>
  <si>
    <t>Základní jednonásobný akrylátový nátěr litinových otopných těles</t>
  </si>
  <si>
    <t xml:space="preserve">Základní jednonásobný akrylátový nátěr potrubí přes DN 50mm </t>
  </si>
  <si>
    <t>Krycí dvojnásobný akrylátový tepelně odolný nátěr potrubí DN do 50 mm</t>
  </si>
  <si>
    <t>ks - tělesa</t>
  </si>
  <si>
    <t xml:space="preserve">Ocelové plechy cca tl.2mm dodávka+ osazení+ - (podklad-ochrana- při svařování článků)
</t>
  </si>
  <si>
    <t>Dokumentace skutečného provedení</t>
  </si>
  <si>
    <t>Úprava přípojek k natřeným litinovým  tělesům výměra : 410ks*2</t>
  </si>
  <si>
    <t>998734203</t>
  </si>
  <si>
    <t>Požární dohled dle vyhlášky 87/2000 Sb.</t>
  </si>
  <si>
    <t>Proplach otopných těles a oprava malby po poškození proplachem</t>
  </si>
  <si>
    <t>Demontáž ocelového pozinkovaného potrubí do DN 85</t>
  </si>
  <si>
    <t>Zkušební provoz  + vyregulování systému</t>
  </si>
  <si>
    <t>733190108/P</t>
  </si>
  <si>
    <t>622</t>
  </si>
  <si>
    <t>623</t>
  </si>
  <si>
    <t>624</t>
  </si>
  <si>
    <t>625</t>
  </si>
  <si>
    <t>626</t>
  </si>
  <si>
    <t>627</t>
  </si>
  <si>
    <t>628</t>
  </si>
  <si>
    <t>629</t>
  </si>
  <si>
    <t>630</t>
  </si>
  <si>
    <t>631</t>
  </si>
  <si>
    <t>632</t>
  </si>
  <si>
    <t>633</t>
  </si>
  <si>
    <t>634</t>
  </si>
  <si>
    <t>635</t>
  </si>
  <si>
    <t>636</t>
  </si>
  <si>
    <t>637</t>
  </si>
  <si>
    <t>638</t>
  </si>
  <si>
    <t>639</t>
  </si>
  <si>
    <t>640</t>
  </si>
  <si>
    <t>641</t>
  </si>
  <si>
    <t>642</t>
  </si>
  <si>
    <t>643</t>
  </si>
  <si>
    <t>644</t>
  </si>
  <si>
    <t>645</t>
  </si>
  <si>
    <t>646</t>
  </si>
  <si>
    <t>647</t>
  </si>
  <si>
    <t>648</t>
  </si>
  <si>
    <t>649</t>
  </si>
  <si>
    <t>650</t>
  </si>
  <si>
    <t>651</t>
  </si>
  <si>
    <t>652</t>
  </si>
  <si>
    <t>653</t>
  </si>
  <si>
    <t>654</t>
  </si>
  <si>
    <t>655</t>
  </si>
  <si>
    <t>656</t>
  </si>
  <si>
    <t>657</t>
  </si>
  <si>
    <t>658</t>
  </si>
  <si>
    <t>659</t>
  </si>
  <si>
    <t>660</t>
  </si>
  <si>
    <t>661</t>
  </si>
  <si>
    <t>662</t>
  </si>
  <si>
    <t>663</t>
  </si>
  <si>
    <t>664</t>
  </si>
  <si>
    <t>665</t>
  </si>
  <si>
    <t>666</t>
  </si>
  <si>
    <t>667</t>
  </si>
  <si>
    <t>668</t>
  </si>
  <si>
    <t>669</t>
  </si>
  <si>
    <t>670</t>
  </si>
  <si>
    <t>671</t>
  </si>
  <si>
    <t>672</t>
  </si>
  <si>
    <t>673</t>
  </si>
  <si>
    <t>674</t>
  </si>
  <si>
    <t>675</t>
  </si>
  <si>
    <t>676</t>
  </si>
  <si>
    <t>677</t>
  </si>
  <si>
    <t>678</t>
  </si>
  <si>
    <t>679</t>
  </si>
  <si>
    <t>680</t>
  </si>
  <si>
    <t>681</t>
  </si>
  <si>
    <t>682</t>
  </si>
  <si>
    <t>683</t>
  </si>
  <si>
    <t>684</t>
  </si>
  <si>
    <t>685</t>
  </si>
  <si>
    <t>686</t>
  </si>
  <si>
    <t>687</t>
  </si>
  <si>
    <t>688</t>
  </si>
  <si>
    <t>689</t>
  </si>
  <si>
    <t>690</t>
  </si>
  <si>
    <t>691</t>
  </si>
  <si>
    <t>692</t>
  </si>
  <si>
    <t>693</t>
  </si>
  <si>
    <t>694</t>
  </si>
  <si>
    <t>695</t>
  </si>
  <si>
    <t>696</t>
  </si>
  <si>
    <t>697</t>
  </si>
  <si>
    <t>698</t>
  </si>
  <si>
    <t>699</t>
  </si>
  <si>
    <t>700</t>
  </si>
  <si>
    <t>701</t>
  </si>
  <si>
    <t>702</t>
  </si>
  <si>
    <t>703</t>
  </si>
  <si>
    <t>704</t>
  </si>
  <si>
    <t>705</t>
  </si>
  <si>
    <t>706</t>
  </si>
  <si>
    <t>707</t>
  </si>
  <si>
    <t>708</t>
  </si>
  <si>
    <t>709</t>
  </si>
  <si>
    <t>710</t>
  </si>
  <si>
    <t>711</t>
  </si>
  <si>
    <t>712</t>
  </si>
  <si>
    <t>713</t>
  </si>
  <si>
    <t>714</t>
  </si>
  <si>
    <t>715</t>
  </si>
  <si>
    <t>716</t>
  </si>
  <si>
    <t>717</t>
  </si>
  <si>
    <t>718</t>
  </si>
  <si>
    <t>719</t>
  </si>
  <si>
    <t>720</t>
  </si>
  <si>
    <t>721</t>
  </si>
  <si>
    <t>722</t>
  </si>
  <si>
    <t>723</t>
  </si>
  <si>
    <t>724</t>
  </si>
  <si>
    <t>725</t>
  </si>
  <si>
    <t>726</t>
  </si>
  <si>
    <t>727</t>
  </si>
  <si>
    <t>728</t>
  </si>
  <si>
    <t>729</t>
  </si>
  <si>
    <t>730</t>
  </si>
  <si>
    <t>731</t>
  </si>
  <si>
    <t>732</t>
  </si>
  <si>
    <t>733</t>
  </si>
  <si>
    <t>734</t>
  </si>
  <si>
    <t>735</t>
  </si>
  <si>
    <t>736</t>
  </si>
  <si>
    <t>737</t>
  </si>
  <si>
    <t>738</t>
  </si>
  <si>
    <t>739</t>
  </si>
  <si>
    <t>740</t>
  </si>
  <si>
    <t>741</t>
  </si>
  <si>
    <t>742</t>
  </si>
  <si>
    <t>743</t>
  </si>
  <si>
    <t>744</t>
  </si>
  <si>
    <t>745</t>
  </si>
  <si>
    <t>746</t>
  </si>
  <si>
    <t>747</t>
  </si>
  <si>
    <t>748</t>
  </si>
  <si>
    <t>749</t>
  </si>
  <si>
    <t>750</t>
  </si>
  <si>
    <t>751</t>
  </si>
  <si>
    <t>752</t>
  </si>
  <si>
    <t>753</t>
  </si>
  <si>
    <t>754</t>
  </si>
  <si>
    <t>755</t>
  </si>
  <si>
    <t>756</t>
  </si>
  <si>
    <t>757</t>
  </si>
  <si>
    <t>758</t>
  </si>
  <si>
    <t>759</t>
  </si>
  <si>
    <t>760</t>
  </si>
  <si>
    <t>761</t>
  </si>
  <si>
    <t>762</t>
  </si>
  <si>
    <t>763</t>
  </si>
  <si>
    <t>764</t>
  </si>
  <si>
    <t>765</t>
  </si>
  <si>
    <t>766</t>
  </si>
  <si>
    <t>767</t>
  </si>
  <si>
    <t>768</t>
  </si>
  <si>
    <t>součet bez DPH</t>
  </si>
  <si>
    <t>výměra pod otopná tělesa ; 410ks*1,00*1,20</t>
  </si>
  <si>
    <t>výměra: (492+16,0 )*0,01140t</t>
  </si>
  <si>
    <t>619996145 
Dodávka+
Montáž+
odstranění</t>
  </si>
  <si>
    <t xml:space="preserve">Odpojení a připojení otopného tělesa litinového po nátěru </t>
  </si>
  <si>
    <t xml:space="preserve">větev SEVER - Dvořákovo nám </t>
  </si>
  <si>
    <t xml:space="preserve">větev  JIH - 17. listopadu </t>
  </si>
  <si>
    <t>Přetěsnění růžice radiátorové otopných těles litinových článkových : výměra 410ks*4</t>
  </si>
  <si>
    <t>Rozpojení tělesa otopného teplovodního (cca 20%) při přetěsnění článku</t>
  </si>
  <si>
    <t>Stažení otopného tělesa (cca 20%)</t>
  </si>
  <si>
    <t>Růžice krycí 5/4" x 1/4" - +výměna za stávající s odvzdušněním (kompletní provedení)</t>
  </si>
  <si>
    <t xml:space="preserve">Vypouštění vody z vodorovného (přívodní + zpátečka) a připojovacího potrubí </t>
  </si>
  <si>
    <t>výměra 1,50*1,50*410ks</t>
  </si>
  <si>
    <r>
      <rPr>
        <b/>
        <sz val="10"/>
        <rFont val="Calibri"/>
        <family val="2"/>
      </rPr>
      <t>Kontrola držáků a konzol</t>
    </r>
    <r>
      <rPr>
        <sz val="10"/>
        <rFont val="Calibri"/>
        <family val="2"/>
      </rPr>
      <t xml:space="preserve"> (uchycení 4ks na otopné těleso) v podlaží 2.PP, 1.PP,1.NP až 4.NP (celkem pro 410 otopných těles)
výměra: 410*4</t>
    </r>
  </si>
  <si>
    <t xml:space="preserve">  16- 500/160 /ks 3/ (0,255m2/čl.)</t>
  </si>
  <si>
    <t xml:space="preserve">  20- 900/160 /ks 3/ (0,440m2/čl.)</t>
  </si>
  <si>
    <t>Odvzdušnění všech otopných těles litinových článkových i ocelových deskových</t>
  </si>
  <si>
    <t>Radiátorový termostatický samoregulační  ventil  s AFC technologií přímé nebo rohové DN10až DN</t>
  </si>
  <si>
    <t xml:space="preserve">Osazení nových připojovacích a odvzdušňovacích  růžic  u stávajících litinových článkových vytápěcích těles s přípojkami do DN20 -dodávka je stávající </t>
  </si>
  <si>
    <t>1</t>
  </si>
  <si>
    <t xml:space="preserve">Opravy článků otopných těles  - samostatné svařování - sváry koutové, lemové do průřezu svaru 5 mm  (cca 410*0,10 *2) </t>
  </si>
  <si>
    <t>Tlaková i topná zkouška po jednotlivých větvích a celkového topného systému :  (9*2)</t>
  </si>
  <si>
    <t>735000912/P</t>
  </si>
  <si>
    <t>Kulové kohouty s vypouštěním (DN 10 až DN40) dle půdorysů a schémat</t>
  </si>
  <si>
    <t>734291922/P</t>
  </si>
  <si>
    <t>Montáž nových radiátorových uzavíratelných  šroubení DN10 až DN32, přímých a rohových / kompletní provedení</t>
  </si>
  <si>
    <t xml:space="preserve"> přímý - DN25</t>
  </si>
  <si>
    <t>751322811/P</t>
  </si>
  <si>
    <t>Úprava přípojky pro montáž nových radiátorových ventilů DN10 až DN32, přímých a rohových</t>
  </si>
  <si>
    <t>Úprava přípojky pro montáž nových radiátorových šroubení DN10 až DN32,, přímých a rohových/ kompletní provedení</t>
  </si>
  <si>
    <t>734291913/P</t>
  </si>
  <si>
    <t>735119140/P</t>
  </si>
  <si>
    <t>998733203/P</t>
  </si>
  <si>
    <t>pro otopná tělesa+vodorovné a stoupací  potrubí</t>
  </si>
  <si>
    <t>735191910/P</t>
  </si>
  <si>
    <t>734300812/P</t>
  </si>
  <si>
    <t>Přesun hmot procentní pro armatury v do 24m</t>
  </si>
  <si>
    <t>722 13-0238</t>
  </si>
  <si>
    <t>722 29-0229</t>
  </si>
  <si>
    <t>Tlaková zkouška vodovodu do DN 80</t>
  </si>
  <si>
    <t>713470001/P</t>
  </si>
  <si>
    <t>izolace potrubí tl. Do 15 mm DN do 92 mm (dodávka+montáž)</t>
  </si>
  <si>
    <t>091003000</t>
  </si>
  <si>
    <t>09100300</t>
  </si>
  <si>
    <t>094104000</t>
  </si>
  <si>
    <t xml:space="preserve"> Náklady na zhotovení, předložení a odstranění použitých vzorků materiálů a kvality práce pro zhotovení díla, předepsané zkoušky a atesty podle příslušných předpisů, norem pro prokázání bezchybné funkce díla.</t>
  </si>
  <si>
    <t xml:space="preserve">1) Pro jednoznačné nacenění jednotlivých prací a dodávek uvedených  v Soupise prací , je  nutné je oceňovat současně se čtením Projektové Dokumentace a Technické Zprávy. </t>
  </si>
  <si>
    <t>Ostatní náklady</t>
  </si>
  <si>
    <t>3)Náklady na přípomoce,pomocný a montážní materiál</t>
  </si>
  <si>
    <t>4)Jednotkové ceny uvedené v Soupise prací budou 
zahrnovat veškeré práce(montáže)a dodávky potřebné pro dokončení a předání díla objednateli do užívání bez vad a nedodělků. Nabízené jednotkové ceny jsou pevné ceny, platné až do přejímky ve smyslu obchodního práva.</t>
  </si>
  <si>
    <t>5) Podrobnosti a specifikace viz Výrobní dokumentace zhotovitele.</t>
  </si>
  <si>
    <t>Odvoz  demontovaných hmot   do 1 km se složením do Kovošrotu (sběrné suroviny)</t>
  </si>
  <si>
    <t xml:space="preserve">Náklady na veškerý úklid na staveništi uvnitř i vně během zhotovování díla bude prováděný pravidelně a konečný úklid před přejímkou. Odvozy prováděné pravidelně zbylých hmot a odpadků během zhotovování díla a dle potřeby. </t>
  </si>
  <si>
    <t>Příplatek k odvozu  demontovaných hmot se složením do Kovošrotu (sběrné suroviny) ZKD 1 km přes 1 km (20km)</t>
  </si>
  <si>
    <t>Rekapitulace nákladů předpoklad pro rok 2023/1</t>
  </si>
  <si>
    <r>
      <rPr>
        <sz val="6"/>
        <rFont val="Calibri"/>
        <family val="2"/>
      </rPr>
      <t>CDC.0008772.
URS/ P</t>
    </r>
    <r>
      <rPr>
        <sz val="7"/>
        <rFont val="Calibri"/>
        <family val="2"/>
      </rPr>
      <t xml:space="preserve">
Dodávka+
423355315/P
montáž+
odstranění</t>
    </r>
  </si>
  <si>
    <r>
      <rPr>
        <b/>
        <sz val="9"/>
        <rFont val="Calibri"/>
        <family val="2"/>
      </rPr>
      <t>Provizorní zakrytí</t>
    </r>
    <r>
      <rPr>
        <sz val="9"/>
        <rFont val="Calibri"/>
        <family val="2"/>
      </rPr>
      <t xml:space="preserve"> stávajících ploch-( nášlapných) proti poškození(podlahové krytiny) při provádění prací na otopných těles + obložení výtahu - po celou dobu opravných prací ; 
např. ochrana - nehořlavé (cetris cca tl.08mm ) desky pro 410ks těles</t>
    </r>
  </si>
  <si>
    <r>
      <rPr>
        <b/>
        <sz val="9"/>
        <rFont val="Calibri"/>
        <family val="2"/>
      </rPr>
      <t xml:space="preserve">Vodorovný přesun </t>
    </r>
    <r>
      <rPr>
        <sz val="9"/>
        <rFont val="Calibri"/>
        <family val="2"/>
      </rPr>
      <t xml:space="preserve"> nehořlavých desek</t>
    </r>
  </si>
  <si>
    <r>
      <rPr>
        <b/>
        <sz val="9"/>
        <rFont val="Calibri"/>
        <family val="2"/>
      </rPr>
      <t>Provizorní ochrana</t>
    </r>
    <r>
      <rPr>
        <sz val="9"/>
        <rFont val="Calibri"/>
        <family val="2"/>
      </rPr>
      <t> stávajících svislých ploch konstrukcí (stěn) proti poškození při nátěrech otopných těles - použít - po celou dobu opravných prací ; např. ochrana geotextilii</t>
    </r>
  </si>
  <si>
    <r>
      <rPr>
        <b/>
        <sz val="9"/>
        <rFont val="Calibri"/>
        <family val="2"/>
      </rPr>
      <t>Přetěsnění růžice</t>
    </r>
    <r>
      <rPr>
        <sz val="9"/>
        <rFont val="Calibri"/>
        <family val="2"/>
      </rPr>
      <t xml:space="preserve"> radiátorové otopných těles litinových článkových; výměra 410*2</t>
    </r>
  </si>
  <si>
    <r>
      <rPr>
        <b/>
        <sz val="10"/>
        <rFont val="Calibri"/>
        <family val="2"/>
      </rPr>
      <t>Vyregulování ventilu</t>
    </r>
    <r>
      <rPr>
        <sz val="10"/>
        <rFont val="Calibri"/>
        <family val="2"/>
      </rPr>
      <t xml:space="preserve"> nebo kohoutu dvojregulačního s</t>
    </r>
    <r>
      <rPr>
        <b/>
        <sz val="10"/>
        <rFont val="Calibri"/>
        <family val="2"/>
      </rPr>
      <t xml:space="preserve"> termostatickým ovládáním</t>
    </r>
  </si>
  <si>
    <r>
      <t xml:space="preserve">větev  SEVER / SEVER </t>
    </r>
    <r>
      <rPr>
        <b/>
        <sz val="9"/>
        <rFont val="Calibri"/>
        <family val="2"/>
      </rPr>
      <t>LEVÁ</t>
    </r>
  </si>
  <si>
    <r>
      <t xml:space="preserve"> - </t>
    </r>
    <r>
      <rPr>
        <b/>
        <sz val="10"/>
        <rFont val="Calibri"/>
        <family val="2"/>
      </rPr>
      <t>Dvořákovo náměstí</t>
    </r>
    <r>
      <rPr>
        <b/>
        <sz val="9"/>
        <rFont val="Calibri"/>
        <family val="2"/>
      </rPr>
      <t xml:space="preserve"> - v.č. 1.4.1.9 / </t>
    </r>
    <r>
      <rPr>
        <sz val="9"/>
        <rFont val="Calibri"/>
        <family val="2"/>
      </rPr>
      <t>mezisoučet</t>
    </r>
  </si>
  <si>
    <r>
      <t xml:space="preserve">1.PP/ PP01  -  SEVER LEVÁ  </t>
    </r>
    <r>
      <rPr>
        <sz val="9"/>
        <rFont val="Calibri"/>
        <family val="2"/>
      </rPr>
      <t>(Dvořákovo nám.)</t>
    </r>
  </si>
  <si>
    <r>
      <t xml:space="preserve">1.NP/ NP00   -  SEVER </t>
    </r>
    <r>
      <rPr>
        <b/>
        <sz val="9"/>
        <rFont val="Calibri"/>
        <family val="2"/>
      </rPr>
      <t>LEVÁ</t>
    </r>
    <r>
      <rPr>
        <b/>
        <sz val="10"/>
        <rFont val="Calibri"/>
        <family val="2"/>
      </rPr>
      <t xml:space="preserve"> </t>
    </r>
    <r>
      <rPr>
        <sz val="9"/>
        <rFont val="Calibri"/>
        <family val="2"/>
      </rPr>
      <t>(Dvořákovo nám.)</t>
    </r>
  </si>
  <si>
    <r>
      <t xml:space="preserve">2.NP/ NP01  -  SEVER </t>
    </r>
    <r>
      <rPr>
        <b/>
        <sz val="9"/>
        <rFont val="Calibri"/>
        <family val="2"/>
      </rPr>
      <t>LEVÁ</t>
    </r>
    <r>
      <rPr>
        <b/>
        <sz val="10"/>
        <rFont val="Calibri"/>
        <family val="2"/>
      </rPr>
      <t xml:space="preserve"> </t>
    </r>
    <r>
      <rPr>
        <sz val="9"/>
        <rFont val="Calibri"/>
        <family val="2"/>
      </rPr>
      <t>(Dvořákovo nám.)</t>
    </r>
  </si>
  <si>
    <r>
      <t xml:space="preserve">3.NP/ NP02  -  SEVER </t>
    </r>
    <r>
      <rPr>
        <b/>
        <sz val="9"/>
        <rFont val="Calibri"/>
        <family val="2"/>
      </rPr>
      <t>LEVÁ</t>
    </r>
    <r>
      <rPr>
        <b/>
        <sz val="10"/>
        <rFont val="Calibri"/>
        <family val="2"/>
      </rPr>
      <t xml:space="preserve"> </t>
    </r>
    <r>
      <rPr>
        <sz val="9"/>
        <rFont val="Calibri"/>
        <family val="2"/>
      </rPr>
      <t>(Dvořákovo nám.)</t>
    </r>
  </si>
  <si>
    <r>
      <t xml:space="preserve">4.NP/ NP03  -  SEVER </t>
    </r>
    <r>
      <rPr>
        <b/>
        <sz val="9"/>
        <rFont val="Calibri"/>
        <family val="2"/>
      </rPr>
      <t xml:space="preserve">LEVÁ </t>
    </r>
    <r>
      <rPr>
        <sz val="9"/>
        <rFont val="Calibri"/>
        <family val="2"/>
      </rPr>
      <t>(Dvořákovo nám.)</t>
    </r>
  </si>
  <si>
    <r>
      <t xml:space="preserve">větev SEVER / SEVER </t>
    </r>
    <r>
      <rPr>
        <b/>
        <sz val="9"/>
        <rFont val="Calibri"/>
        <family val="2"/>
      </rPr>
      <t>PRAVÁ</t>
    </r>
  </si>
  <si>
    <r>
      <t xml:space="preserve"> - </t>
    </r>
    <r>
      <rPr>
        <b/>
        <sz val="10"/>
        <rFont val="Calibri"/>
        <family val="2"/>
      </rPr>
      <t>Dvořákovo náměstí</t>
    </r>
    <r>
      <rPr>
        <b/>
        <sz val="9"/>
        <rFont val="Calibri"/>
        <family val="2"/>
      </rPr>
      <t xml:space="preserve"> - v.č. 1.4.1.9</t>
    </r>
  </si>
  <si>
    <r>
      <t>1.PP/ PP01  - SEVER PRAVÁ</t>
    </r>
    <r>
      <rPr>
        <sz val="9"/>
        <rFont val="Calibri"/>
        <family val="2"/>
      </rPr>
      <t xml:space="preserve"> (Dvořákovo nám.)</t>
    </r>
  </si>
  <si>
    <r>
      <t>1.NP/ NP00   - SEVER</t>
    </r>
    <r>
      <rPr>
        <b/>
        <sz val="9"/>
        <rFont val="Calibri"/>
        <family val="2"/>
      </rPr>
      <t xml:space="preserve"> PRAVÁ</t>
    </r>
    <r>
      <rPr>
        <b/>
        <sz val="10"/>
        <rFont val="Calibri"/>
        <family val="2"/>
      </rPr>
      <t xml:space="preserve"> </t>
    </r>
    <r>
      <rPr>
        <sz val="9"/>
        <rFont val="Calibri"/>
        <family val="2"/>
      </rPr>
      <t>(Dvořákovo nám.)</t>
    </r>
  </si>
  <si>
    <r>
      <t xml:space="preserve">2.NP/ NP01  - SEVER </t>
    </r>
    <r>
      <rPr>
        <b/>
        <sz val="9"/>
        <rFont val="Calibri"/>
        <family val="2"/>
      </rPr>
      <t xml:space="preserve">PRAVÁ </t>
    </r>
    <r>
      <rPr>
        <sz val="9"/>
        <rFont val="Calibri"/>
        <family val="2"/>
      </rPr>
      <t>(Dvořákovo nám.)</t>
    </r>
  </si>
  <si>
    <r>
      <t xml:space="preserve">3.NP/ NP02  - SEVER </t>
    </r>
    <r>
      <rPr>
        <b/>
        <sz val="9"/>
        <rFont val="Calibri"/>
        <family val="2"/>
      </rPr>
      <t>PRAVÁ</t>
    </r>
    <r>
      <rPr>
        <b/>
        <sz val="10"/>
        <rFont val="Calibri"/>
        <family val="2"/>
      </rPr>
      <t xml:space="preserve"> </t>
    </r>
    <r>
      <rPr>
        <sz val="9"/>
        <rFont val="Calibri"/>
        <family val="2"/>
      </rPr>
      <t>(Dvořákovo nám.)</t>
    </r>
  </si>
  <si>
    <r>
      <t xml:space="preserve">4.NP/ NP03  - SEVER </t>
    </r>
    <r>
      <rPr>
        <b/>
        <sz val="9"/>
        <rFont val="Calibri"/>
        <family val="2"/>
      </rPr>
      <t>PRAVÁ</t>
    </r>
    <r>
      <rPr>
        <b/>
        <sz val="10"/>
        <rFont val="Calibri"/>
        <family val="2"/>
      </rPr>
      <t xml:space="preserve"> </t>
    </r>
    <r>
      <rPr>
        <sz val="9"/>
        <rFont val="Calibri"/>
        <family val="2"/>
      </rPr>
      <t>(Dvořákovo nám.)</t>
    </r>
  </si>
  <si>
    <r>
      <t xml:space="preserve">větev JIH </t>
    </r>
    <r>
      <rPr>
        <b/>
        <sz val="9"/>
        <rFont val="Calibri"/>
        <family val="2"/>
      </rPr>
      <t>LEVÁ</t>
    </r>
  </si>
  <si>
    <r>
      <rPr>
        <b/>
        <sz val="10"/>
        <rFont val="Calibri"/>
        <family val="2"/>
      </rPr>
      <t xml:space="preserve"> - 17. listopadu-</t>
    </r>
    <r>
      <rPr>
        <b/>
        <sz val="9"/>
        <rFont val="Calibri"/>
        <family val="2"/>
      </rPr>
      <t xml:space="preserve"> v.č. 1.4.1.10 / </t>
    </r>
    <r>
      <rPr>
        <sz val="9"/>
        <rFont val="Calibri"/>
        <family val="2"/>
      </rPr>
      <t>mezisoučet</t>
    </r>
  </si>
  <si>
    <r>
      <t xml:space="preserve">1.PP/ PP01  -  JIH </t>
    </r>
    <r>
      <rPr>
        <b/>
        <sz val="9"/>
        <rFont val="Calibri"/>
        <family val="2"/>
      </rPr>
      <t>LEVÁ</t>
    </r>
  </si>
  <si>
    <r>
      <t xml:space="preserve">1.NP/ NP00  -  JIH LEVÁ </t>
    </r>
    <r>
      <rPr>
        <sz val="9"/>
        <rFont val="Calibri"/>
        <family val="2"/>
      </rPr>
      <t>(17. listopadu)</t>
    </r>
  </si>
  <si>
    <r>
      <t xml:space="preserve">2.NP/ NP01  -  JIH </t>
    </r>
    <r>
      <rPr>
        <b/>
        <sz val="9"/>
        <rFont val="Calibri"/>
        <family val="2"/>
      </rPr>
      <t xml:space="preserve">LEVÁ </t>
    </r>
    <r>
      <rPr>
        <sz val="9"/>
        <rFont val="Calibri"/>
        <family val="2"/>
      </rPr>
      <t>(17. listopadu)</t>
    </r>
  </si>
  <si>
    <r>
      <t xml:space="preserve">3.NP/ NP02  -  JIH </t>
    </r>
    <r>
      <rPr>
        <b/>
        <sz val="9"/>
        <rFont val="Calibri"/>
        <family val="2"/>
      </rPr>
      <t>LEVÁ</t>
    </r>
    <r>
      <rPr>
        <b/>
        <sz val="10"/>
        <rFont val="Calibri"/>
        <family val="2"/>
      </rPr>
      <t xml:space="preserve"> </t>
    </r>
    <r>
      <rPr>
        <sz val="9"/>
        <rFont val="Calibri"/>
        <family val="2"/>
      </rPr>
      <t>(17. listopadu)</t>
    </r>
  </si>
  <si>
    <r>
      <t xml:space="preserve">4.NP/ NP03  -  JIH </t>
    </r>
    <r>
      <rPr>
        <b/>
        <sz val="9"/>
        <rFont val="Calibri"/>
        <family val="2"/>
      </rPr>
      <t>LEVÁ</t>
    </r>
    <r>
      <rPr>
        <b/>
        <sz val="10"/>
        <rFont val="Calibri"/>
        <family val="2"/>
      </rPr>
      <t xml:space="preserve"> </t>
    </r>
    <r>
      <rPr>
        <sz val="9"/>
        <rFont val="Calibri"/>
        <family val="2"/>
      </rPr>
      <t>(17. listopadu)</t>
    </r>
  </si>
  <si>
    <r>
      <t xml:space="preserve">větev JIH </t>
    </r>
    <r>
      <rPr>
        <b/>
        <sz val="9"/>
        <rFont val="Calibri"/>
        <family val="2"/>
      </rPr>
      <t>PRAVÁ</t>
    </r>
  </si>
  <si>
    <r>
      <t xml:space="preserve"> - </t>
    </r>
    <r>
      <rPr>
        <b/>
        <sz val="10"/>
        <rFont val="Calibri"/>
        <family val="2"/>
      </rPr>
      <t>17. listopadu</t>
    </r>
    <r>
      <rPr>
        <b/>
        <sz val="9"/>
        <rFont val="Calibri"/>
        <family val="2"/>
      </rPr>
      <t>- v.č. 1.4.1.10</t>
    </r>
  </si>
  <si>
    <r>
      <t xml:space="preserve">1.PP/ PP01  -  JIH </t>
    </r>
    <r>
      <rPr>
        <b/>
        <sz val="9"/>
        <rFont val="Calibri"/>
        <family val="2"/>
      </rPr>
      <t>PRAVÁ</t>
    </r>
    <r>
      <rPr>
        <b/>
        <sz val="10"/>
        <rFont val="Calibri"/>
        <family val="2"/>
      </rPr>
      <t xml:space="preserve"> - (nepokračuje)</t>
    </r>
  </si>
  <si>
    <r>
      <t xml:space="preserve">1.NP/ NP00  -  JIH </t>
    </r>
    <r>
      <rPr>
        <b/>
        <sz val="9"/>
        <rFont val="Calibri"/>
        <family val="2"/>
      </rPr>
      <t>PRAVÁ</t>
    </r>
    <r>
      <rPr>
        <b/>
        <sz val="10"/>
        <rFont val="Calibri"/>
        <family val="2"/>
      </rPr>
      <t xml:space="preserve"> -</t>
    </r>
    <r>
      <rPr>
        <sz val="9"/>
        <rFont val="Calibri"/>
        <family val="2"/>
      </rPr>
      <t xml:space="preserve"> (17. listopadu)</t>
    </r>
  </si>
  <si>
    <r>
      <t xml:space="preserve">2.NP/ NP01  -  JIH </t>
    </r>
    <r>
      <rPr>
        <b/>
        <sz val="9"/>
        <rFont val="Calibri"/>
        <family val="2"/>
      </rPr>
      <t>PRAVÁ</t>
    </r>
    <r>
      <rPr>
        <b/>
        <sz val="10"/>
        <rFont val="Calibri"/>
        <family val="2"/>
      </rPr>
      <t xml:space="preserve"> -</t>
    </r>
    <r>
      <rPr>
        <sz val="9"/>
        <rFont val="Calibri"/>
        <family val="2"/>
      </rPr>
      <t xml:space="preserve"> (17. listopadu)</t>
    </r>
  </si>
  <si>
    <r>
      <t xml:space="preserve">3.NP/ NP02  -  JIH </t>
    </r>
    <r>
      <rPr>
        <b/>
        <sz val="9"/>
        <rFont val="Calibri"/>
        <family val="2"/>
      </rPr>
      <t>PRAVÁ</t>
    </r>
    <r>
      <rPr>
        <b/>
        <sz val="10"/>
        <rFont val="Calibri"/>
        <family val="2"/>
      </rPr>
      <t xml:space="preserve"> -</t>
    </r>
    <r>
      <rPr>
        <sz val="9"/>
        <rFont val="Calibri"/>
        <family val="2"/>
      </rPr>
      <t xml:space="preserve"> (17. listopadu)</t>
    </r>
  </si>
  <si>
    <r>
      <t xml:space="preserve">4.NP/ NP03  -  JIH </t>
    </r>
    <r>
      <rPr>
        <b/>
        <sz val="9"/>
        <rFont val="Calibri"/>
        <family val="2"/>
      </rPr>
      <t>PRAVÁ</t>
    </r>
    <r>
      <rPr>
        <b/>
        <sz val="10"/>
        <rFont val="Calibri"/>
        <family val="2"/>
      </rPr>
      <t xml:space="preserve"> -</t>
    </r>
    <r>
      <rPr>
        <sz val="9"/>
        <rFont val="Calibri"/>
        <family val="2"/>
      </rPr>
      <t xml:space="preserve"> (17. listopadu)</t>
    </r>
  </si>
  <si>
    <r>
      <t xml:space="preserve"> -  východ 1 v.č. 1.4.1.11 / </t>
    </r>
    <r>
      <rPr>
        <sz val="9"/>
        <rFont val="Calibri"/>
        <family val="2"/>
      </rPr>
      <t>mezisoučet</t>
    </r>
  </si>
  <si>
    <r>
      <t xml:space="preserve">1.PP/ PP01  -   větev VÝCHOD 1 - </t>
    </r>
    <r>
      <rPr>
        <sz val="9"/>
        <rFont val="Calibri"/>
        <family val="2"/>
      </rPr>
      <t>(\východ 1)</t>
    </r>
  </si>
  <si>
    <r>
      <t>1.NP/ NP00  - větev VÝCHOD 1 -</t>
    </r>
    <r>
      <rPr>
        <sz val="9"/>
        <rFont val="Calibri"/>
        <family val="2"/>
      </rPr>
      <t xml:space="preserve"> (\východ 1)</t>
    </r>
  </si>
  <si>
    <r>
      <t>2.NP/ NP01  - větev VÝCHOD 1 -</t>
    </r>
    <r>
      <rPr>
        <sz val="9"/>
        <rFont val="Calibri"/>
        <family val="2"/>
      </rPr>
      <t xml:space="preserve"> (\východ 1)</t>
    </r>
  </si>
  <si>
    <r>
      <t>3.NP/ NP02  - větev VÝCHOD 1 -</t>
    </r>
    <r>
      <rPr>
        <sz val="9"/>
        <rFont val="Calibri"/>
        <family val="2"/>
      </rPr>
      <t xml:space="preserve"> (\východ 1)</t>
    </r>
  </si>
  <si>
    <r>
      <t>4.NP/ NP03  - větev VÝCHOD 1 -</t>
    </r>
    <r>
      <rPr>
        <sz val="9"/>
        <rFont val="Calibri"/>
        <family val="2"/>
      </rPr>
      <t xml:space="preserve"> (\východ 1)</t>
    </r>
  </si>
  <si>
    <r>
      <t xml:space="preserve"> -  východ 2 v.č. 1.4.1.12</t>
    </r>
    <r>
      <rPr>
        <sz val="9"/>
        <rFont val="Calibri"/>
        <family val="2"/>
      </rPr>
      <t xml:space="preserve"> / mezisoučet</t>
    </r>
  </si>
  <si>
    <r>
      <t>1.PP/ PP01  -   větev VÝCHOD 2 -</t>
    </r>
    <r>
      <rPr>
        <sz val="10"/>
        <rFont val="Calibri"/>
        <family val="2"/>
      </rPr>
      <t xml:space="preserve"> (\východ 2)</t>
    </r>
  </si>
  <si>
    <r>
      <t>1.NP/ NP00  -  větev VÝCHOD 2 -</t>
    </r>
    <r>
      <rPr>
        <sz val="10"/>
        <rFont val="Calibri"/>
        <family val="2"/>
      </rPr>
      <t xml:space="preserve"> (\východ 2)</t>
    </r>
  </si>
  <si>
    <r>
      <t>2.NP/ NP01  -  větev VÝCHOD 2 -</t>
    </r>
    <r>
      <rPr>
        <sz val="10"/>
        <rFont val="Calibri"/>
        <family val="2"/>
      </rPr>
      <t xml:space="preserve"> (\východ 2)</t>
    </r>
  </si>
  <si>
    <r>
      <t>3.NP/ NP02  -  větev VÝCHOD 2 -</t>
    </r>
    <r>
      <rPr>
        <sz val="10"/>
        <rFont val="Calibri"/>
        <family val="2"/>
      </rPr>
      <t xml:space="preserve"> (\východ 2)</t>
    </r>
  </si>
  <si>
    <r>
      <t>4.NP/ NP03  -  větev VÝCHOD 2 -</t>
    </r>
    <r>
      <rPr>
        <sz val="10"/>
        <rFont val="Calibri"/>
        <family val="2"/>
      </rPr>
      <t xml:space="preserve"> (\východ 2)</t>
    </r>
  </si>
  <si>
    <r>
      <t xml:space="preserve"> -  západ 1 v.č. 1.4.1.13 / </t>
    </r>
    <r>
      <rPr>
        <sz val="9"/>
        <rFont val="Calibri"/>
        <family val="2"/>
      </rPr>
      <t>mezisoučet</t>
    </r>
  </si>
  <si>
    <r>
      <t>2.PP/ PP02  -   větev ZÁPAD 1 -</t>
    </r>
    <r>
      <rPr>
        <sz val="10"/>
        <rFont val="Calibri"/>
        <family val="2"/>
      </rPr>
      <t xml:space="preserve"> (západ 1)</t>
    </r>
  </si>
  <si>
    <r>
      <t>1.PP/ PP01  -   větev ZÁPAD 1 -</t>
    </r>
    <r>
      <rPr>
        <sz val="10"/>
        <rFont val="Calibri"/>
        <family val="2"/>
      </rPr>
      <t xml:space="preserve"> (západ 1)</t>
    </r>
  </si>
  <si>
    <r>
      <t>1.NP/ NP00  -   větev ZÁPAD 1 -</t>
    </r>
    <r>
      <rPr>
        <sz val="10"/>
        <rFont val="Calibri"/>
        <family val="2"/>
      </rPr>
      <t xml:space="preserve"> (západ 1)</t>
    </r>
  </si>
  <si>
    <r>
      <t>2.NP/ NP01  -   větev ZÁPAD 1 -</t>
    </r>
    <r>
      <rPr>
        <sz val="10"/>
        <rFont val="Calibri"/>
        <family val="2"/>
      </rPr>
      <t xml:space="preserve"> (západ 1)</t>
    </r>
  </si>
  <si>
    <r>
      <t>3.NP/ NP02  -   větev ZÁPAD 1 -</t>
    </r>
    <r>
      <rPr>
        <sz val="10"/>
        <rFont val="Calibri"/>
        <family val="2"/>
      </rPr>
      <t xml:space="preserve"> (západ 1)</t>
    </r>
  </si>
  <si>
    <r>
      <t>4.NP/ NP03  -   větev ZÁPAD 1 -</t>
    </r>
    <r>
      <rPr>
        <sz val="10"/>
        <rFont val="Calibri"/>
        <family val="2"/>
      </rPr>
      <t xml:space="preserve"> (západ 1)</t>
    </r>
  </si>
  <si>
    <r>
      <t xml:space="preserve"> -  západ 2 v.č. 1.4.1.14 / </t>
    </r>
    <r>
      <rPr>
        <sz val="9"/>
        <rFont val="Calibri"/>
        <family val="2"/>
      </rPr>
      <t>mezisoučet</t>
    </r>
  </si>
  <si>
    <r>
      <t>2.PP/ PP02  -   větev ZÁPAD 2 -</t>
    </r>
    <r>
      <rPr>
        <sz val="10"/>
        <rFont val="Calibri"/>
        <family val="2"/>
      </rPr>
      <t xml:space="preserve"> (západ 2)</t>
    </r>
  </si>
  <si>
    <r>
      <t>1.PP/ PP01  -   větev ZÁPAD 2 -</t>
    </r>
    <r>
      <rPr>
        <sz val="10"/>
        <rFont val="Calibri"/>
        <family val="2"/>
      </rPr>
      <t xml:space="preserve"> (západ 2)</t>
    </r>
  </si>
  <si>
    <r>
      <t>1.NP/ NP00  -   větev ZÁPAD 2 -</t>
    </r>
    <r>
      <rPr>
        <sz val="10"/>
        <rFont val="Calibri"/>
        <family val="2"/>
      </rPr>
      <t xml:space="preserve"> (západ 2)</t>
    </r>
  </si>
  <si>
    <r>
      <t xml:space="preserve"> občerstvení - těleso plechové /</t>
    </r>
    <r>
      <rPr>
        <b/>
        <sz val="10"/>
        <rFont val="Calibri"/>
        <family val="2"/>
      </rPr>
      <t xml:space="preserve"> jen nová Termo.Hlavice</t>
    </r>
  </si>
  <si>
    <r>
      <t>2.NP/ NP01  -   větev ZÁPAD 2 -</t>
    </r>
    <r>
      <rPr>
        <sz val="10"/>
        <rFont val="Calibri"/>
        <family val="2"/>
      </rPr>
      <t xml:space="preserve"> (západ 2)</t>
    </r>
  </si>
  <si>
    <r>
      <t>3.NP/ NP02  -   větev ZÁPAD 2 -</t>
    </r>
    <r>
      <rPr>
        <sz val="10"/>
        <rFont val="Calibri"/>
        <family val="2"/>
      </rPr>
      <t xml:space="preserve"> (západ 2)</t>
    </r>
  </si>
  <si>
    <r>
      <t>4.NP/ NP03  -   větev ZÁPAD 2 -</t>
    </r>
    <r>
      <rPr>
        <sz val="10"/>
        <rFont val="Calibri"/>
        <family val="2"/>
      </rPr>
      <t xml:space="preserve"> (západ 2)</t>
    </r>
  </si>
  <si>
    <r>
      <t xml:space="preserve"> -  východ dvůr 1  v.č. 1.4.1.15 </t>
    </r>
    <r>
      <rPr>
        <sz val="9"/>
        <rFont val="Calibri"/>
        <family val="2"/>
      </rPr>
      <t>/ mezisoučet</t>
    </r>
  </si>
  <si>
    <r>
      <t xml:space="preserve"> -  BYTY  v.č. 1.4.1.16 / </t>
    </r>
    <r>
      <rPr>
        <sz val="9"/>
        <rFont val="Calibri"/>
        <family val="2"/>
      </rPr>
      <t>mezisoučet</t>
    </r>
  </si>
  <si>
    <r>
      <t>1.PP/ PP01 - větev/BYTY- PRAVÁ část /</t>
    </r>
    <r>
      <rPr>
        <sz val="9"/>
        <rFont val="Calibri"/>
        <family val="2"/>
      </rPr>
      <t>celkem</t>
    </r>
  </si>
  <si>
    <r>
      <t>Demontáž tělesa litinového  -</t>
    </r>
    <r>
      <rPr>
        <b/>
        <sz val="10"/>
        <rFont val="Calibri"/>
        <family val="2"/>
      </rPr>
      <t xml:space="preserve"> větev Západ 2</t>
    </r>
    <r>
      <rPr>
        <sz val="10"/>
        <rFont val="Calibri"/>
        <family val="2"/>
      </rPr>
      <t xml:space="preserve">  - </t>
    </r>
    <r>
      <rPr>
        <b/>
        <sz val="10"/>
        <rFont val="Calibri"/>
        <family val="2"/>
      </rPr>
      <t xml:space="preserve">v.č.  D.1.4.1.14 </t>
    </r>
    <r>
      <rPr>
        <sz val="10"/>
        <rFont val="Calibri"/>
        <family val="2"/>
      </rPr>
      <t xml:space="preserve"> /  </t>
    </r>
    <r>
      <rPr>
        <b/>
        <sz val="10"/>
        <rFont val="Calibri"/>
        <family val="2"/>
      </rPr>
      <t xml:space="preserve">m.č.  067 / 2.PP  </t>
    </r>
    <r>
      <rPr>
        <sz val="10"/>
        <rFont val="Calibri"/>
        <family val="2"/>
      </rPr>
      <t xml:space="preserve">-  PP02 </t>
    </r>
    <r>
      <rPr>
        <b/>
        <sz val="10"/>
        <rFont val="Calibri"/>
        <family val="2"/>
      </rPr>
      <t xml:space="preserve"> /     </t>
    </r>
    <r>
      <rPr>
        <sz val="10"/>
        <rFont val="Calibri"/>
        <family val="2"/>
      </rPr>
      <t>10 - 500/160/ks 1/ (0,255m2/čl.)</t>
    </r>
  </si>
  <si>
    <r>
      <t xml:space="preserve">
</t>
    </r>
    <r>
      <rPr>
        <sz val="9"/>
        <rFont val="Calibri"/>
        <family val="2"/>
      </rPr>
      <t>Regulační vyvažovací ventily s vypouštěním (DN 10 až DN32) dle půdorysů a schémat</t>
    </r>
  </si>
  <si>
    <r>
      <t xml:space="preserve">
</t>
    </r>
    <r>
      <rPr>
        <b/>
        <sz val="9"/>
        <rFont val="Calibri"/>
        <family val="2"/>
      </rPr>
      <t>Radiátorový termostatický samoregulační ventil s AFC technologií přímé, nebo rohové (DN 10 až DN32) dle půdorysů a schémat</t>
    </r>
  </si>
  <si>
    <r>
      <rPr>
        <sz val="9"/>
        <rFont val="Calibri"/>
        <family val="2"/>
      </rPr>
      <t xml:space="preserve">Poznámka :
</t>
    </r>
    <r>
      <rPr>
        <b/>
        <sz val="9"/>
        <rFont val="Calibri"/>
        <family val="2"/>
      </rPr>
      <t>Šroubení uzavírací  přímé nebo rohové (DN 10 až DN20) dle půdorysů a schémat</t>
    </r>
  </si>
  <si>
    <t>SOUPIS STAVEBNÍCH PRACÍ a DODÁVEK</t>
  </si>
  <si>
    <r>
      <t>Vyčištění otopných těles </t>
    </r>
    <r>
      <rPr>
        <sz val="10"/>
        <rFont val="Calibri"/>
        <family val="2"/>
      </rPr>
      <t xml:space="preserve">litinových </t>
    </r>
    <r>
      <rPr>
        <b/>
        <sz val="10"/>
        <rFont val="Calibri"/>
        <family val="2"/>
      </rPr>
      <t>proplachem</t>
    </r>
    <r>
      <rPr>
        <sz val="10"/>
        <rFont val="Calibri"/>
        <family val="2"/>
      </rPr>
      <t xml:space="preserve"> </t>
    </r>
    <r>
      <rPr>
        <b/>
        <sz val="10"/>
        <rFont val="Calibri"/>
        <family val="2"/>
      </rPr>
      <t xml:space="preserve">vodou </t>
    </r>
    <r>
      <rPr>
        <sz val="10"/>
        <rFont val="Calibri"/>
        <family val="2"/>
      </rPr>
      <t xml:space="preserve">na místě osazení, včetně proplachového zařízení, ochranné konstrukce pod tělesa proti vytopení včetně přemisťování,  zkouška těsnosti těles tlakem, odvoz a likvidace proplachu včetně usazenin  </t>
    </r>
  </si>
  <si>
    <t>2)Jednotkové ceny nabídky zahrnují veškeré náklady pro zhotovení bezvadného funkčně způsobilého díla, které je předmětem smlouvy a bude schopno plnit řádně svojí funkci po dobu min. 10 let.</t>
  </si>
  <si>
    <t>Poznámka k nacenění VV:  
vyplňte buňky ve sloupci G, které nejsou uzamčeny.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</si>
</sst>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1">
    <numFmt numFmtId="6" formatCode="#,##0\ &quot;Kč&quot;;[Red]\-#,##0\ &quot;Kč&quot;"/>
    <numFmt numFmtId="8" formatCode="#,##0.00\ &quot;Kč&quot;;[Red]\-#,##0.00\ &quot;Kč&quot;"/>
    <numFmt numFmtId="44" formatCode="_-* #,##0.00\ &quot;Kč&quot;_-;\-* #,##0.00\ &quot;Kč&quot;_-;_-* &quot;-&quot;??\ &quot;Kč&quot;_-;_-@_-"/>
    <numFmt numFmtId="164" formatCode="_-* #,##0.00\ _K_č_-;\-* #,##0.00\ _K_č_-;_-* &quot;-&quot;??\ _K_č_-;_-@_-"/>
    <numFmt numFmtId="165" formatCode="#,##0\ &quot;Kč&quot;"/>
    <numFmt numFmtId="166" formatCode="#,##0.0"/>
    <numFmt numFmtId="167" formatCode="#,##0.000"/>
    <numFmt numFmtId="168" formatCode="#,##0&quot; Kč&quot;;[Red]\-#,##0&quot; Kč&quot;"/>
    <numFmt numFmtId="169" formatCode="#,##0.00&quot; Kč&quot;;[Red]\-#,##0.00&quot; Kč&quot;"/>
    <numFmt numFmtId="170" formatCode="_ * #,##0_ ;_ * \-#,##0_ ;_ * \-_ ;_ @_ "/>
    <numFmt numFmtId="171" formatCode="_ * #,##0.00_ ;_ * \-#,##0.00_ ;_ * \-??_ ;_ @_ "/>
    <numFmt numFmtId="172" formatCode="_-* #,##0_-;\-* #,##0_-;_-* \-_-;_-@_-"/>
    <numFmt numFmtId="173" formatCode="_-* #,##0.00_-;\-* #,##0.00_-;_-* \-??_-;_-@_-"/>
    <numFmt numFmtId="174" formatCode="_ &quot;Fr. &quot;* #,##0_ ;_ &quot;Fr. &quot;* \-#,##0_ ;_ &quot;Fr. &quot;* \-_ ;_ @_ "/>
    <numFmt numFmtId="175" formatCode="_ &quot;Fr. &quot;* #,##0.00_ ;_ &quot;Fr. &quot;* \-#,##0.00_ ;_ &quot;Fr. &quot;* \-??_ ;_ @_ "/>
    <numFmt numFmtId="176" formatCode="_-\Ł* #,##0_-;&quot;-Ł&quot;* #,##0_-;_-\Ł* \-_-;_-@_-"/>
    <numFmt numFmtId="177" formatCode="_-\Ł* #,##0.00_-;&quot;-Ł&quot;* #,##0.00_-;_-\Ł* \-??_-;_-@_-"/>
    <numFmt numFmtId="178" formatCode="0.0000"/>
    <numFmt numFmtId="179" formatCode="0.000"/>
    <numFmt numFmtId="180" formatCode="#,##0.00\ _K_č"/>
    <numFmt numFmtId="181" formatCode="#,##0.0\ _K_č"/>
  </numFmts>
  <fonts count="6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0"/>
      <name val="Arial CE"/>
      <family val="2"/>
    </font>
    <font>
      <b/>
      <sz val="9"/>
      <name val="Arial"/>
      <family val="2"/>
    </font>
    <font>
      <b/>
      <sz val="10"/>
      <name val="Arial CE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Helv"/>
      <family val="2"/>
    </font>
    <font>
      <b/>
      <sz val="12"/>
      <name val="Arial CE"/>
      <family val="2"/>
    </font>
    <font>
      <b/>
      <sz val="11"/>
      <name val="Arial CE"/>
      <family val="2"/>
    </font>
    <font>
      <b/>
      <sz val="9"/>
      <name val="Arial CE"/>
      <family val="2"/>
    </font>
    <font>
      <b/>
      <sz val="20"/>
      <name val="Arial"/>
      <family val="2"/>
    </font>
    <font>
      <b/>
      <sz val="16"/>
      <name val="Arial CE"/>
      <family val="2"/>
    </font>
    <font>
      <b/>
      <sz val="13"/>
      <name val="Arial CE"/>
      <family val="2"/>
    </font>
    <font>
      <b/>
      <sz val="14"/>
      <name val="Arial CE"/>
      <family val="2"/>
    </font>
    <font>
      <sz val="12"/>
      <name val="Times New Roman CE"/>
      <family val="2"/>
    </font>
    <font>
      <sz val="8"/>
      <name val="MS Sans Serif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Arial Narrow"/>
      <family val="2"/>
    </font>
    <font>
      <sz val="10"/>
      <name val="MS Sans Serif"/>
      <family val="2"/>
    </font>
    <font>
      <sz val="10"/>
      <color indexed="12"/>
      <name val="Arial CE"/>
      <family val="2"/>
    </font>
    <font>
      <b/>
      <sz val="24"/>
      <name val="Tahoma"/>
      <family val="2"/>
    </font>
    <font>
      <sz val="10"/>
      <color indexed="16"/>
      <name val="Arial CE"/>
      <family val="2"/>
    </font>
    <font>
      <sz val="8"/>
      <color indexed="8"/>
      <name val=".HelveticaLightTTEE"/>
      <family val="2"/>
    </font>
    <font>
      <b/>
      <sz val="11"/>
      <color indexed="10"/>
      <name val="Arial CE"/>
      <family val="2"/>
    </font>
    <font>
      <b/>
      <sz val="10"/>
      <color indexed="10"/>
      <name val="Arial CE"/>
      <family val="2"/>
    </font>
    <font>
      <sz val="14"/>
      <name val="Tahoma"/>
      <family val="2"/>
    </font>
    <font>
      <b/>
      <sz val="9"/>
      <name val="Segoe UI"/>
      <family val="2"/>
    </font>
    <font>
      <sz val="9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9"/>
      <name val="Calibri"/>
      <family val="2"/>
    </font>
    <font>
      <sz val="7"/>
      <name val="Calibri"/>
      <family val="2"/>
    </font>
    <font>
      <sz val="11"/>
      <color theme="1"/>
      <name val="Calibri"/>
      <family val="2"/>
    </font>
    <font>
      <b/>
      <sz val="8"/>
      <name val="Calibri"/>
      <family val="2"/>
    </font>
    <font>
      <sz val="6"/>
      <name val="Calibri"/>
      <family val="2"/>
    </font>
    <font>
      <b/>
      <sz val="7"/>
      <name val="Calibri"/>
      <family val="2"/>
    </font>
    <font>
      <b/>
      <sz val="5"/>
      <name val="Calibri"/>
      <family val="2"/>
    </font>
    <font>
      <i/>
      <sz val="9"/>
      <name val="Calibri"/>
      <family val="2"/>
    </font>
    <font>
      <i/>
      <sz val="8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b/>
      <sz val="6"/>
      <color theme="1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/>
      <right/>
      <top/>
      <bottom style="hair">
        <color indexed="2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12"/>
      </left>
      <right style="thin">
        <color indexed="12"/>
      </right>
      <top/>
      <bottom style="thin">
        <color indexed="1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hair"/>
    </border>
    <border>
      <left/>
      <right style="thin">
        <color indexed="48"/>
      </right>
      <top/>
      <bottom style="thin">
        <color indexed="48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48"/>
      </left>
      <right style="thin">
        <color indexed="48"/>
      </right>
      <top/>
      <bottom style="thin">
        <color indexed="48"/>
      </bottom>
    </border>
    <border>
      <left/>
      <right/>
      <top/>
      <bottom style="thin">
        <color indexed="4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2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9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49" fontId="34" fillId="0" borderId="0">
      <alignment/>
      <protection/>
    </xf>
    <xf numFmtId="49" fontId="34" fillId="0" borderId="0">
      <alignment/>
      <protection/>
    </xf>
    <xf numFmtId="49" fontId="34" fillId="0" borderId="0">
      <alignment/>
      <protection/>
    </xf>
    <xf numFmtId="49" fontId="34" fillId="0" borderId="0">
      <alignment/>
      <protection/>
    </xf>
    <xf numFmtId="49" fontId="34" fillId="0" borderId="0">
      <alignment/>
      <protection/>
    </xf>
    <xf numFmtId="49" fontId="34" fillId="0" borderId="0">
      <alignment/>
      <protection/>
    </xf>
    <xf numFmtId="49" fontId="34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8" fillId="2" borderId="0" applyProtection="0">
      <alignment/>
    </xf>
    <xf numFmtId="0" fontId="8" fillId="3" borderId="0" applyProtection="0">
      <alignment/>
    </xf>
    <xf numFmtId="0" fontId="8" fillId="3" borderId="0" applyProtection="0">
      <alignment/>
    </xf>
    <xf numFmtId="0" fontId="8" fillId="3" borderId="0" applyProtection="0">
      <alignment/>
    </xf>
    <xf numFmtId="168" fontId="1" fillId="0" borderId="0" applyFill="0" applyBorder="0" applyAlignment="0" applyProtection="0"/>
    <xf numFmtId="6" fontId="35" fillId="0" borderId="0" applyFont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6" fontId="35" fillId="0" borderId="0" applyFont="0" applyFill="0" applyBorder="0" applyAlignment="0" applyProtection="0"/>
    <xf numFmtId="6" fontId="35" fillId="0" borderId="0" applyFont="0" applyFill="0" applyBorder="0" applyAlignment="0" applyProtection="0"/>
    <xf numFmtId="168" fontId="1" fillId="0" borderId="0" applyFill="0" applyBorder="0" applyAlignment="0" applyProtection="0"/>
    <xf numFmtId="6" fontId="35" fillId="0" borderId="0" applyFont="0" applyFill="0" applyBorder="0" applyAlignment="0" applyProtection="0"/>
    <xf numFmtId="6" fontId="35" fillId="0" borderId="0" applyFont="0" applyFill="0" applyBorder="0" applyAlignment="0" applyProtection="0"/>
    <xf numFmtId="6" fontId="35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9" fontId="1" fillId="0" borderId="0" applyFill="0" applyBorder="0" applyAlignment="0" applyProtection="0"/>
    <xf numFmtId="8" fontId="35" fillId="0" borderId="0" applyFont="0" applyFill="0" applyBorder="0" applyAlignment="0" applyProtection="0"/>
    <xf numFmtId="169" fontId="1" fillId="0" borderId="0" applyFill="0" applyBorder="0" applyAlignment="0" applyProtection="0"/>
    <xf numFmtId="169" fontId="1" fillId="0" borderId="0" applyFill="0" applyBorder="0" applyAlignment="0" applyProtection="0"/>
    <xf numFmtId="169" fontId="1" fillId="0" borderId="0" applyFill="0" applyBorder="0" applyAlignment="0" applyProtection="0"/>
    <xf numFmtId="169" fontId="1" fillId="0" borderId="0" applyFill="0" applyBorder="0" applyAlignment="0" applyProtection="0"/>
    <xf numFmtId="8" fontId="35" fillId="0" borderId="0" applyFont="0" applyFill="0" applyBorder="0" applyAlignment="0" applyProtection="0"/>
    <xf numFmtId="8" fontId="35" fillId="0" borderId="0" applyFont="0" applyFill="0" applyBorder="0" applyAlignment="0" applyProtection="0"/>
    <xf numFmtId="169" fontId="1" fillId="0" borderId="0" applyFill="0" applyBorder="0" applyAlignment="0" applyProtection="0"/>
    <xf numFmtId="8" fontId="35" fillId="0" borderId="0" applyFont="0" applyFill="0" applyBorder="0" applyAlignment="0" applyProtection="0"/>
    <xf numFmtId="8" fontId="35" fillId="0" borderId="0" applyFont="0" applyFill="0" applyBorder="0" applyAlignment="0" applyProtection="0"/>
    <xf numFmtId="8" fontId="35" fillId="0" borderId="0" applyFont="0" applyFill="0" applyBorder="0" applyAlignment="0" applyProtection="0"/>
    <xf numFmtId="0" fontId="8" fillId="3" borderId="0" applyProtection="0">
      <alignment/>
    </xf>
    <xf numFmtId="0" fontId="8" fillId="3" borderId="0" applyProtection="0">
      <alignment/>
    </xf>
    <xf numFmtId="0" fontId="8" fillId="3" borderId="0" applyProtection="0">
      <alignment/>
    </xf>
    <xf numFmtId="0" fontId="9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4" fillId="0" borderId="0" applyProtection="0">
      <alignment/>
    </xf>
    <xf numFmtId="0" fontId="4" fillId="0" borderId="0" applyProtection="0">
      <alignment/>
    </xf>
    <xf numFmtId="0" fontId="4" fillId="0" borderId="0" applyProtection="0">
      <alignment/>
    </xf>
    <xf numFmtId="0" fontId="4" fillId="0" borderId="0" applyProtection="0">
      <alignment/>
    </xf>
    <xf numFmtId="0" fontId="4" fillId="0" borderId="0" applyProtection="0">
      <alignment/>
    </xf>
    <xf numFmtId="0" fontId="4" fillId="0" borderId="0" applyProtection="0">
      <alignment/>
    </xf>
    <xf numFmtId="0" fontId="4" fillId="0" borderId="0" applyProtection="0">
      <alignment/>
    </xf>
    <xf numFmtId="49" fontId="4" fillId="0" borderId="1">
      <alignment/>
      <protection/>
    </xf>
    <xf numFmtId="168" fontId="1" fillId="0" borderId="0" applyFill="0" applyBorder="0" applyAlignment="0" applyProtection="0"/>
    <xf numFmtId="49" fontId="4" fillId="0" borderId="2">
      <alignment/>
      <protection/>
    </xf>
    <xf numFmtId="49" fontId="4" fillId="0" borderId="2">
      <alignment/>
      <protection/>
    </xf>
    <xf numFmtId="49" fontId="4" fillId="0" borderId="2">
      <alignment/>
      <protection/>
    </xf>
    <xf numFmtId="49" fontId="4" fillId="0" borderId="2">
      <alignment/>
      <protection/>
    </xf>
    <xf numFmtId="49" fontId="4" fillId="0" borderId="2">
      <alignment/>
      <protection/>
    </xf>
    <xf numFmtId="49" fontId="4" fillId="0" borderId="2">
      <alignment/>
      <protection/>
    </xf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1" fontId="7" fillId="0" borderId="3" applyAlignment="0">
      <protection/>
    </xf>
    <xf numFmtId="0" fontId="1" fillId="0" borderId="0" applyNumberFormat="0" applyFill="0" applyBorder="0" applyAlignment="0">
      <protection/>
    </xf>
    <xf numFmtId="0" fontId="20" fillId="0" borderId="4" applyNumberFormat="0" applyFill="0" applyAlignment="0" applyProtection="0"/>
    <xf numFmtId="38" fontId="1" fillId="0" borderId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49" fontId="36" fillId="18" borderId="5">
      <alignment horizontal="center"/>
      <protection locked="0"/>
    </xf>
    <xf numFmtId="170" fontId="1" fillId="0" borderId="0" applyFill="0" applyBorder="0" applyAlignment="0" applyProtection="0"/>
    <xf numFmtId="171" fontId="1" fillId="0" borderId="0" applyFill="0" applyBorder="0" applyAlignment="0" applyProtection="0"/>
    <xf numFmtId="172" fontId="1" fillId="0" borderId="0" applyFill="0" applyBorder="0" applyAlignment="0" applyProtection="0"/>
    <xf numFmtId="173" fontId="1" fillId="0" borderId="0" applyFill="0" applyBorder="0" applyAlignment="0" applyProtection="0"/>
    <xf numFmtId="0" fontId="2" fillId="0" borderId="0">
      <alignment/>
      <protection/>
    </xf>
    <xf numFmtId="0" fontId="10" fillId="0" borderId="0">
      <alignment/>
      <protection/>
    </xf>
    <xf numFmtId="0" fontId="37" fillId="0" borderId="0">
      <alignment/>
      <protection/>
    </xf>
    <xf numFmtId="0" fontId="38" fillId="18" borderId="5">
      <alignment horizontal="center"/>
      <protection locked="0"/>
    </xf>
    <xf numFmtId="0" fontId="21" fillId="19" borderId="6" applyNumberFormat="0" applyAlignment="0" applyProtection="0"/>
    <xf numFmtId="0" fontId="39" fillId="0" borderId="7" applyNumberFormat="0" applyFont="0" applyFill="0" applyProtection="0">
      <alignment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6" fillId="18" borderId="8">
      <alignment/>
      <protection locked="0"/>
    </xf>
    <xf numFmtId="0" fontId="22" fillId="0" borderId="9" applyNumberFormat="0" applyFill="0" applyAlignment="0" applyProtection="0"/>
    <xf numFmtId="0" fontId="23" fillId="0" borderId="10" applyNumberFormat="0" applyFill="0" applyAlignment="0" applyProtection="0"/>
    <xf numFmtId="0" fontId="24" fillId="0" borderId="11" applyNumberFormat="0" applyFill="0" applyAlignment="0" applyProtection="0"/>
    <xf numFmtId="0" fontId="24" fillId="0" borderId="0" applyNumberFormat="0" applyFill="0" applyBorder="0" applyAlignment="0" applyProtection="0"/>
    <xf numFmtId="0" fontId="40" fillId="20" borderId="12">
      <alignment horizontal="centerContinuous"/>
      <protection locked="0"/>
    </xf>
    <xf numFmtId="0" fontId="40" fillId="20" borderId="12">
      <alignment horizontal="center"/>
      <protection locked="0"/>
    </xf>
    <xf numFmtId="4" fontId="41" fillId="18" borderId="13">
      <alignment/>
      <protection/>
    </xf>
    <xf numFmtId="0" fontId="25" fillId="0" borderId="0" applyNumberFormat="0" applyFill="0" applyBorder="0" applyAlignment="0" applyProtection="0"/>
    <xf numFmtId="0" fontId="26" fillId="2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9" fillId="0" borderId="0">
      <alignment/>
      <protection/>
    </xf>
    <xf numFmtId="0" fontId="17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8" fillId="0" borderId="0" applyAlignment="0">
      <protection locked="0"/>
    </xf>
    <xf numFmtId="0" fontId="4" fillId="0" borderId="0">
      <alignment/>
      <protection/>
    </xf>
    <xf numFmtId="0" fontId="42" fillId="0" borderId="0">
      <alignment/>
      <protection/>
    </xf>
    <xf numFmtId="0" fontId="36" fillId="18" borderId="14">
      <alignment/>
      <protection locked="0"/>
    </xf>
    <xf numFmtId="0" fontId="1" fillId="22" borderId="15" applyNumberFormat="0" applyFont="0" applyAlignment="0" applyProtection="0"/>
    <xf numFmtId="0" fontId="27" fillId="0" borderId="16" applyNumberFormat="0" applyFill="0" applyAlignment="0" applyProtection="0"/>
    <xf numFmtId="1" fontId="4" fillId="0" borderId="0">
      <alignment horizontal="center" vertical="center"/>
      <protection locked="0"/>
    </xf>
    <xf numFmtId="0" fontId="28" fillId="6" borderId="0" applyNumberFormat="0" applyBorder="0" applyAlignment="0" applyProtection="0"/>
    <xf numFmtId="0" fontId="35" fillId="0" borderId="0">
      <alignment/>
      <protection/>
    </xf>
    <xf numFmtId="0" fontId="6" fillId="23" borderId="0">
      <alignment horizontal="left"/>
      <protection/>
    </xf>
    <xf numFmtId="0" fontId="16" fillId="23" borderId="0">
      <alignment/>
      <protection/>
    </xf>
    <xf numFmtId="0" fontId="9" fillId="0" borderId="0">
      <alignment/>
      <protection/>
    </xf>
    <xf numFmtId="4" fontId="40" fillId="20" borderId="17">
      <alignment horizontal="right" vertical="center"/>
      <protection/>
    </xf>
    <xf numFmtId="0" fontId="29" fillId="0" borderId="0" applyNumberFormat="0" applyFill="0" applyBorder="0" applyAlignment="0" applyProtection="0"/>
    <xf numFmtId="0" fontId="6" fillId="0" borderId="0">
      <alignment/>
      <protection/>
    </xf>
    <xf numFmtId="166" fontId="8" fillId="0" borderId="1">
      <alignment horizontal="right" vertical="center"/>
      <protection/>
    </xf>
    <xf numFmtId="0" fontId="30" fillId="9" borderId="18" applyNumberFormat="0" applyAlignment="0" applyProtection="0"/>
    <xf numFmtId="0" fontId="31" fillId="24" borderId="18" applyNumberFormat="0" applyAlignment="0" applyProtection="0"/>
    <xf numFmtId="0" fontId="32" fillId="24" borderId="19" applyNumberFormat="0" applyAlignment="0" applyProtection="0"/>
    <xf numFmtId="0" fontId="33" fillId="0" borderId="0" applyNumberFormat="0" applyFill="0" applyBorder="0" applyAlignment="0" applyProtection="0"/>
    <xf numFmtId="174" fontId="1" fillId="0" borderId="0" applyFill="0" applyBorder="0" applyAlignment="0" applyProtection="0"/>
    <xf numFmtId="175" fontId="1" fillId="0" borderId="0" applyFill="0" applyBorder="0" applyAlignment="0" applyProtection="0"/>
    <xf numFmtId="176" fontId="1" fillId="0" borderId="0" applyFill="0" applyBorder="0" applyAlignment="0" applyProtection="0"/>
    <xf numFmtId="177" fontId="1" fillId="0" borderId="0" applyFill="0" applyBorder="0" applyAlignment="0" applyProtection="0"/>
    <xf numFmtId="0" fontId="4" fillId="0" borderId="0">
      <alignment/>
      <protection/>
    </xf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28" borderId="0" applyNumberFormat="0" applyBorder="0" applyAlignment="0" applyProtection="0"/>
    <xf numFmtId="0" fontId="6" fillId="2" borderId="0" applyProtection="0">
      <alignment/>
    </xf>
    <xf numFmtId="44" fontId="0" fillId="0" borderId="0" applyFont="0" applyFill="0" applyBorder="0" applyAlignment="0" applyProtection="0"/>
  </cellStyleXfs>
  <cellXfs count="257">
    <xf numFmtId="0" fontId="0" fillId="0" borderId="0" xfId="0"/>
    <xf numFmtId="0" fontId="9" fillId="0" borderId="0" xfId="0" applyFont="1"/>
    <xf numFmtId="0" fontId="10" fillId="0" borderId="0" xfId="0" applyFont="1" applyAlignment="1">
      <alignment horizontal="center"/>
    </xf>
    <xf numFmtId="0" fontId="4" fillId="0" borderId="0" xfId="0" applyFont="1"/>
    <xf numFmtId="0" fontId="8" fillId="0" borderId="0" xfId="0" applyFont="1" applyAlignment="1">
      <alignment horizontal="left" vertical="top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 vertical="top"/>
    </xf>
    <xf numFmtId="0" fontId="12" fillId="0" borderId="0" xfId="0" applyFont="1" applyAlignment="1">
      <alignment horizontal="center"/>
    </xf>
    <xf numFmtId="0" fontId="6" fillId="0" borderId="0" xfId="0" applyFont="1"/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11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43" fillId="0" borderId="0" xfId="0" applyFont="1" applyAlignment="1">
      <alignment horizontal="center" wrapText="1"/>
    </xf>
    <xf numFmtId="0" fontId="57" fillId="0" borderId="0" xfId="0" applyFont="1" applyAlignment="1">
      <alignment horizontal="center" wrapText="1"/>
    </xf>
    <xf numFmtId="49" fontId="44" fillId="0" borderId="0" xfId="0" applyNumberFormat="1" applyFont="1" applyAlignment="1" applyProtection="1">
      <alignment horizontal="center" vertical="center" wrapText="1"/>
      <protection hidden="1"/>
    </xf>
    <xf numFmtId="0" fontId="48" fillId="0" borderId="0" xfId="0" applyFont="1" applyAlignment="1" applyProtection="1">
      <alignment horizontal="left" vertical="top" wrapText="1"/>
      <protection hidden="1"/>
    </xf>
    <xf numFmtId="49" fontId="48" fillId="0" borderId="0" xfId="0" applyNumberFormat="1" applyFont="1" applyAlignment="1" applyProtection="1">
      <alignment horizontal="left" vertical="top" wrapText="1"/>
      <protection hidden="1"/>
    </xf>
    <xf numFmtId="0" fontId="56" fillId="0" borderId="0" xfId="0" applyFont="1" applyAlignment="1" applyProtection="1">
      <alignment horizontal="center" wrapText="1"/>
      <protection hidden="1"/>
    </xf>
    <xf numFmtId="0" fontId="3" fillId="0" borderId="0" xfId="0" applyFont="1" applyAlignment="1" applyProtection="1">
      <alignment horizontal="center" vertical="center" wrapText="1"/>
      <protection hidden="1"/>
    </xf>
    <xf numFmtId="2" fontId="44" fillId="0" borderId="0" xfId="0" applyNumberFormat="1" applyFont="1" applyAlignment="1" applyProtection="1">
      <alignment horizontal="right" wrapText="1"/>
      <protection hidden="1"/>
    </xf>
    <xf numFmtId="2" fontId="44" fillId="0" borderId="0" xfId="0" applyNumberFormat="1" applyFont="1" applyAlignment="1" applyProtection="1">
      <alignment horizontal="center" wrapText="1"/>
      <protection hidden="1"/>
    </xf>
    <xf numFmtId="180" fontId="44" fillId="0" borderId="0" xfId="0" applyNumberFormat="1" applyFont="1" applyAlignment="1" applyProtection="1">
      <alignment wrapText="1"/>
      <protection hidden="1"/>
    </xf>
    <xf numFmtId="0" fontId="49" fillId="0" borderId="0" xfId="0" applyFont="1" applyProtection="1">
      <protection hidden="1"/>
    </xf>
    <xf numFmtId="179" fontId="3" fillId="0" borderId="0" xfId="0" applyNumberFormat="1" applyFont="1" applyAlignment="1" applyProtection="1">
      <alignment wrapText="1"/>
      <protection hidden="1"/>
    </xf>
    <xf numFmtId="0" fontId="44" fillId="0" borderId="0" xfId="0" applyFont="1" applyAlignment="1" applyProtection="1">
      <alignment wrapText="1"/>
      <protection hidden="1"/>
    </xf>
    <xf numFmtId="165" fontId="44" fillId="0" borderId="0" xfId="0" applyNumberFormat="1" applyFont="1" applyAlignment="1" applyProtection="1">
      <alignment wrapText="1"/>
      <protection hidden="1"/>
    </xf>
    <xf numFmtId="0" fontId="47" fillId="0" borderId="0" xfId="0" applyFont="1" applyAlignment="1" applyProtection="1">
      <alignment horizontal="center" wrapText="1"/>
      <protection hidden="1"/>
    </xf>
    <xf numFmtId="2" fontId="47" fillId="0" borderId="0" xfId="0" applyNumberFormat="1" applyFont="1" applyAlignment="1" applyProtection="1">
      <alignment horizontal="center" wrapText="1"/>
      <protection hidden="1"/>
    </xf>
    <xf numFmtId="2" fontId="47" fillId="0" borderId="0" xfId="0" applyNumberFormat="1" applyFont="1" applyAlignment="1" applyProtection="1">
      <alignment wrapText="1"/>
      <protection hidden="1"/>
    </xf>
    <xf numFmtId="180" fontId="47" fillId="0" borderId="0" xfId="0" applyNumberFormat="1" applyFont="1" applyAlignment="1" applyProtection="1">
      <alignment wrapText="1"/>
      <protection hidden="1"/>
    </xf>
    <xf numFmtId="0" fontId="44" fillId="0" borderId="0" xfId="0" applyFont="1" applyAlignment="1" applyProtection="1">
      <alignment horizontal="center" wrapText="1"/>
      <protection hidden="1"/>
    </xf>
    <xf numFmtId="0" fontId="44" fillId="0" borderId="0" xfId="0" applyFont="1" applyAlignment="1" applyProtection="1">
      <alignment horizontal="center" vertical="center" wrapText="1"/>
      <protection hidden="1"/>
    </xf>
    <xf numFmtId="0" fontId="47" fillId="0" borderId="0" xfId="0" applyFont="1" applyAlignment="1" applyProtection="1">
      <alignment wrapText="1"/>
      <protection hidden="1"/>
    </xf>
    <xf numFmtId="0" fontId="48" fillId="0" borderId="0" xfId="200" applyFont="1" applyAlignment="1" applyProtection="1">
      <alignment horizontal="left" vertical="top" wrapText="1"/>
      <protection hidden="1"/>
    </xf>
    <xf numFmtId="49" fontId="48" fillId="0" borderId="0" xfId="200" applyNumberFormat="1" applyFont="1" applyAlignment="1" applyProtection="1">
      <alignment horizontal="left" vertical="top" wrapText="1"/>
      <protection hidden="1"/>
    </xf>
    <xf numFmtId="0" fontId="47" fillId="0" borderId="0" xfId="200" applyFont="1" applyAlignment="1" applyProtection="1">
      <alignment horizontal="center" wrapText="1"/>
      <protection hidden="1"/>
    </xf>
    <xf numFmtId="0" fontId="3" fillId="0" borderId="0" xfId="200" applyFont="1" applyAlignment="1" applyProtection="1">
      <alignment horizontal="center" vertical="center" wrapText="1"/>
      <protection hidden="1"/>
    </xf>
    <xf numFmtId="2" fontId="44" fillId="0" borderId="0" xfId="200" applyNumberFormat="1" applyFont="1" applyAlignment="1" applyProtection="1">
      <alignment horizontal="right" wrapText="1"/>
      <protection hidden="1"/>
    </xf>
    <xf numFmtId="2" fontId="44" fillId="0" borderId="0" xfId="200" applyNumberFormat="1" applyFont="1" applyAlignment="1" applyProtection="1">
      <alignment horizontal="center" wrapText="1"/>
      <protection hidden="1"/>
    </xf>
    <xf numFmtId="180" fontId="44" fillId="0" borderId="0" xfId="200" applyNumberFormat="1" applyFont="1" applyAlignment="1" applyProtection="1">
      <alignment wrapText="1"/>
      <protection hidden="1"/>
    </xf>
    <xf numFmtId="0" fontId="47" fillId="0" borderId="0" xfId="200" applyFont="1" applyAlignment="1" applyProtection="1">
      <alignment horizontal="left" wrapText="1"/>
      <protection hidden="1"/>
    </xf>
    <xf numFmtId="179" fontId="47" fillId="0" borderId="0" xfId="0" applyNumberFormat="1" applyFont="1" applyAlignment="1" applyProtection="1">
      <alignment wrapText="1"/>
      <protection hidden="1"/>
    </xf>
    <xf numFmtId="0" fontId="44" fillId="0" borderId="0" xfId="200" applyFont="1" applyAlignment="1" applyProtection="1">
      <alignment wrapText="1"/>
      <protection hidden="1"/>
    </xf>
    <xf numFmtId="0" fontId="44" fillId="0" borderId="0" xfId="200" applyFont="1" applyAlignment="1" applyProtection="1">
      <alignment horizontal="left" wrapText="1"/>
      <protection hidden="1"/>
    </xf>
    <xf numFmtId="0" fontId="44" fillId="0" borderId="0" xfId="0" applyFont="1" applyProtection="1">
      <protection hidden="1"/>
    </xf>
    <xf numFmtId="2" fontId="44" fillId="0" borderId="0" xfId="0" applyNumberFormat="1" applyFont="1" applyAlignment="1" applyProtection="1">
      <alignment horizontal="right" vertical="center" wrapText="1"/>
      <protection hidden="1"/>
    </xf>
    <xf numFmtId="2" fontId="44" fillId="0" borderId="0" xfId="0" applyNumberFormat="1" applyFont="1" applyAlignment="1" applyProtection="1">
      <alignment horizontal="center" vertical="center" wrapText="1"/>
      <protection hidden="1"/>
    </xf>
    <xf numFmtId="49" fontId="44" fillId="0" borderId="0" xfId="0" applyNumberFormat="1" applyFont="1" applyAlignment="1" applyProtection="1">
      <alignment horizontal="center" vertical="center"/>
      <protection hidden="1"/>
    </xf>
    <xf numFmtId="0" fontId="48" fillId="0" borderId="0" xfId="0" applyFont="1" applyAlignment="1" applyProtection="1">
      <alignment horizontal="left" vertical="top"/>
      <protection hidden="1"/>
    </xf>
    <xf numFmtId="49" fontId="48" fillId="0" borderId="0" xfId="0" applyNumberFormat="1" applyFont="1" applyAlignment="1" applyProtection="1">
      <alignment horizontal="left" vertical="top"/>
      <protection hidden="1"/>
    </xf>
    <xf numFmtId="0" fontId="47" fillId="0" borderId="0" xfId="0" applyFont="1" applyAlignment="1" applyProtection="1">
      <alignment horizontal="right" wrapText="1"/>
      <protection hidden="1"/>
    </xf>
    <xf numFmtId="2" fontId="44" fillId="0" borderId="0" xfId="0" applyNumberFormat="1" applyFont="1" applyAlignment="1" applyProtection="1">
      <alignment horizontal="right"/>
      <protection hidden="1"/>
    </xf>
    <xf numFmtId="2" fontId="44" fillId="0" borderId="0" xfId="0" applyNumberFormat="1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180" fontId="47" fillId="0" borderId="0" xfId="0" applyNumberFormat="1" applyFont="1" applyProtection="1">
      <protection hidden="1"/>
    </xf>
    <xf numFmtId="0" fontId="44" fillId="0" borderId="0" xfId="0" applyFont="1" applyAlignment="1" applyProtection="1">
      <alignment horizontal="right" wrapText="1"/>
      <protection hidden="1"/>
    </xf>
    <xf numFmtId="2" fontId="47" fillId="0" borderId="0" xfId="0" applyNumberFormat="1" applyFont="1" applyAlignment="1" applyProtection="1">
      <alignment horizontal="right"/>
      <protection hidden="1"/>
    </xf>
    <xf numFmtId="2" fontId="47" fillId="0" borderId="0" xfId="0" applyNumberFormat="1" applyFont="1" applyAlignment="1" applyProtection="1">
      <alignment horizontal="center"/>
      <protection hidden="1"/>
    </xf>
    <xf numFmtId="0" fontId="47" fillId="0" borderId="0" xfId="0" applyFont="1" applyAlignment="1" applyProtection="1">
      <alignment horizontal="right"/>
      <protection hidden="1"/>
    </xf>
    <xf numFmtId="180" fontId="44" fillId="0" borderId="0" xfId="0" applyNumberFormat="1" applyFont="1" applyProtection="1">
      <protection hidden="1"/>
    </xf>
    <xf numFmtId="49" fontId="3" fillId="0" borderId="2" xfId="0" applyNumberFormat="1" applyFont="1" applyBorder="1" applyAlignment="1" applyProtection="1">
      <alignment horizontal="center" vertical="center" wrapText="1"/>
      <protection hidden="1"/>
    </xf>
    <xf numFmtId="0" fontId="48" fillId="0" borderId="2" xfId="0" applyFont="1" applyBorder="1" applyAlignment="1" applyProtection="1">
      <alignment horizontal="center" vertical="center" wrapText="1"/>
      <protection hidden="1"/>
    </xf>
    <xf numFmtId="49" fontId="48" fillId="0" borderId="2" xfId="0" applyNumberFormat="1" applyFont="1" applyBorder="1" applyAlignment="1" applyProtection="1">
      <alignment horizontal="left" vertical="top" wrapText="1"/>
      <protection hidden="1"/>
    </xf>
    <xf numFmtId="0" fontId="44" fillId="0" borderId="2" xfId="0" applyFont="1" applyBorder="1" applyAlignment="1" applyProtection="1">
      <alignment horizontal="center" vertical="center" wrapText="1"/>
      <protection hidden="1"/>
    </xf>
    <xf numFmtId="0" fontId="3" fillId="0" borderId="2" xfId="0" applyFont="1" applyBorder="1" applyAlignment="1" applyProtection="1">
      <alignment horizontal="center" vertical="center" wrapText="1"/>
      <protection hidden="1"/>
    </xf>
    <xf numFmtId="2" fontId="44" fillId="0" borderId="2" xfId="0" applyNumberFormat="1" applyFont="1" applyBorder="1" applyAlignment="1" applyProtection="1">
      <alignment horizontal="center" vertical="center" wrapText="1"/>
      <protection hidden="1"/>
    </xf>
    <xf numFmtId="180" fontId="3" fillId="0" borderId="2" xfId="0" applyNumberFormat="1" applyFont="1" applyBorder="1" applyAlignment="1" applyProtection="1">
      <alignment horizontal="center" vertical="center" wrapText="1"/>
      <protection hidden="1"/>
    </xf>
    <xf numFmtId="179" fontId="3" fillId="0" borderId="0" xfId="0" applyNumberFormat="1" applyFont="1" applyAlignment="1" applyProtection="1">
      <alignment horizontal="center" vertical="center" wrapText="1"/>
      <protection hidden="1"/>
    </xf>
    <xf numFmtId="3" fontId="3" fillId="0" borderId="0" xfId="0" applyNumberFormat="1" applyFont="1" applyAlignment="1" applyProtection="1">
      <alignment horizontal="center" vertical="center" wrapText="1"/>
      <protection hidden="1"/>
    </xf>
    <xf numFmtId="4" fontId="48" fillId="0" borderId="0" xfId="0" applyNumberFormat="1" applyFont="1" applyAlignment="1" applyProtection="1">
      <alignment horizontal="center" vertical="center" wrapText="1"/>
      <protection hidden="1"/>
    </xf>
    <xf numFmtId="49" fontId="3" fillId="0" borderId="0" xfId="0" applyNumberFormat="1" applyFont="1" applyAlignment="1" applyProtection="1">
      <alignment wrapText="1"/>
      <protection hidden="1"/>
    </xf>
    <xf numFmtId="4" fontId="44" fillId="0" borderId="0" xfId="0" applyNumberFormat="1" applyFont="1" applyAlignment="1" applyProtection="1">
      <alignment horizontal="center" vertical="center" wrapText="1"/>
      <protection hidden="1"/>
    </xf>
    <xf numFmtId="0" fontId="44" fillId="0" borderId="0" xfId="236" applyFont="1" applyAlignment="1" applyProtection="1">
      <alignment horizontal="left" wrapText="1"/>
      <protection hidden="1"/>
    </xf>
    <xf numFmtId="0" fontId="44" fillId="0" borderId="0" xfId="0" applyFont="1" applyAlignment="1" applyProtection="1">
      <alignment vertical="top" wrapText="1"/>
      <protection hidden="1"/>
    </xf>
    <xf numFmtId="0" fontId="50" fillId="0" borderId="0" xfId="200" applyFont="1" applyAlignment="1" applyProtection="1">
      <alignment horizontal="center" vertical="center" wrapText="1"/>
      <protection hidden="1"/>
    </xf>
    <xf numFmtId="2" fontId="47" fillId="0" borderId="0" xfId="200" applyNumberFormat="1" applyFont="1" applyAlignment="1" applyProtection="1">
      <alignment horizontal="right" wrapText="1"/>
      <protection hidden="1"/>
    </xf>
    <xf numFmtId="180" fontId="47" fillId="0" borderId="0" xfId="200" applyNumberFormat="1" applyFont="1" applyAlignment="1" applyProtection="1">
      <alignment horizontal="center" wrapText="1"/>
      <protection hidden="1"/>
    </xf>
    <xf numFmtId="0" fontId="44" fillId="0" borderId="0" xfId="200" applyFont="1" applyAlignment="1" applyProtection="1">
      <alignment horizontal="left" vertical="top" wrapText="1"/>
      <protection hidden="1"/>
    </xf>
    <xf numFmtId="180" fontId="47" fillId="0" borderId="0" xfId="200" applyNumberFormat="1" applyFont="1" applyAlignment="1" applyProtection="1">
      <alignment wrapText="1"/>
      <protection hidden="1"/>
    </xf>
    <xf numFmtId="2" fontId="44" fillId="0" borderId="0" xfId="200" applyNumberFormat="1" applyFont="1" applyAlignment="1" applyProtection="1">
      <alignment horizontal="center" wrapText="1"/>
      <protection hidden="1" locked="0"/>
    </xf>
    <xf numFmtId="0" fontId="46" fillId="0" borderId="0" xfId="200" applyFont="1" applyAlignment="1" applyProtection="1">
      <alignment horizontal="center" wrapText="1"/>
      <protection hidden="1"/>
    </xf>
    <xf numFmtId="0" fontId="45" fillId="0" borderId="0" xfId="236" applyFont="1" applyAlignment="1" applyProtection="1">
      <alignment horizontal="left" wrapText="1"/>
      <protection hidden="1"/>
    </xf>
    <xf numFmtId="179" fontId="50" fillId="0" borderId="0" xfId="0" applyNumberFormat="1" applyFont="1" applyAlignment="1" applyProtection="1">
      <alignment horizontal="center" wrapText="1"/>
      <protection hidden="1"/>
    </xf>
    <xf numFmtId="0" fontId="45" fillId="0" borderId="0" xfId="200" applyFont="1" applyAlignment="1" applyProtection="1">
      <alignment horizontal="left" vertical="top" wrapText="1"/>
      <protection hidden="1"/>
    </xf>
    <xf numFmtId="2" fontId="44" fillId="0" borderId="0" xfId="200" applyNumberFormat="1" applyFont="1" applyAlignment="1" applyProtection="1">
      <alignment horizontal="right"/>
      <protection hidden="1"/>
    </xf>
    <xf numFmtId="0" fontId="45" fillId="0" borderId="0" xfId="0" applyFont="1" applyAlignment="1" applyProtection="1">
      <alignment vertical="center" wrapText="1"/>
      <protection hidden="1"/>
    </xf>
    <xf numFmtId="2" fontId="47" fillId="0" borderId="0" xfId="200" applyNumberFormat="1" applyFont="1" applyAlignment="1" applyProtection="1">
      <alignment horizontal="center" wrapText="1"/>
      <protection hidden="1"/>
    </xf>
    <xf numFmtId="2" fontId="44" fillId="0" borderId="0" xfId="200" applyNumberFormat="1" applyFont="1" applyAlignment="1" applyProtection="1">
      <alignment horizontal="center" vertical="center" wrapText="1"/>
      <protection hidden="1"/>
    </xf>
    <xf numFmtId="2" fontId="44" fillId="0" borderId="0" xfId="200" applyNumberFormat="1" applyFont="1" applyAlignment="1" applyProtection="1">
      <alignment horizontal="right" vertical="center" wrapText="1"/>
      <protection hidden="1"/>
    </xf>
    <xf numFmtId="2" fontId="44" fillId="0" borderId="0" xfId="200" applyNumberFormat="1" applyFont="1" applyAlignment="1" applyProtection="1">
      <alignment horizontal="right" vertical="top" wrapText="1"/>
      <protection hidden="1"/>
    </xf>
    <xf numFmtId="2" fontId="44" fillId="0" borderId="0" xfId="200" applyNumberFormat="1" applyFont="1" applyAlignment="1" applyProtection="1">
      <alignment horizontal="center" vertical="top" wrapText="1"/>
      <protection hidden="1"/>
    </xf>
    <xf numFmtId="179" fontId="50" fillId="0" borderId="0" xfId="0" applyNumberFormat="1" applyFont="1" applyAlignment="1" applyProtection="1">
      <alignment horizontal="center" vertical="center" wrapText="1"/>
      <protection hidden="1"/>
    </xf>
    <xf numFmtId="180" fontId="47" fillId="0" borderId="0" xfId="200" applyNumberFormat="1" applyFont="1" applyAlignment="1" applyProtection="1">
      <alignment vertical="top" wrapText="1"/>
      <protection hidden="1"/>
    </xf>
    <xf numFmtId="179" fontId="3" fillId="0" borderId="0" xfId="0" applyNumberFormat="1" applyFont="1" applyAlignment="1" applyProtection="1">
      <alignment horizontal="right" wrapText="1"/>
      <protection hidden="1"/>
    </xf>
    <xf numFmtId="2" fontId="47" fillId="0" borderId="0" xfId="200" applyNumberFormat="1" applyFont="1" applyAlignment="1" applyProtection="1">
      <alignment horizontal="center" vertical="center" wrapText="1"/>
      <protection hidden="1"/>
    </xf>
    <xf numFmtId="2" fontId="44" fillId="0" borderId="0" xfId="200" applyNumberFormat="1" applyFont="1" applyAlignment="1" applyProtection="1">
      <alignment wrapText="1"/>
      <protection hidden="1"/>
    </xf>
    <xf numFmtId="0" fontId="46" fillId="0" borderId="0" xfId="200" applyFont="1" applyAlignment="1" applyProtection="1">
      <alignment horizontal="left" vertical="top" wrapText="1"/>
      <protection hidden="1"/>
    </xf>
    <xf numFmtId="0" fontId="46" fillId="0" borderId="0" xfId="200" applyFont="1" applyAlignment="1" applyProtection="1">
      <alignment horizontal="center" vertical="top" wrapText="1"/>
      <protection hidden="1"/>
    </xf>
    <xf numFmtId="2" fontId="47" fillId="0" borderId="0" xfId="200" applyNumberFormat="1" applyFont="1" applyAlignment="1" applyProtection="1">
      <alignment horizontal="center" vertical="top" wrapText="1"/>
      <protection hidden="1"/>
    </xf>
    <xf numFmtId="2" fontId="44" fillId="0" borderId="0" xfId="200" applyNumberFormat="1" applyFont="1" applyAlignment="1" applyProtection="1">
      <alignment horizontal="center" vertical="top" wrapText="1"/>
      <protection hidden="1" locked="0"/>
    </xf>
    <xf numFmtId="180" fontId="44" fillId="0" borderId="0" xfId="200" applyNumberFormat="1" applyFont="1" applyAlignment="1" applyProtection="1">
      <alignment vertical="top" wrapText="1"/>
      <protection hidden="1"/>
    </xf>
    <xf numFmtId="49" fontId="44" fillId="0" borderId="0" xfId="200" applyNumberFormat="1" applyFont="1" applyAlignment="1" applyProtection="1">
      <alignment horizontal="left" vertical="top" wrapText="1"/>
      <protection hidden="1"/>
    </xf>
    <xf numFmtId="49" fontId="50" fillId="0" borderId="0" xfId="200" applyNumberFormat="1" applyFont="1" applyAlignment="1" applyProtection="1">
      <alignment horizontal="center" vertical="center" wrapText="1"/>
      <protection hidden="1"/>
    </xf>
    <xf numFmtId="180" fontId="44" fillId="0" borderId="0" xfId="200" applyNumberFormat="1" applyFont="1" applyAlignment="1" applyProtection="1">
      <alignment horizontal="right" vertical="top" wrapText="1"/>
      <protection hidden="1"/>
    </xf>
    <xf numFmtId="0" fontId="47" fillId="0" borderId="0" xfId="200" applyFont="1" applyAlignment="1" applyProtection="1">
      <alignment horizontal="left" vertical="top" wrapText="1"/>
      <protection hidden="1"/>
    </xf>
    <xf numFmtId="0" fontId="45" fillId="0" borderId="0" xfId="200" applyFont="1" applyAlignment="1" applyProtection="1">
      <alignment horizontal="center" vertical="center" wrapText="1"/>
      <protection hidden="1"/>
    </xf>
    <xf numFmtId="2" fontId="45" fillId="0" borderId="0" xfId="200" applyNumberFormat="1" applyFont="1" applyAlignment="1" applyProtection="1">
      <alignment horizontal="center" wrapText="1"/>
      <protection hidden="1"/>
    </xf>
    <xf numFmtId="180" fontId="45" fillId="0" borderId="0" xfId="200" applyNumberFormat="1" applyFont="1" applyAlignment="1" applyProtection="1">
      <alignment wrapText="1"/>
      <protection hidden="1"/>
    </xf>
    <xf numFmtId="0" fontId="45" fillId="0" borderId="0" xfId="0" applyFont="1" applyAlignment="1" applyProtection="1">
      <alignment wrapText="1"/>
      <protection hidden="1"/>
    </xf>
    <xf numFmtId="165" fontId="45" fillId="0" borderId="0" xfId="0" applyNumberFormat="1" applyFont="1" applyAlignment="1" applyProtection="1">
      <alignment wrapText="1"/>
      <protection hidden="1"/>
    </xf>
    <xf numFmtId="0" fontId="46" fillId="0" borderId="0" xfId="200" applyFont="1" applyAlignment="1" applyProtection="1">
      <alignment horizontal="center" vertical="center" wrapText="1"/>
      <protection hidden="1"/>
    </xf>
    <xf numFmtId="181" fontId="47" fillId="0" borderId="0" xfId="200" applyNumberFormat="1" applyFont="1" applyAlignment="1" applyProtection="1">
      <alignment horizontal="center" wrapText="1"/>
      <protection hidden="1"/>
    </xf>
    <xf numFmtId="0" fontId="47" fillId="0" borderId="0" xfId="200" applyFont="1" applyAlignment="1" applyProtection="1">
      <alignment horizontal="left" vertical="center" wrapText="1"/>
      <protection hidden="1"/>
    </xf>
    <xf numFmtId="2" fontId="45" fillId="0" borderId="0" xfId="200" applyNumberFormat="1" applyFont="1" applyAlignment="1" applyProtection="1">
      <alignment horizontal="center" wrapText="1"/>
      <protection hidden="1" locked="0"/>
    </xf>
    <xf numFmtId="179" fontId="50" fillId="0" borderId="0" xfId="0" applyNumberFormat="1" applyFont="1" applyAlignment="1" applyProtection="1">
      <alignment wrapText="1"/>
      <protection hidden="1"/>
    </xf>
    <xf numFmtId="0" fontId="45" fillId="0" borderId="0" xfId="200" applyFont="1" applyAlignment="1" applyProtection="1">
      <alignment horizontal="left" vertical="center" wrapText="1"/>
      <protection hidden="1"/>
    </xf>
    <xf numFmtId="179" fontId="3" fillId="0" borderId="0" xfId="200" applyNumberFormat="1" applyFont="1" applyAlignment="1" applyProtection="1">
      <alignment wrapText="1"/>
      <protection hidden="1"/>
    </xf>
    <xf numFmtId="0" fontId="45" fillId="0" borderId="0" xfId="200" applyFont="1" applyAlignment="1" applyProtection="1">
      <alignment horizontal="left" wrapText="1"/>
      <protection hidden="1"/>
    </xf>
    <xf numFmtId="178" fontId="44" fillId="0" borderId="0" xfId="200" applyNumberFormat="1" applyFont="1" applyAlignment="1" applyProtection="1">
      <alignment horizontal="right" wrapText="1"/>
      <protection hidden="1"/>
    </xf>
    <xf numFmtId="0" fontId="44" fillId="0" borderId="0" xfId="200" applyFont="1" applyAlignment="1" applyProtection="1">
      <alignment horizontal="left" vertical="center" wrapText="1"/>
      <protection hidden="1"/>
    </xf>
    <xf numFmtId="0" fontId="46" fillId="0" borderId="0" xfId="200" applyFont="1" applyAlignment="1" applyProtection="1">
      <alignment horizontal="left" vertical="center" wrapText="1"/>
      <protection hidden="1"/>
    </xf>
    <xf numFmtId="178" fontId="47" fillId="0" borderId="0" xfId="200" applyNumberFormat="1" applyFont="1" applyAlignment="1" applyProtection="1">
      <alignment horizontal="right" wrapText="1"/>
      <protection hidden="1"/>
    </xf>
    <xf numFmtId="0" fontId="47" fillId="0" borderId="0" xfId="200" applyFont="1" applyAlignment="1" applyProtection="1">
      <alignment horizontal="center" vertical="center" wrapText="1"/>
      <protection hidden="1"/>
    </xf>
    <xf numFmtId="2" fontId="47" fillId="0" borderId="0" xfId="200" applyNumberFormat="1" applyFont="1" applyAlignment="1" applyProtection="1">
      <alignment horizontal="left" wrapText="1"/>
      <protection hidden="1"/>
    </xf>
    <xf numFmtId="178" fontId="47" fillId="0" borderId="0" xfId="200" applyNumberFormat="1" applyFont="1" applyAlignment="1" applyProtection="1">
      <alignment horizontal="center" vertical="center" wrapText="1"/>
      <protection hidden="1"/>
    </xf>
    <xf numFmtId="2" fontId="46" fillId="0" borderId="0" xfId="200" applyNumberFormat="1" applyFont="1" applyAlignment="1" applyProtection="1">
      <alignment horizontal="center" vertical="top" wrapText="1"/>
      <protection hidden="1"/>
    </xf>
    <xf numFmtId="49" fontId="52" fillId="0" borderId="0" xfId="200" applyNumberFormat="1" applyFont="1" applyAlignment="1" applyProtection="1">
      <alignment horizontal="center" vertical="center" wrapText="1"/>
      <protection hidden="1"/>
    </xf>
    <xf numFmtId="178" fontId="44" fillId="0" borderId="0" xfId="200" applyNumberFormat="1" applyFont="1" applyAlignment="1" applyProtection="1">
      <alignment horizontal="center" wrapText="1"/>
      <protection hidden="1"/>
    </xf>
    <xf numFmtId="2" fontId="46" fillId="0" borderId="0" xfId="200" applyNumberFormat="1" applyFont="1" applyAlignment="1" applyProtection="1">
      <alignment horizontal="left" vertical="top" wrapText="1"/>
      <protection hidden="1"/>
    </xf>
    <xf numFmtId="180" fontId="46" fillId="0" borderId="0" xfId="200" applyNumberFormat="1" applyFont="1" applyAlignment="1" applyProtection="1">
      <alignment wrapText="1"/>
      <protection hidden="1"/>
    </xf>
    <xf numFmtId="49" fontId="48" fillId="0" borderId="0" xfId="200" applyNumberFormat="1" applyFont="1" applyAlignment="1" applyProtection="1">
      <alignment horizontal="center" vertical="center" wrapText="1"/>
      <protection hidden="1"/>
    </xf>
    <xf numFmtId="2" fontId="45" fillId="0" borderId="0" xfId="0" applyNumberFormat="1" applyFont="1" applyAlignment="1" applyProtection="1">
      <alignment wrapText="1"/>
      <protection hidden="1"/>
    </xf>
    <xf numFmtId="49" fontId="48" fillId="0" borderId="0" xfId="200" applyNumberFormat="1" applyFont="1" applyAlignment="1" applyProtection="1">
      <alignment horizontal="center" vertical="top" wrapText="1"/>
      <protection hidden="1"/>
    </xf>
    <xf numFmtId="44" fontId="45" fillId="0" borderId="0" xfId="270" applyFont="1" applyFill="1" applyAlignment="1" applyProtection="1">
      <alignment horizontal="left" vertical="top" wrapText="1"/>
      <protection hidden="1"/>
    </xf>
    <xf numFmtId="49" fontId="52" fillId="0" borderId="0" xfId="200" applyNumberFormat="1" applyFont="1" applyAlignment="1" applyProtection="1">
      <alignment horizontal="center" wrapText="1"/>
      <protection hidden="1"/>
    </xf>
    <xf numFmtId="2" fontId="46" fillId="0" borderId="0" xfId="200" applyNumberFormat="1" applyFont="1" applyAlignment="1" applyProtection="1">
      <alignment horizontal="left" wrapText="1"/>
      <protection hidden="1"/>
    </xf>
    <xf numFmtId="2" fontId="46" fillId="0" borderId="0" xfId="200" applyNumberFormat="1" applyFont="1" applyAlignment="1" applyProtection="1">
      <alignment wrapText="1"/>
      <protection hidden="1"/>
    </xf>
    <xf numFmtId="49" fontId="52" fillId="0" borderId="0" xfId="200" applyNumberFormat="1" applyFont="1" applyAlignment="1" applyProtection="1">
      <alignment horizontal="center" vertical="top" wrapText="1"/>
      <protection hidden="1"/>
    </xf>
    <xf numFmtId="2" fontId="45" fillId="0" borderId="0" xfId="200" applyNumberFormat="1" applyFont="1" applyAlignment="1" applyProtection="1">
      <alignment horizontal="left" vertical="top" wrapText="1"/>
      <protection hidden="1"/>
    </xf>
    <xf numFmtId="2" fontId="46" fillId="0" borderId="0" xfId="200" applyNumberFormat="1" applyFont="1" applyAlignment="1" applyProtection="1">
      <alignment horizontal="center" vertical="center" wrapText="1"/>
      <protection hidden="1"/>
    </xf>
    <xf numFmtId="0" fontId="48" fillId="0" borderId="0" xfId="200" applyFont="1" applyAlignment="1" applyProtection="1">
      <alignment horizontal="center" vertical="center" wrapText="1"/>
      <protection hidden="1"/>
    </xf>
    <xf numFmtId="0" fontId="44" fillId="0" borderId="0" xfId="200" applyFont="1" applyAlignment="1" applyProtection="1">
      <alignment horizontal="center" vertical="center" wrapText="1"/>
      <protection hidden="1"/>
    </xf>
    <xf numFmtId="2" fontId="47" fillId="0" borderId="0" xfId="200" applyNumberFormat="1" applyFont="1" applyAlignment="1" applyProtection="1">
      <alignment wrapText="1"/>
      <protection hidden="1"/>
    </xf>
    <xf numFmtId="179" fontId="48" fillId="0" borderId="0" xfId="200" applyNumberFormat="1" applyFont="1" applyAlignment="1" applyProtection="1">
      <alignment horizontal="left" vertical="top" wrapText="1"/>
      <protection hidden="1"/>
    </xf>
    <xf numFmtId="0" fontId="46" fillId="0" borderId="0" xfId="0" applyFont="1" applyAlignment="1" applyProtection="1">
      <alignment horizontal="center" wrapText="1"/>
      <protection hidden="1"/>
    </xf>
    <xf numFmtId="3" fontId="47" fillId="0" borderId="0" xfId="0" applyNumberFormat="1" applyFont="1" applyAlignment="1" applyProtection="1">
      <alignment horizontal="center" vertical="center" wrapText="1"/>
      <protection hidden="1"/>
    </xf>
    <xf numFmtId="180" fontId="47" fillId="0" borderId="0" xfId="173" applyNumberFormat="1" applyFont="1" applyFill="1" applyBorder="1" applyAlignment="1" applyProtection="1">
      <alignment horizontal="center" wrapText="1"/>
      <protection hidden="1"/>
    </xf>
    <xf numFmtId="2" fontId="44" fillId="0" borderId="0" xfId="173" applyNumberFormat="1" applyFont="1" applyFill="1" applyBorder="1" applyAlignment="1" applyProtection="1">
      <alignment horizontal="center" wrapText="1"/>
      <protection hidden="1"/>
    </xf>
    <xf numFmtId="2" fontId="44" fillId="0" borderId="0" xfId="237" applyNumberFormat="1" applyFont="1" applyAlignment="1" applyProtection="1">
      <alignment wrapText="1"/>
      <protection hidden="1"/>
    </xf>
    <xf numFmtId="0" fontId="44" fillId="0" borderId="0" xfId="0" applyFont="1" applyAlignment="1" applyProtection="1">
      <alignment horizontal="left" wrapText="1"/>
      <protection hidden="1"/>
    </xf>
    <xf numFmtId="3" fontId="44" fillId="0" borderId="0" xfId="0" applyNumberFormat="1" applyFont="1" applyAlignment="1" applyProtection="1">
      <alignment horizontal="center" vertical="center" wrapText="1"/>
      <protection hidden="1"/>
    </xf>
    <xf numFmtId="0" fontId="44" fillId="0" borderId="0" xfId="237" applyFont="1" applyAlignment="1" applyProtection="1">
      <alignment horizontal="center" vertical="center" wrapText="1"/>
      <protection hidden="1"/>
    </xf>
    <xf numFmtId="2" fontId="44" fillId="0" borderId="0" xfId="235" applyNumberFormat="1" applyFont="1" applyAlignment="1" applyProtection="1">
      <alignment horizontal="center" vertical="center" wrapText="1"/>
      <protection hidden="1" locked="0"/>
    </xf>
    <xf numFmtId="179" fontId="3" fillId="0" borderId="0" xfId="0" applyNumberFormat="1" applyFont="1" applyProtection="1">
      <protection hidden="1"/>
    </xf>
    <xf numFmtId="2" fontId="44" fillId="0" borderId="0" xfId="237" applyNumberFormat="1" applyFont="1" applyAlignment="1" applyProtection="1">
      <alignment horizontal="center" wrapText="1"/>
      <protection hidden="1"/>
    </xf>
    <xf numFmtId="2" fontId="44" fillId="0" borderId="0" xfId="237" applyNumberFormat="1" applyFont="1" applyAlignment="1" applyProtection="1">
      <alignment horizontal="right" wrapText="1"/>
      <protection hidden="1"/>
    </xf>
    <xf numFmtId="2" fontId="44" fillId="0" borderId="0" xfId="235" applyNumberFormat="1" applyFont="1" applyAlignment="1" applyProtection="1">
      <alignment horizontal="center" wrapText="1"/>
      <protection hidden="1"/>
    </xf>
    <xf numFmtId="180" fontId="44" fillId="0" borderId="0" xfId="0" applyNumberFormat="1" applyFont="1" applyAlignment="1" applyProtection="1">
      <alignment horizontal="right" wrapText="1"/>
      <protection hidden="1"/>
    </xf>
    <xf numFmtId="0" fontId="47" fillId="0" borderId="0" xfId="0" applyFont="1" applyAlignment="1" applyProtection="1">
      <alignment horizontal="center" vertical="center" wrapText="1"/>
      <protection hidden="1"/>
    </xf>
    <xf numFmtId="2" fontId="44" fillId="0" borderId="0" xfId="235" applyNumberFormat="1" applyFont="1" applyAlignment="1" applyProtection="1">
      <alignment horizontal="center" wrapText="1"/>
      <protection hidden="1" locked="0"/>
    </xf>
    <xf numFmtId="2" fontId="44" fillId="0" borderId="0" xfId="237" applyNumberFormat="1" applyFont="1" applyAlignment="1" applyProtection="1">
      <alignment vertical="center" wrapText="1"/>
      <protection hidden="1"/>
    </xf>
    <xf numFmtId="0" fontId="47" fillId="0" borderId="0" xfId="237" applyFont="1" applyAlignment="1" applyProtection="1">
      <alignment horizontal="left" wrapText="1"/>
      <protection hidden="1"/>
    </xf>
    <xf numFmtId="0" fontId="47" fillId="0" borderId="0" xfId="237" applyFont="1" applyAlignment="1" applyProtection="1">
      <alignment horizontal="center" vertical="center" wrapText="1"/>
      <protection hidden="1"/>
    </xf>
    <xf numFmtId="2" fontId="44" fillId="0" borderId="0" xfId="235" applyNumberFormat="1" applyFont="1" applyAlignment="1" applyProtection="1">
      <alignment horizontal="center" vertical="center" wrapText="1"/>
      <protection hidden="1"/>
    </xf>
    <xf numFmtId="180" fontId="47" fillId="0" borderId="0" xfId="237" applyNumberFormat="1" applyFont="1" applyAlignment="1" applyProtection="1">
      <alignment wrapText="1"/>
      <protection hidden="1"/>
    </xf>
    <xf numFmtId="0" fontId="47" fillId="0" borderId="0" xfId="237" applyFont="1" applyAlignment="1" applyProtection="1">
      <alignment horizontal="center" wrapText="1"/>
      <protection hidden="1"/>
    </xf>
    <xf numFmtId="0" fontId="44" fillId="0" borderId="0" xfId="0" applyFont="1" applyAlignment="1" applyProtection="1">
      <alignment horizontal="justify" wrapText="1"/>
      <protection hidden="1"/>
    </xf>
    <xf numFmtId="49" fontId="44" fillId="0" borderId="0" xfId="0" applyNumberFormat="1" applyFont="1" applyAlignment="1" applyProtection="1">
      <alignment horizontal="left" vertical="top" wrapText="1"/>
      <protection hidden="1"/>
    </xf>
    <xf numFmtId="2" fontId="44" fillId="0" borderId="0" xfId="0" applyNumberFormat="1" applyFont="1" applyAlignment="1" applyProtection="1">
      <alignment wrapText="1"/>
      <protection hidden="1"/>
    </xf>
    <xf numFmtId="180" fontId="47" fillId="0" borderId="0" xfId="0" applyNumberFormat="1" applyFont="1" applyAlignment="1" applyProtection="1">
      <alignment horizontal="right" wrapText="1"/>
      <protection hidden="1"/>
    </xf>
    <xf numFmtId="3" fontId="53" fillId="0" borderId="0" xfId="0" applyNumberFormat="1" applyFont="1" applyAlignment="1" applyProtection="1">
      <alignment horizontal="center" vertical="center" wrapText="1"/>
      <protection hidden="1"/>
    </xf>
    <xf numFmtId="2" fontId="44" fillId="0" borderId="0" xfId="237" applyNumberFormat="1" applyFont="1" applyAlignment="1" applyProtection="1">
      <alignment horizontal="center" vertical="center" wrapText="1"/>
      <protection hidden="1"/>
    </xf>
    <xf numFmtId="0" fontId="58" fillId="0" borderId="0" xfId="237" applyFont="1" applyAlignment="1" applyProtection="1">
      <alignment horizontal="center" wrapText="1"/>
      <protection hidden="1"/>
    </xf>
    <xf numFmtId="3" fontId="59" fillId="0" borderId="0" xfId="0" applyNumberFormat="1" applyFont="1" applyAlignment="1" applyProtection="1">
      <alignment horizontal="center" vertical="center" wrapText="1"/>
      <protection hidden="1"/>
    </xf>
    <xf numFmtId="2" fontId="59" fillId="0" borderId="0" xfId="237" applyNumberFormat="1" applyFont="1" applyAlignment="1" applyProtection="1">
      <alignment horizontal="center" vertical="center" wrapText="1"/>
      <protection hidden="1"/>
    </xf>
    <xf numFmtId="2" fontId="44" fillId="0" borderId="0" xfId="0" applyNumberFormat="1" applyFont="1" applyAlignment="1" applyProtection="1">
      <alignment horizontal="center" wrapText="1"/>
      <protection hidden="1" locked="0"/>
    </xf>
    <xf numFmtId="2" fontId="59" fillId="0" borderId="0" xfId="237" applyNumberFormat="1" applyFont="1" applyAlignment="1" applyProtection="1">
      <alignment horizontal="center" wrapText="1"/>
      <protection hidden="1"/>
    </xf>
    <xf numFmtId="2" fontId="59" fillId="0" borderId="0" xfId="237" applyNumberFormat="1" applyFont="1" applyAlignment="1" applyProtection="1">
      <alignment wrapText="1"/>
      <protection hidden="1"/>
    </xf>
    <xf numFmtId="0" fontId="59" fillId="0" borderId="0" xfId="0" applyFont="1" applyAlignment="1" applyProtection="1">
      <alignment horizontal="left" vertical="top" wrapText="1"/>
      <protection hidden="1"/>
    </xf>
    <xf numFmtId="3" fontId="60" fillId="0" borderId="0" xfId="0" applyNumberFormat="1" applyFont="1" applyAlignment="1" applyProtection="1">
      <alignment horizontal="center" vertical="center" wrapText="1"/>
      <protection hidden="1"/>
    </xf>
    <xf numFmtId="0" fontId="58" fillId="0" borderId="0" xfId="237" applyFont="1" applyAlignment="1" applyProtection="1">
      <alignment horizontal="center" vertical="center" wrapText="1"/>
      <protection hidden="1"/>
    </xf>
    <xf numFmtId="2" fontId="59" fillId="0" borderId="0" xfId="0" applyNumberFormat="1" applyFont="1" applyAlignment="1" applyProtection="1">
      <alignment wrapText="1"/>
      <protection hidden="1"/>
    </xf>
    <xf numFmtId="2" fontId="59" fillId="0" borderId="0" xfId="0" applyNumberFormat="1" applyFont="1" applyAlignment="1" applyProtection="1">
      <alignment horizontal="center" vertical="center" wrapText="1"/>
      <protection hidden="1"/>
    </xf>
    <xf numFmtId="0" fontId="59" fillId="0" borderId="0" xfId="0" applyFont="1" applyAlignment="1" applyProtection="1">
      <alignment horizontal="center" vertical="top" wrapText="1"/>
      <protection hidden="1"/>
    </xf>
    <xf numFmtId="0" fontId="59" fillId="0" borderId="0" xfId="0" applyFont="1" applyAlignment="1" applyProtection="1">
      <alignment horizontal="center" vertical="center" wrapText="1"/>
      <protection hidden="1"/>
    </xf>
    <xf numFmtId="0" fontId="44" fillId="0" borderId="0" xfId="0" applyFont="1" applyAlignment="1" applyProtection="1">
      <alignment horizontal="left" vertical="top" wrapText="1"/>
      <protection hidden="1"/>
    </xf>
    <xf numFmtId="0" fontId="44" fillId="0" borderId="0" xfId="0" applyFont="1" applyAlignment="1" applyProtection="1">
      <alignment horizontal="center" vertical="top" wrapText="1"/>
      <protection hidden="1"/>
    </xf>
    <xf numFmtId="167" fontId="44" fillId="0" borderId="0" xfId="0" applyNumberFormat="1" applyFont="1" applyAlignment="1" applyProtection="1">
      <alignment wrapText="1"/>
      <protection hidden="1"/>
    </xf>
    <xf numFmtId="0" fontId="47" fillId="0" borderId="0" xfId="0" applyFont="1" applyAlignment="1" applyProtection="1">
      <alignment horizontal="justify" wrapText="1"/>
      <protection hidden="1"/>
    </xf>
    <xf numFmtId="178" fontId="44" fillId="0" borderId="0" xfId="0" applyNumberFormat="1" applyFont="1" applyAlignment="1" applyProtection="1">
      <alignment horizontal="right" wrapText="1"/>
      <protection hidden="1"/>
    </xf>
    <xf numFmtId="167" fontId="3" fillId="0" borderId="0" xfId="0" applyNumberFormat="1" applyFont="1" applyAlignment="1" applyProtection="1">
      <alignment wrapText="1"/>
      <protection hidden="1"/>
    </xf>
    <xf numFmtId="180" fontId="3" fillId="0" borderId="0" xfId="200" applyNumberFormat="1" applyFont="1" applyAlignment="1" applyProtection="1">
      <alignment wrapText="1"/>
      <protection hidden="1"/>
    </xf>
    <xf numFmtId="179" fontId="44" fillId="0" borderId="0" xfId="0" applyNumberFormat="1" applyFont="1" applyAlignment="1" applyProtection="1">
      <alignment wrapText="1"/>
      <protection hidden="1"/>
    </xf>
    <xf numFmtId="0" fontId="3" fillId="0" borderId="0" xfId="200" applyFont="1" applyAlignment="1" applyProtection="1">
      <alignment horizontal="left" vertical="top" wrapText="1"/>
      <protection hidden="1"/>
    </xf>
    <xf numFmtId="2" fontId="47" fillId="0" borderId="0" xfId="237" applyNumberFormat="1" applyFont="1" applyAlignment="1" applyProtection="1">
      <alignment wrapText="1"/>
      <protection hidden="1"/>
    </xf>
    <xf numFmtId="0" fontId="48" fillId="0" borderId="0" xfId="238" applyFont="1" applyAlignment="1" applyProtection="1">
      <alignment horizontal="left" vertical="top" wrapText="1"/>
      <protection hidden="1"/>
    </xf>
    <xf numFmtId="49" fontId="48" fillId="0" borderId="0" xfId="238" applyNumberFormat="1" applyFont="1" applyAlignment="1" applyProtection="1">
      <alignment horizontal="left" vertical="top" wrapText="1"/>
      <protection hidden="1"/>
    </xf>
    <xf numFmtId="0" fontId="47" fillId="0" borderId="0" xfId="234" applyFont="1" applyAlignment="1" applyProtection="1">
      <alignment horizontal="left" wrapText="1"/>
      <protection hidden="1"/>
    </xf>
    <xf numFmtId="0" fontId="47" fillId="0" borderId="0" xfId="238" applyFont="1" applyAlignment="1" applyProtection="1">
      <alignment horizontal="center" vertical="center" wrapText="1"/>
      <protection hidden="1"/>
    </xf>
    <xf numFmtId="2" fontId="47" fillId="0" borderId="0" xfId="238" applyNumberFormat="1" applyFont="1" applyAlignment="1" applyProtection="1">
      <alignment horizontal="left" vertical="top"/>
      <protection hidden="1"/>
    </xf>
    <xf numFmtId="2" fontId="47" fillId="0" borderId="0" xfId="238" applyNumberFormat="1" applyFont="1" applyAlignment="1" applyProtection="1">
      <alignment horizontal="center" vertical="top"/>
      <protection hidden="1"/>
    </xf>
    <xf numFmtId="180" fontId="47" fillId="0" borderId="0" xfId="238" applyNumberFormat="1" applyFont="1" applyAlignment="1" applyProtection="1">
      <alignment horizontal="right"/>
      <protection hidden="1"/>
    </xf>
    <xf numFmtId="179" fontId="3" fillId="0" borderId="0" xfId="238" applyNumberFormat="1" applyFont="1" applyAlignment="1" applyProtection="1">
      <alignment horizontal="left" vertical="top" wrapText="1"/>
      <protection hidden="1" locked="0"/>
    </xf>
    <xf numFmtId="0" fontId="54" fillId="0" borderId="0" xfId="238" applyFont="1" applyAlignment="1" applyProtection="1">
      <alignment horizontal="left" vertical="top" wrapText="1"/>
      <protection hidden="1"/>
    </xf>
    <xf numFmtId="0" fontId="44" fillId="0" borderId="0" xfId="238" applyFont="1" applyAlignment="1" applyProtection="1">
      <alignment horizontal="center" vertical="center" wrapText="1"/>
      <protection hidden="1"/>
    </xf>
    <xf numFmtId="2" fontId="44" fillId="0" borderId="0" xfId="238" applyNumberFormat="1" applyFont="1" applyAlignment="1" applyProtection="1">
      <alignment horizontal="right" vertical="top"/>
      <protection hidden="1"/>
    </xf>
    <xf numFmtId="2" fontId="44" fillId="0" borderId="0" xfId="238" applyNumberFormat="1" applyFont="1" applyAlignment="1" applyProtection="1">
      <alignment horizontal="center" vertical="top"/>
      <protection hidden="1"/>
    </xf>
    <xf numFmtId="180" fontId="44" fillId="0" borderId="0" xfId="238" applyNumberFormat="1" applyFont="1" applyAlignment="1" applyProtection="1">
      <alignment horizontal="right" vertical="top"/>
      <protection hidden="1"/>
    </xf>
    <xf numFmtId="0" fontId="44" fillId="0" borderId="0" xfId="238" applyFont="1" applyAlignment="1" applyProtection="1">
      <alignment horizontal="left" vertical="top" wrapText="1"/>
      <protection hidden="1"/>
    </xf>
    <xf numFmtId="2" fontId="44" fillId="0" borderId="0" xfId="238" applyNumberFormat="1" applyFont="1" applyAlignment="1" applyProtection="1">
      <alignment horizontal="center" vertical="top"/>
      <protection hidden="1" locked="0"/>
    </xf>
    <xf numFmtId="0" fontId="54" fillId="0" borderId="0" xfId="238" applyFont="1" applyAlignment="1" applyProtection="1">
      <alignment horizontal="center" vertical="center" wrapText="1"/>
      <protection hidden="1"/>
    </xf>
    <xf numFmtId="2" fontId="54" fillId="0" borderId="0" xfId="238" applyNumberFormat="1" applyFont="1" applyAlignment="1" applyProtection="1">
      <alignment horizontal="right" vertical="top"/>
      <protection hidden="1"/>
    </xf>
    <xf numFmtId="2" fontId="54" fillId="0" borderId="0" xfId="238" applyNumberFormat="1" applyFont="1" applyAlignment="1" applyProtection="1">
      <alignment horizontal="center" vertical="top"/>
      <protection hidden="1"/>
    </xf>
    <xf numFmtId="179" fontId="55" fillId="0" borderId="0" xfId="238" applyNumberFormat="1" applyFont="1" applyAlignment="1" applyProtection="1">
      <alignment horizontal="left" vertical="top" wrapText="1"/>
      <protection hidden="1" locked="0"/>
    </xf>
    <xf numFmtId="0" fontId="44" fillId="0" borderId="0" xfId="234" applyFont="1" applyAlignment="1" applyProtection="1">
      <alignment horizontal="left" wrapText="1"/>
      <protection hidden="1"/>
    </xf>
    <xf numFmtId="0" fontId="3" fillId="0" borderId="0" xfId="238" applyFont="1" applyAlignment="1" applyProtection="1">
      <alignment horizontal="center" vertical="center" wrapText="1"/>
      <protection hidden="1"/>
    </xf>
    <xf numFmtId="2" fontId="44" fillId="0" borderId="0" xfId="238" applyNumberFormat="1" applyFont="1" applyAlignment="1" applyProtection="1">
      <alignment horizontal="right"/>
      <protection hidden="1"/>
    </xf>
    <xf numFmtId="2" fontId="3" fillId="0" borderId="0" xfId="238" applyNumberFormat="1" applyFont="1" applyAlignment="1" applyProtection="1">
      <alignment horizontal="center"/>
      <protection hidden="1"/>
    </xf>
    <xf numFmtId="180" fontId="44" fillId="0" borderId="0" xfId="200" applyNumberFormat="1" applyFont="1" applyAlignment="1" applyProtection="1">
      <alignment horizontal="right" wrapText="1"/>
      <protection hidden="1"/>
    </xf>
    <xf numFmtId="0" fontId="3" fillId="0" borderId="0" xfId="238" applyFont="1" applyAlignment="1" applyProtection="1">
      <alignment horizontal="left" vertical="top" wrapText="1"/>
      <protection hidden="1"/>
    </xf>
    <xf numFmtId="2" fontId="3" fillId="0" borderId="0" xfId="238" applyNumberFormat="1" applyFont="1" applyAlignment="1" applyProtection="1">
      <alignment horizontal="center" vertical="top"/>
      <protection hidden="1"/>
    </xf>
    <xf numFmtId="180" fontId="3" fillId="0" borderId="0" xfId="238" applyNumberFormat="1" applyFont="1" applyAlignment="1" applyProtection="1">
      <alignment horizontal="right" vertical="top"/>
      <protection hidden="1"/>
    </xf>
    <xf numFmtId="0" fontId="44" fillId="0" borderId="0" xfId="237" applyFont="1" applyAlignment="1" applyProtection="1">
      <alignment horizontal="left" wrapText="1"/>
      <protection hidden="1"/>
    </xf>
    <xf numFmtId="2" fontId="44" fillId="0" borderId="0" xfId="173" applyNumberFormat="1" applyFont="1" applyFill="1" applyBorder="1" applyAlignment="1" applyProtection="1">
      <alignment horizontal="center" wrapText="1"/>
      <protection hidden="1" locked="0"/>
    </xf>
    <xf numFmtId="179" fontId="44" fillId="0" borderId="0" xfId="173" applyNumberFormat="1" applyFont="1" applyFill="1" applyBorder="1" applyAlignment="1" applyProtection="1">
      <alignment horizontal="center" wrapText="1"/>
      <protection hidden="1"/>
    </xf>
    <xf numFmtId="4" fontId="44" fillId="0" borderId="0" xfId="0" applyNumberFormat="1" applyFont="1" applyAlignment="1" applyProtection="1">
      <alignment wrapText="1"/>
      <protection hidden="1"/>
    </xf>
    <xf numFmtId="0" fontId="47" fillId="0" borderId="0" xfId="0" applyFont="1" applyAlignment="1" applyProtection="1">
      <alignment horizontal="center" vertical="top" wrapText="1"/>
      <protection hidden="1"/>
    </xf>
    <xf numFmtId="0" fontId="48" fillId="0" borderId="0" xfId="0" applyFont="1" applyAlignment="1" applyProtection="1">
      <alignment horizontal="center" vertical="center" wrapText="1"/>
      <protection hidden="1"/>
    </xf>
    <xf numFmtId="2" fontId="47" fillId="0" borderId="0" xfId="200" applyNumberFormat="1" applyFont="1" applyAlignment="1" applyProtection="1">
      <alignment horizontal="center" wrapText="1"/>
      <protection hidden="1" locked="0"/>
    </xf>
    <xf numFmtId="49" fontId="44" fillId="0" borderId="0" xfId="0" applyNumberFormat="1" applyFont="1" applyAlignment="1" applyProtection="1">
      <alignment horizontal="left" wrapText="1"/>
      <protection hidden="1"/>
    </xf>
    <xf numFmtId="3" fontId="3" fillId="0" borderId="0" xfId="0" applyNumberFormat="1" applyFont="1" applyAlignment="1" applyProtection="1">
      <alignment horizontal="center" wrapText="1"/>
      <protection hidden="1"/>
    </xf>
    <xf numFmtId="3" fontId="50" fillId="0" borderId="0" xfId="0" applyNumberFormat="1" applyFont="1" applyAlignment="1" applyProtection="1">
      <alignment horizontal="center" wrapText="1"/>
      <protection hidden="1"/>
    </xf>
    <xf numFmtId="3" fontId="44" fillId="0" borderId="0" xfId="237" applyNumberFormat="1" applyFont="1" applyAlignment="1" applyProtection="1">
      <alignment horizontal="center" vertical="center" wrapText="1"/>
      <protection hidden="1"/>
    </xf>
    <xf numFmtId="2" fontId="44" fillId="0" borderId="0" xfId="173" applyNumberFormat="1" applyFont="1" applyFill="1" applyAlignment="1" applyProtection="1">
      <alignment horizontal="center" wrapText="1"/>
      <protection hidden="1"/>
    </xf>
    <xf numFmtId="2" fontId="47" fillId="0" borderId="0" xfId="173" applyNumberFormat="1" applyFont="1" applyFill="1" applyAlignment="1" applyProtection="1">
      <alignment horizontal="center" wrapText="1"/>
      <protection hidden="1" locked="0"/>
    </xf>
    <xf numFmtId="0" fontId="3" fillId="0" borderId="0" xfId="237" applyFont="1" applyAlignment="1" applyProtection="1">
      <alignment wrapText="1"/>
      <protection hidden="1"/>
    </xf>
    <xf numFmtId="2" fontId="44" fillId="0" borderId="0" xfId="235" applyNumberFormat="1" applyFont="1" applyAlignment="1" applyProtection="1">
      <alignment vertical="center" wrapText="1"/>
      <protection hidden="1"/>
    </xf>
    <xf numFmtId="1" fontId="44" fillId="0" borderId="0" xfId="0" applyNumberFormat="1" applyFont="1" applyAlignment="1" applyProtection="1">
      <alignment horizontal="center" vertical="center" wrapText="1"/>
      <protection hidden="1"/>
    </xf>
    <xf numFmtId="49" fontId="3" fillId="0" borderId="0" xfId="0" applyNumberFormat="1" applyFont="1" applyAlignment="1" applyProtection="1">
      <alignment horizontal="center" vertical="center" wrapText="1"/>
      <protection hidden="1"/>
    </xf>
    <xf numFmtId="2" fontId="47" fillId="0" borderId="0" xfId="0" applyNumberFormat="1" applyFont="1" applyAlignment="1" applyProtection="1">
      <alignment horizontal="right" wrapText="1"/>
      <protection hidden="1"/>
    </xf>
    <xf numFmtId="3" fontId="50" fillId="0" borderId="0" xfId="0" applyNumberFormat="1" applyFont="1" applyAlignment="1" applyProtection="1">
      <alignment horizontal="center" vertical="center" wrapText="1"/>
      <protection hidden="1"/>
    </xf>
    <xf numFmtId="0" fontId="13" fillId="0" borderId="0" xfId="0" applyFont="1" applyAlignment="1">
      <alignment horizontal="right"/>
    </xf>
    <xf numFmtId="2" fontId="47" fillId="0" borderId="20" xfId="0" applyNumberFormat="1" applyFont="1" applyBorder="1" applyAlignment="1" applyProtection="1">
      <alignment horizontal="center" vertical="center" wrapText="1"/>
      <protection hidden="1"/>
    </xf>
    <xf numFmtId="2" fontId="47" fillId="0" borderId="21" xfId="0" applyNumberFormat="1" applyFont="1" applyBorder="1" applyAlignment="1" applyProtection="1">
      <alignment horizontal="center" vertical="center" wrapText="1"/>
      <protection hidden="1"/>
    </xf>
    <xf numFmtId="2" fontId="47" fillId="0" borderId="22" xfId="0" applyNumberFormat="1" applyFont="1" applyBorder="1" applyAlignment="1" applyProtection="1">
      <alignment horizontal="center" vertical="center" wrapText="1"/>
      <protection hidden="1"/>
    </xf>
    <xf numFmtId="2" fontId="47" fillId="0" borderId="23" xfId="0" applyNumberFormat="1" applyFont="1" applyBorder="1" applyAlignment="1" applyProtection="1">
      <alignment horizontal="center" vertical="center" wrapText="1"/>
      <protection hidden="1"/>
    </xf>
    <xf numFmtId="2" fontId="47" fillId="0" borderId="0" xfId="0" applyNumberFormat="1" applyFont="1" applyBorder="1" applyAlignment="1" applyProtection="1">
      <alignment horizontal="center" vertical="center" wrapText="1"/>
      <protection hidden="1"/>
    </xf>
    <xf numFmtId="2" fontId="47" fillId="0" borderId="24" xfId="0" applyNumberFormat="1" applyFont="1" applyBorder="1" applyAlignment="1" applyProtection="1">
      <alignment horizontal="center" vertical="center" wrapText="1"/>
      <protection hidden="1"/>
    </xf>
    <xf numFmtId="2" fontId="47" fillId="0" borderId="25" xfId="0" applyNumberFormat="1" applyFont="1" applyBorder="1" applyAlignment="1" applyProtection="1">
      <alignment horizontal="center" vertical="center" wrapText="1"/>
      <protection hidden="1"/>
    </xf>
    <xf numFmtId="2" fontId="47" fillId="0" borderId="26" xfId="0" applyNumberFormat="1" applyFont="1" applyBorder="1" applyAlignment="1" applyProtection="1">
      <alignment horizontal="center" vertical="center" wrapText="1"/>
      <protection hidden="1"/>
    </xf>
    <xf numFmtId="2" fontId="47" fillId="0" borderId="27" xfId="0" applyNumberFormat="1" applyFont="1" applyBorder="1" applyAlignment="1" applyProtection="1">
      <alignment horizontal="center" vertical="center" wrapText="1"/>
      <protection hidden="1"/>
    </xf>
  </cellXfs>
  <cellStyles count="25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_08_4914_006_02_09_51_Výkaz výměr_2010-05" xfId="20"/>
    <cellStyle name="_5230_RD Kunratice - sklípek_rozpočet" xfId="21"/>
    <cellStyle name="_5230_RD Kunratice - sklípek_rozpočet_002_08_4914_002_01_09_17_002Technicka_specifikace_2etapa" xfId="22"/>
    <cellStyle name="_5230_RD Kunratice - sklípek_rozpočet_09_bur_kanali" xfId="23"/>
    <cellStyle name="_5230_RD Kunratice - sklípek_rozpočet_09_bur_podlažní_vestavby" xfId="24"/>
    <cellStyle name="_5230_RD Kunratice - sklípek_rozpočet_09_buri_malby" xfId="25"/>
    <cellStyle name="_5230_RD Kunratice - sklípek_rozpočet_09_buri_regaly" xfId="26"/>
    <cellStyle name="_5230_RD Kunratice - sklípek_rozpočet_09-13-zbytek" xfId="27"/>
    <cellStyle name="_5230_RD Kunratice - sklípek_rozpočet_09-17" xfId="28"/>
    <cellStyle name="_5230_RD Kunratice - sklípek_rozpočet_09-20" xfId="29"/>
    <cellStyle name="_Dostavba školy Nymburk_Celková rekapitulace" xfId="30"/>
    <cellStyle name="_Dostavba školy Nymburk_Celková rekapitulace_002_08_4914_002_01_09_17_002Technicka_specifikace_2etapa" xfId="31"/>
    <cellStyle name="_Dostavba školy Nymburk_Celková rekapitulace_09_bur_kanali" xfId="32"/>
    <cellStyle name="_Dostavba školy Nymburk_Celková rekapitulace_09_bur_podlažní_vestavby" xfId="33"/>
    <cellStyle name="_Dostavba školy Nymburk_Celková rekapitulace_09_buri_malby" xfId="34"/>
    <cellStyle name="_Dostavba školy Nymburk_Celková rekapitulace_09_buri_regaly" xfId="35"/>
    <cellStyle name="_Dostavba školy Nymburk_Celková rekapitulace_09-13-zbytek" xfId="36"/>
    <cellStyle name="_Dostavba školy Nymburk_Celková rekapitulace_09-17" xfId="37"/>
    <cellStyle name="_Dostavba školy Nymburk_Celková rekapitulace_09-20" xfId="38"/>
    <cellStyle name="_Dostavba školy Nymburk_Celková rekapitulace_SO 05 interiér propočet" xfId="39"/>
    <cellStyle name="_Dostavba školy Nymburk_Celková rekapitulace_SO 05 střecha propočet" xfId="40"/>
    <cellStyle name="_Dostavba školy Nymburk_Celková rekapitulace_SO 05 vzduchové sanační úpravy propočet" xfId="41"/>
    <cellStyle name="_Ladronka_2_VV-DVD_kontrola_FINAL" xfId="42"/>
    <cellStyle name="_Ladronka_2_VV-DVD_kontrola_FINAL_002_08_4914_002_01_09_17_002Technicka_specifikace_2etapa" xfId="43"/>
    <cellStyle name="_Ladronka_2_VV-DVD_kontrola_FINAL_09-13-zbytek" xfId="44"/>
    <cellStyle name="_Ladronka_2_VV-DVD_kontrola_FINAL_09-17" xfId="45"/>
    <cellStyle name="_Ladronka_2_VV-DVD_kontrola_FINAL_SO 05 interiér propočet" xfId="46"/>
    <cellStyle name="_Ladronka_2_VV-DVD_kontrola_FINAL_SO 05 střecha propočet" xfId="47"/>
    <cellStyle name="_Ladronka_2_VV-DVD_kontrola_FINAL_SO 05 vzduchové sanační úpravy propočet" xfId="48"/>
    <cellStyle name="_PERSONAL" xfId="49"/>
    <cellStyle name="_PERSONAL_002_08_4914_002_01_09_17_002Technicka_specifikace_2etapa" xfId="50"/>
    <cellStyle name="_PERSONAL_09_bur_kanali" xfId="51"/>
    <cellStyle name="_PERSONAL_09_bur_podlažní_vestavby" xfId="52"/>
    <cellStyle name="_PERSONAL_09_buri_malby" xfId="53"/>
    <cellStyle name="_PERSONAL_09_buri_regaly" xfId="54"/>
    <cellStyle name="_PERSONAL_09-13-zbytek" xfId="55"/>
    <cellStyle name="_PERSONAL_09-17" xfId="56"/>
    <cellStyle name="_PERSONAL_09-20" xfId="57"/>
    <cellStyle name="_PERSONAL_1" xfId="58"/>
    <cellStyle name="_PERSONAL_1_002_08_4914_002_01_09_17_002Technicka_specifikace_2etapa" xfId="59"/>
    <cellStyle name="_PERSONAL_1_09_bur_kanali" xfId="60"/>
    <cellStyle name="_PERSONAL_1_09_bur_podlažní_vestavby" xfId="61"/>
    <cellStyle name="_PERSONAL_1_09_buri_malby" xfId="62"/>
    <cellStyle name="_PERSONAL_1_09_buri_regaly" xfId="63"/>
    <cellStyle name="_PERSONAL_1_09-13-zbytek" xfId="64"/>
    <cellStyle name="_PERSONAL_1_09-17" xfId="65"/>
    <cellStyle name="_PERSONAL_1_09-20" xfId="66"/>
    <cellStyle name="_PERSONAL_1_SO 05 interiér propočet" xfId="67"/>
    <cellStyle name="_PERSONAL_1_SO 05 střecha propočet" xfId="68"/>
    <cellStyle name="_PERSONAL_1_SO 05 vzduchové sanační úpravy propočet" xfId="69"/>
    <cellStyle name="_PERSONAL_SO 05 interiér propočet" xfId="70"/>
    <cellStyle name="_PERSONAL_SO 05 střecha propočet" xfId="71"/>
    <cellStyle name="_PERSONAL_SO 05 vzduchové sanační úpravy propočet" xfId="72"/>
    <cellStyle name="_Q-Sadovky-výkaz-2003-07-01" xfId="73"/>
    <cellStyle name="_Q-Sadovky-výkaz-2003-07-01_002_08_4914_002_01_09_17_002Technicka_specifikace_2etapa" xfId="74"/>
    <cellStyle name="_Q-Sadovky-výkaz-2003-07-01_09-13-zbytek" xfId="75"/>
    <cellStyle name="_Q-Sadovky-výkaz-2003-07-01_09-17" xfId="76"/>
    <cellStyle name="_Q-Sadovky-výkaz-2003-07-01_1" xfId="77"/>
    <cellStyle name="_Q-Sadovky-výkaz-2003-07-01_1_002_08_4914_002_01_09_17_002Technicka_specifikace_2etapa" xfId="78"/>
    <cellStyle name="_Q-Sadovky-výkaz-2003-07-01_1_09_bur_kanali" xfId="79"/>
    <cellStyle name="_Q-Sadovky-výkaz-2003-07-01_1_09_bur_podlažní_vestavby" xfId="80"/>
    <cellStyle name="_Q-Sadovky-výkaz-2003-07-01_1_09_buri_malby" xfId="81"/>
    <cellStyle name="_Q-Sadovky-výkaz-2003-07-01_1_09_buri_regaly" xfId="82"/>
    <cellStyle name="_Q-Sadovky-výkaz-2003-07-01_1_09-13-zbytek" xfId="83"/>
    <cellStyle name="_Q-Sadovky-výkaz-2003-07-01_1_09-17" xfId="84"/>
    <cellStyle name="_Q-Sadovky-výkaz-2003-07-01_1_09-20" xfId="85"/>
    <cellStyle name="_Q-Sadovky-výkaz-2003-07-01_1_SO 05 interiér propočet" xfId="86"/>
    <cellStyle name="_Q-Sadovky-výkaz-2003-07-01_1_SO 05 střecha propočet" xfId="87"/>
    <cellStyle name="_Q-Sadovky-výkaz-2003-07-01_1_SO 05 vzduchové sanační úpravy propočet" xfId="88"/>
    <cellStyle name="_Q-Sadovky-výkaz-2003-07-01_2" xfId="89"/>
    <cellStyle name="_Q-Sadovky-výkaz-2003-07-01_2_002_08_4914_002_01_09_17_002Technicka_specifikace_2etapa" xfId="90"/>
    <cellStyle name="_Q-Sadovky-výkaz-2003-07-01_2_002_08_4914_002_01_09_17_002Technicka_specifikace_2etapa 2" xfId="91"/>
    <cellStyle name="_Q-Sadovky-výkaz-2003-07-01_2_09_bur_kanali" xfId="92"/>
    <cellStyle name="_Q-Sadovky-výkaz-2003-07-01_2_09_bur_podlažní_vestavby" xfId="93"/>
    <cellStyle name="_Q-Sadovky-výkaz-2003-07-01_2_09_buri_malby" xfId="94"/>
    <cellStyle name="_Q-Sadovky-výkaz-2003-07-01_2_09_buri_regaly" xfId="95"/>
    <cellStyle name="_Q-Sadovky-výkaz-2003-07-01_2_09-13-zbytek" xfId="96"/>
    <cellStyle name="_Q-Sadovky-výkaz-2003-07-01_2_09-13-zbytek 2" xfId="97"/>
    <cellStyle name="_Q-Sadovky-výkaz-2003-07-01_2_09-17" xfId="98"/>
    <cellStyle name="_Q-Sadovky-výkaz-2003-07-01_2_09-17 2" xfId="99"/>
    <cellStyle name="_Q-Sadovky-výkaz-2003-07-01_2_09-20" xfId="100"/>
    <cellStyle name="_Q-Sadovky-výkaz-2003-07-01_2_SO 05 interiér propočet" xfId="101"/>
    <cellStyle name="_Q-Sadovky-výkaz-2003-07-01_2_SO 05 interiér propočet 2" xfId="102"/>
    <cellStyle name="_Q-Sadovky-výkaz-2003-07-01_2_SO 05 střecha propočet" xfId="103"/>
    <cellStyle name="_Q-Sadovky-výkaz-2003-07-01_2_SO 05 střecha propočet 2" xfId="104"/>
    <cellStyle name="_Q-Sadovky-výkaz-2003-07-01_2_SO 05 vzduchové sanační úpravy propočet" xfId="105"/>
    <cellStyle name="_Q-Sadovky-výkaz-2003-07-01_2_SO 05 vzduchové sanační úpravy propočet 2" xfId="106"/>
    <cellStyle name="_Q-Sadovky-výkaz-2003-07-01_3" xfId="107"/>
    <cellStyle name="_Q-Sadovky-výkaz-2003-07-01_3_002_08_4914_002_01_09_17_002Technicka_specifikace_2etapa" xfId="108"/>
    <cellStyle name="_Q-Sadovky-výkaz-2003-07-01_3_09_bur_kanali" xfId="109"/>
    <cellStyle name="_Q-Sadovky-výkaz-2003-07-01_3_09_bur_podlažní_vestavby" xfId="110"/>
    <cellStyle name="_Q-Sadovky-výkaz-2003-07-01_3_09_buri_malby" xfId="111"/>
    <cellStyle name="_Q-Sadovky-výkaz-2003-07-01_3_09_buri_regaly" xfId="112"/>
    <cellStyle name="_Q-Sadovky-výkaz-2003-07-01_3_09-13-zbytek" xfId="113"/>
    <cellStyle name="_Q-Sadovky-výkaz-2003-07-01_3_09-17" xfId="114"/>
    <cellStyle name="_Q-Sadovky-výkaz-2003-07-01_3_09-20" xfId="115"/>
    <cellStyle name="_Q-Sadovky-výkaz-2003-07-01_3_SO 05 interiér propočet" xfId="116"/>
    <cellStyle name="_Q-Sadovky-výkaz-2003-07-01_3_SO 05 střecha propočet" xfId="117"/>
    <cellStyle name="_Q-Sadovky-výkaz-2003-07-01_3_SO 05 vzduchové sanační úpravy propočet" xfId="118"/>
    <cellStyle name="_Q-Sadovky-výkaz-2003-07-01_SO 05 interiér propočet" xfId="119"/>
    <cellStyle name="_Q-Sadovky-výkaz-2003-07-01_SO 05 střecha propočet" xfId="120"/>
    <cellStyle name="_Q-Sadovky-výkaz-2003-07-01_SO 05 vzduchové sanační úpravy propočet" xfId="121"/>
    <cellStyle name="_Rekonstrukce rozvaděčů I P Pavlova_RO" xfId="122"/>
    <cellStyle name="_SROV Nám Míru - HOFA" xfId="123"/>
    <cellStyle name="_Titulní list" xfId="124"/>
    <cellStyle name="_Titulní list_002_08_4914_002_01_09_17_002Technicka_specifikace_2etapa" xfId="125"/>
    <cellStyle name="_Titulní list_09_bur_kanali" xfId="126"/>
    <cellStyle name="_Titulní list_09_bur_podlažní_vestavby" xfId="127"/>
    <cellStyle name="_Titulní list_09_buri_malby" xfId="128"/>
    <cellStyle name="_Titulní list_09_buri_regaly" xfId="129"/>
    <cellStyle name="_Titulní list_09-13-zbytek" xfId="130"/>
    <cellStyle name="_Titulní list_09-17" xfId="131"/>
    <cellStyle name="_Titulní list_09-20" xfId="132"/>
    <cellStyle name="_Titulní list_SO 05 interiér propočet" xfId="133"/>
    <cellStyle name="_Titulní list_SO 05 střecha propočet" xfId="134"/>
    <cellStyle name="_Titulní list_SO 05 vzduchové sanační úpravy propočet" xfId="135"/>
    <cellStyle name="_ZTI_rozpočet" xfId="136"/>
    <cellStyle name="_ZTI_rozpočet_002_08_4914_002_01_09_17_002Technicka_specifikace_2etapa" xfId="137"/>
    <cellStyle name="_ZTI_rozpočet_09-13-zbytek" xfId="138"/>
    <cellStyle name="_ZTI_rozpočet_09-17" xfId="139"/>
    <cellStyle name="_ZTI_rozpočet_SO 05 interiér propočet" xfId="140"/>
    <cellStyle name="_ZTI_rozpočet_SO 05 střecha propočet" xfId="141"/>
    <cellStyle name="_ZTI_rozpočet_SO 05 vzduchové sanační úpravy propočet" xfId="142"/>
    <cellStyle name="1" xfId="143"/>
    <cellStyle name="1 000 Kč_ELEKTRO doplněné K PŘEDÁNÍ-  MŠ Přímětická" xfId="144"/>
    <cellStyle name="1_002_08_4914_002_01_09_17_002Technicka_specifikace_2etapa" xfId="145"/>
    <cellStyle name="1_09-13-zbytek" xfId="146"/>
    <cellStyle name="1_09-17" xfId="147"/>
    <cellStyle name="1_SO 05 interiér propočet" xfId="148"/>
    <cellStyle name="1_SO 05 střecha propočet" xfId="149"/>
    <cellStyle name="1_SO 05 vzduchové sanační úpravy propočet" xfId="150"/>
    <cellStyle name="20 % – Zvýraznění1 2" xfId="151"/>
    <cellStyle name="20 % – Zvýraznění2 2" xfId="152"/>
    <cellStyle name="20 % – Zvýraznění3 2" xfId="153"/>
    <cellStyle name="20 % – Zvýraznění4 2" xfId="154"/>
    <cellStyle name="20 % – Zvýraznění5 2" xfId="155"/>
    <cellStyle name="20 % – Zvýraznění6 2" xfId="156"/>
    <cellStyle name="40 % – Zvýraznění1 2" xfId="157"/>
    <cellStyle name="40 % – Zvýraznění2 2" xfId="158"/>
    <cellStyle name="40 % – Zvýraznění3 2" xfId="159"/>
    <cellStyle name="40 % – Zvýraznění4 2" xfId="160"/>
    <cellStyle name="40 % – Zvýraznění5 2" xfId="161"/>
    <cellStyle name="40 % – Zvýraznění6 2" xfId="162"/>
    <cellStyle name="60 % – Zvýraznění1 2" xfId="163"/>
    <cellStyle name="60 % – Zvýraznění2 2" xfId="164"/>
    <cellStyle name="60 % – Zvýraznění3 2" xfId="165"/>
    <cellStyle name="60 % – Zvýraznění4 2" xfId="166"/>
    <cellStyle name="60 % – Zvýraznění5 2" xfId="167"/>
    <cellStyle name="60 % – Zvýraznění6 2" xfId="168"/>
    <cellStyle name="cárkyd" xfId="169"/>
    <cellStyle name="cary" xfId="170"/>
    <cellStyle name="Celkem 2" xfId="171"/>
    <cellStyle name="čárky [0]_ELEKTRO doplněné K PŘEDÁNÍ-  MŠ Přímětická" xfId="172"/>
    <cellStyle name="čárky 2" xfId="173"/>
    <cellStyle name="čárky 3" xfId="174"/>
    <cellStyle name="číslo" xfId="175"/>
    <cellStyle name="Dezimal [0]_Tabelle1" xfId="176"/>
    <cellStyle name="Dezimal_Tabelle1" xfId="177"/>
    <cellStyle name="Dziesiętny [0]_laroux" xfId="178"/>
    <cellStyle name="Dziesiętny_laroux" xfId="179"/>
    <cellStyle name="Excel Built-in Normal" xfId="180"/>
    <cellStyle name="Firma" xfId="181"/>
    <cellStyle name="Hlavní nadpis" xfId="182"/>
    <cellStyle name="Jednotka" xfId="183"/>
    <cellStyle name="Kontrolní buňka 2" xfId="184"/>
    <cellStyle name="lehký dolní okraj" xfId="185"/>
    <cellStyle name="Měna 2" xfId="186"/>
    <cellStyle name="Měna 2 2" xfId="187"/>
    <cellStyle name="měny 2" xfId="188"/>
    <cellStyle name="množství" xfId="189"/>
    <cellStyle name="Nadpis 1 2" xfId="190"/>
    <cellStyle name="Nadpis 2 2" xfId="191"/>
    <cellStyle name="Nadpis 3 2" xfId="192"/>
    <cellStyle name="Nadpis 4 2" xfId="193"/>
    <cellStyle name="Nadpis1" xfId="194"/>
    <cellStyle name="Nadpis1 1" xfId="195"/>
    <cellStyle name="Naklady" xfId="196"/>
    <cellStyle name="Název 2" xfId="197"/>
    <cellStyle name="Neutrální 2" xfId="198"/>
    <cellStyle name="Normální 10" xfId="199"/>
    <cellStyle name="normální 11" xfId="200"/>
    <cellStyle name="normální 11 2" xfId="201"/>
    <cellStyle name="normální 12" xfId="202"/>
    <cellStyle name="normální 12 2" xfId="203"/>
    <cellStyle name="Normální 13" xfId="204"/>
    <cellStyle name="normální 13 2" xfId="205"/>
    <cellStyle name="Normální 14" xfId="206"/>
    <cellStyle name="normální 14 2" xfId="207"/>
    <cellStyle name="Normální 15" xfId="208"/>
    <cellStyle name="normální 15 2" xfId="209"/>
    <cellStyle name="normální 16" xfId="210"/>
    <cellStyle name="normální 17" xfId="211"/>
    <cellStyle name="normální 18" xfId="212"/>
    <cellStyle name="normální 19" xfId="213"/>
    <cellStyle name="normální 2" xfId="214"/>
    <cellStyle name="normální 2 2" xfId="215"/>
    <cellStyle name="normální 20" xfId="216"/>
    <cellStyle name="normální 21" xfId="217"/>
    <cellStyle name="normální 22" xfId="218"/>
    <cellStyle name="normální 23" xfId="219"/>
    <cellStyle name="normální 24" xfId="220"/>
    <cellStyle name="normální 25" xfId="221"/>
    <cellStyle name="normální 26" xfId="222"/>
    <cellStyle name="normální 27" xfId="223"/>
    <cellStyle name="normální 28" xfId="224"/>
    <cellStyle name="normální 29" xfId="225"/>
    <cellStyle name="Normální 3" xfId="226"/>
    <cellStyle name="normální 30" xfId="227"/>
    <cellStyle name="Normální 4" xfId="228"/>
    <cellStyle name="Normální 5" xfId="229"/>
    <cellStyle name="Normální 6" xfId="230"/>
    <cellStyle name="Normální 7" xfId="231"/>
    <cellStyle name="Normální 8" xfId="232"/>
    <cellStyle name="Normální 9" xfId="233"/>
    <cellStyle name="normální_002_ROZP_OCENENY_VV_upr08-2010" xfId="234"/>
    <cellStyle name="normální_C.1.3 Rozpočet ZTI" xfId="235"/>
    <cellStyle name="normální_POL.XLS" xfId="236"/>
    <cellStyle name="normální_SAR A" xfId="237"/>
    <cellStyle name="normální_Troja" xfId="238"/>
    <cellStyle name="Normalny_laroux" xfId="239"/>
    <cellStyle name="Podnadpis" xfId="240"/>
    <cellStyle name="Položka" xfId="241"/>
    <cellStyle name="Poznámka 2" xfId="242"/>
    <cellStyle name="Propojená buňka 2" xfId="243"/>
    <cellStyle name="Specifikace" xfId="244"/>
    <cellStyle name="Správně 2" xfId="245"/>
    <cellStyle name="Standard_aktuell" xfId="246"/>
    <cellStyle name="Stín+tučně" xfId="247"/>
    <cellStyle name="Stín+tučně+velké písmo" xfId="248"/>
    <cellStyle name="Styl 1" xfId="249"/>
    <cellStyle name="Suma" xfId="250"/>
    <cellStyle name="Text upozornění 2" xfId="251"/>
    <cellStyle name="Tučně" xfId="252"/>
    <cellStyle name="TYP ŘÁDKU_4(sloupceJ-L)" xfId="253"/>
    <cellStyle name="Vstup 2" xfId="254"/>
    <cellStyle name="Výpočet 2" xfId="255"/>
    <cellStyle name="Výstup 2" xfId="256"/>
    <cellStyle name="Vysvětlující text 2" xfId="257"/>
    <cellStyle name="Währung [0]_Tabelle1" xfId="258"/>
    <cellStyle name="Währung_Tabelle1" xfId="259"/>
    <cellStyle name="Walutowy [0]_laroux" xfId="260"/>
    <cellStyle name="Walutowy_laroux" xfId="261"/>
    <cellStyle name="základní" xfId="262"/>
    <cellStyle name="Zvýraznění 1 2" xfId="263"/>
    <cellStyle name="Zvýraznění 2 2" xfId="264"/>
    <cellStyle name="Zvýraznění 3 2" xfId="265"/>
    <cellStyle name="Zvýraznění 4 2" xfId="266"/>
    <cellStyle name="Zvýraznění 5 2" xfId="267"/>
    <cellStyle name="Zvýraznění 6 2" xfId="268"/>
    <cellStyle name="Zvýrazni" xfId="269"/>
    <cellStyle name="Měna" xfId="2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microsoft.com/office/2017/10/relationships/person" Target="persons/person.xml" /><Relationship Id="rId7" Type="http://schemas.openxmlformats.org/officeDocument/2006/relationships/customXml" Target="../customXml/item1.xml" /><Relationship Id="rId8" Type="http://schemas.openxmlformats.org/officeDocument/2006/relationships/customXml" Target="../customXml/item2.xml" /><Relationship Id="rId9" Type="http://schemas.openxmlformats.org/officeDocument/2006/relationships/theme" Target="theme/theme1.xml" 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P1190"/>
  <sheetViews>
    <sheetView tabSelected="1" zoomScale="115" zoomScaleNormal="115" workbookViewId="0" topLeftCell="A77">
      <selection activeCell="N84" sqref="N84"/>
    </sheetView>
  </sheetViews>
  <sheetFormatPr defaultColWidth="8.8515625" defaultRowHeight="15"/>
  <cols>
    <col min="1" max="1" width="3.421875" style="20" customWidth="1"/>
    <col min="2" max="2" width="10.140625" style="21" customWidth="1"/>
    <col min="3" max="3" width="4.7109375" style="22" customWidth="1"/>
    <col min="4" max="4" width="38.00390625" style="30" customWidth="1"/>
    <col min="5" max="5" width="4.57421875" style="24" customWidth="1"/>
    <col min="6" max="6" width="9.28125" style="25" customWidth="1"/>
    <col min="7" max="7" width="14.140625" style="181" customWidth="1"/>
    <col min="8" max="8" width="12.140625" style="27" customWidth="1"/>
    <col min="9" max="9" width="5.7109375" style="28" customWidth="1"/>
    <col min="10" max="10" width="11.00390625" style="29" customWidth="1"/>
    <col min="11" max="11" width="21.28125" style="30" customWidth="1"/>
    <col min="12" max="34" width="3.7109375" style="30" customWidth="1"/>
    <col min="35" max="35" width="10.28125" style="30" customWidth="1"/>
    <col min="36" max="36" width="3.7109375" style="30" customWidth="1"/>
    <col min="37" max="37" width="12.7109375" style="30" customWidth="1"/>
    <col min="38" max="38" width="3.7109375" style="30" customWidth="1"/>
    <col min="39" max="39" width="5.28125" style="30" customWidth="1"/>
    <col min="40" max="40" width="2.00390625" style="30" customWidth="1"/>
    <col min="41" max="41" width="1.7109375" style="30" customWidth="1"/>
    <col min="42" max="42" width="15.28125" style="30" customWidth="1"/>
    <col min="43" max="43" width="13.7109375" style="30" customWidth="1"/>
    <col min="44" max="47" width="8.7109375" style="30" customWidth="1"/>
    <col min="48" max="16384" width="8.8515625" style="30" customWidth="1"/>
  </cols>
  <sheetData>
    <row r="1" spans="4:43" ht="15">
      <c r="D1" s="23" t="s">
        <v>1430</v>
      </c>
      <c r="F1" s="248" t="s">
        <v>1433</v>
      </c>
      <c r="G1" s="249"/>
      <c r="H1" s="249"/>
      <c r="I1" s="250"/>
      <c r="AQ1" s="31"/>
    </row>
    <row r="2" spans="4:43" ht="14.4" customHeight="1">
      <c r="D2" s="32"/>
      <c r="F2" s="251"/>
      <c r="G2" s="252"/>
      <c r="H2" s="252"/>
      <c r="I2" s="253"/>
      <c r="AQ2" s="31"/>
    </row>
    <row r="3" spans="4:43" ht="14.4" customHeight="1">
      <c r="D3" s="32" t="s">
        <v>960</v>
      </c>
      <c r="F3" s="251"/>
      <c r="G3" s="252"/>
      <c r="H3" s="252"/>
      <c r="I3" s="253"/>
      <c r="AQ3" s="31"/>
    </row>
    <row r="4" spans="4:43" ht="14.4" customHeight="1">
      <c r="D4" s="32"/>
      <c r="F4" s="251"/>
      <c r="G4" s="252"/>
      <c r="H4" s="252"/>
      <c r="I4" s="253"/>
      <c r="AQ4" s="31"/>
    </row>
    <row r="5" spans="4:43" ht="14.4" customHeight="1">
      <c r="D5" s="36" t="s">
        <v>0</v>
      </c>
      <c r="F5" s="251"/>
      <c r="G5" s="252"/>
      <c r="H5" s="252"/>
      <c r="I5" s="253"/>
      <c r="AQ5" s="31"/>
    </row>
    <row r="6" spans="6:43" ht="14.4" customHeight="1">
      <c r="F6" s="251"/>
      <c r="G6" s="252"/>
      <c r="H6" s="252"/>
      <c r="I6" s="253"/>
      <c r="AQ6" s="31"/>
    </row>
    <row r="7" spans="4:43" ht="24.6" thickBot="1">
      <c r="D7" s="32" t="s">
        <v>1</v>
      </c>
      <c r="F7" s="254"/>
      <c r="G7" s="255"/>
      <c r="H7" s="255"/>
      <c r="I7" s="256"/>
      <c r="AQ7" s="31"/>
    </row>
    <row r="8" spans="4:43" ht="15">
      <c r="D8" s="32"/>
      <c r="G8" s="26"/>
      <c r="H8" s="35"/>
      <c r="AQ8" s="31"/>
    </row>
    <row r="9" spans="4:43" ht="15" customHeight="1">
      <c r="D9" s="37" t="s">
        <v>2</v>
      </c>
      <c r="G9" s="26"/>
      <c r="H9" s="35"/>
      <c r="AQ9" s="31"/>
    </row>
    <row r="10" spans="4:43" ht="12">
      <c r="D10" s="37" t="s">
        <v>3</v>
      </c>
      <c r="G10" s="26"/>
      <c r="H10" s="38"/>
      <c r="I10" s="38"/>
      <c r="AQ10" s="31"/>
    </row>
    <row r="11" spans="4:43" ht="18" customHeight="1">
      <c r="D11" s="37"/>
      <c r="G11" s="26"/>
      <c r="AQ11" s="31"/>
    </row>
    <row r="12" spans="4:43" ht="15">
      <c r="D12" s="37"/>
      <c r="G12" s="26"/>
      <c r="AQ12" s="31"/>
    </row>
    <row r="13" spans="2:43" ht="15">
      <c r="B13" s="39"/>
      <c r="C13" s="40"/>
      <c r="D13" s="41" t="s">
        <v>1361</v>
      </c>
      <c r="E13" s="42"/>
      <c r="F13" s="43"/>
      <c r="G13" s="44"/>
      <c r="H13" s="45"/>
      <c r="AQ13" s="31"/>
    </row>
    <row r="14" spans="2:43" ht="16.95" customHeight="1">
      <c r="B14" s="39"/>
      <c r="C14" s="40"/>
      <c r="D14" s="46" t="s">
        <v>4</v>
      </c>
      <c r="E14" s="42"/>
      <c r="F14" s="43"/>
      <c r="G14" s="44"/>
      <c r="H14" s="45"/>
      <c r="J14" s="47"/>
      <c r="AQ14" s="31"/>
    </row>
    <row r="15" spans="2:43" ht="15">
      <c r="B15" s="39"/>
      <c r="C15" s="40"/>
      <c r="D15" s="48" t="s">
        <v>5</v>
      </c>
      <c r="E15" s="42" t="s">
        <v>6</v>
      </c>
      <c r="F15" s="43"/>
      <c r="G15" s="44"/>
      <c r="H15" s="35">
        <f>H44</f>
        <v>0</v>
      </c>
      <c r="AQ15" s="31"/>
    </row>
    <row r="16" spans="2:43" ht="15">
      <c r="B16" s="39"/>
      <c r="C16" s="40"/>
      <c r="D16" s="49" t="s">
        <v>949</v>
      </c>
      <c r="E16" s="42" t="s">
        <v>6</v>
      </c>
      <c r="F16" s="43"/>
      <c r="G16" s="44"/>
      <c r="H16" s="35">
        <f>H86</f>
        <v>0</v>
      </c>
      <c r="AQ16" s="31"/>
    </row>
    <row r="17" spans="2:43" ht="15.6" customHeight="1">
      <c r="B17" s="39"/>
      <c r="C17" s="40"/>
      <c r="D17" s="49" t="s">
        <v>7</v>
      </c>
      <c r="E17" s="42" t="s">
        <v>6</v>
      </c>
      <c r="F17" s="43"/>
      <c r="G17" s="44"/>
      <c r="H17" s="35">
        <f>H102</f>
        <v>0</v>
      </c>
      <c r="AQ17" s="31"/>
    </row>
    <row r="18" spans="2:43" ht="15">
      <c r="B18" s="39"/>
      <c r="C18" s="40"/>
      <c r="D18" s="49" t="s">
        <v>8</v>
      </c>
      <c r="E18" s="42" t="s">
        <v>6</v>
      </c>
      <c r="F18" s="43"/>
      <c r="G18" s="44"/>
      <c r="H18" s="35">
        <f>H600</f>
        <v>0</v>
      </c>
      <c r="AQ18" s="31"/>
    </row>
    <row r="19" spans="4:43" ht="15">
      <c r="D19" s="50" t="s">
        <v>9</v>
      </c>
      <c r="E19" s="42" t="s">
        <v>6</v>
      </c>
      <c r="F19" s="51"/>
      <c r="G19" s="52"/>
      <c r="H19" s="35">
        <f>H763</f>
        <v>0</v>
      </c>
      <c r="AQ19" s="31"/>
    </row>
    <row r="20" spans="4:43" ht="15">
      <c r="D20" s="50" t="s">
        <v>10</v>
      </c>
      <c r="E20" s="42" t="s">
        <v>6</v>
      </c>
      <c r="F20" s="51"/>
      <c r="G20" s="52"/>
      <c r="H20" s="35">
        <f>H783</f>
        <v>0</v>
      </c>
      <c r="AQ20" s="31"/>
    </row>
    <row r="21" spans="4:43" ht="15">
      <c r="D21" s="50"/>
      <c r="E21" s="42"/>
      <c r="F21" s="51"/>
      <c r="G21" s="52"/>
      <c r="H21" s="35"/>
      <c r="AQ21" s="31"/>
    </row>
    <row r="22" spans="1:43" ht="15">
      <c r="A22" s="53"/>
      <c r="B22" s="54"/>
      <c r="C22" s="55"/>
      <c r="D22" s="56" t="s">
        <v>1307</v>
      </c>
      <c r="E22" s="42" t="s">
        <v>6</v>
      </c>
      <c r="F22" s="57"/>
      <c r="G22" s="58"/>
      <c r="H22" s="35">
        <f>SUM(H15:H21)</f>
        <v>0</v>
      </c>
      <c r="AQ22" s="31"/>
    </row>
    <row r="23" spans="1:43" ht="15">
      <c r="A23" s="53"/>
      <c r="B23" s="54"/>
      <c r="C23" s="55"/>
      <c r="D23" s="56"/>
      <c r="E23" s="59"/>
      <c r="F23" s="57"/>
      <c r="G23" s="58"/>
      <c r="H23" s="60"/>
      <c r="AQ23" s="31"/>
    </row>
    <row r="24" spans="1:43" ht="15">
      <c r="A24" s="53"/>
      <c r="B24" s="54"/>
      <c r="C24" s="55"/>
      <c r="D24" s="38" t="s">
        <v>11</v>
      </c>
      <c r="E24" s="42" t="s">
        <v>6</v>
      </c>
      <c r="F24" s="57"/>
      <c r="G24" s="58"/>
      <c r="H24" s="35">
        <f>H787</f>
        <v>0</v>
      </c>
      <c r="AQ24" s="31"/>
    </row>
    <row r="25" spans="1:43" ht="15">
      <c r="A25" s="53"/>
      <c r="B25" s="54"/>
      <c r="C25" s="55"/>
      <c r="D25" s="38"/>
      <c r="E25" s="42"/>
      <c r="F25" s="57"/>
      <c r="G25" s="58"/>
      <c r="H25" s="35"/>
      <c r="AQ25" s="31"/>
    </row>
    <row r="26" spans="1:43" ht="15">
      <c r="A26" s="53"/>
      <c r="B26" s="54"/>
      <c r="C26" s="55"/>
      <c r="D26" s="61"/>
      <c r="E26" s="59"/>
      <c r="F26" s="57"/>
      <c r="G26" s="58"/>
      <c r="H26" s="60"/>
      <c r="AQ26" s="31"/>
    </row>
    <row r="27" spans="1:43" ht="15">
      <c r="A27" s="53"/>
      <c r="B27" s="54"/>
      <c r="C27" s="55"/>
      <c r="D27" s="56" t="s">
        <v>12</v>
      </c>
      <c r="E27" s="42" t="s">
        <v>6</v>
      </c>
      <c r="F27" s="62"/>
      <c r="G27" s="63"/>
      <c r="H27" s="35">
        <f>SUM(H22:H24)</f>
        <v>0</v>
      </c>
      <c r="AQ27" s="31"/>
    </row>
    <row r="28" spans="1:43" ht="15">
      <c r="A28" s="53"/>
      <c r="B28" s="54"/>
      <c r="C28" s="55"/>
      <c r="D28" s="61"/>
      <c r="E28" s="59"/>
      <c r="F28" s="57"/>
      <c r="G28" s="58"/>
      <c r="H28" s="60"/>
      <c r="AQ28" s="31"/>
    </row>
    <row r="29" spans="1:43" ht="15">
      <c r="A29" s="53"/>
      <c r="B29" s="54"/>
      <c r="C29" s="55"/>
      <c r="D29" s="64" t="s">
        <v>13</v>
      </c>
      <c r="E29" s="42" t="s">
        <v>6</v>
      </c>
      <c r="F29" s="57"/>
      <c r="G29" s="58"/>
      <c r="H29" s="60">
        <f>H27*0.21</f>
        <v>0</v>
      </c>
      <c r="AQ29" s="31"/>
    </row>
    <row r="30" spans="1:43" ht="15">
      <c r="A30" s="53"/>
      <c r="B30" s="54"/>
      <c r="C30" s="55"/>
      <c r="D30" s="50"/>
      <c r="E30" s="59"/>
      <c r="F30" s="57"/>
      <c r="G30" s="58"/>
      <c r="H30" s="60"/>
      <c r="AQ30" s="31"/>
    </row>
    <row r="31" spans="4:43" ht="15">
      <c r="D31" s="56" t="s">
        <v>14</v>
      </c>
      <c r="E31" s="42" t="s">
        <v>6</v>
      </c>
      <c r="G31" s="26"/>
      <c r="H31" s="35">
        <f>ROUND((SUM(H27:H30)),2)</f>
        <v>0</v>
      </c>
      <c r="AQ31" s="31"/>
    </row>
    <row r="32" spans="4:43" ht="15">
      <c r="D32" s="56"/>
      <c r="G32" s="26"/>
      <c r="H32" s="35"/>
      <c r="AQ32" s="31"/>
    </row>
    <row r="33" spans="4:43" ht="15">
      <c r="D33" s="56"/>
      <c r="G33" s="26"/>
      <c r="H33" s="35"/>
      <c r="AQ33" s="31"/>
    </row>
    <row r="34" spans="1:43" ht="15">
      <c r="A34" s="53"/>
      <c r="B34" s="54"/>
      <c r="C34" s="55"/>
      <c r="D34" s="50"/>
      <c r="E34" s="59"/>
      <c r="F34" s="57"/>
      <c r="G34" s="58"/>
      <c r="H34" s="65"/>
      <c r="AQ34" s="31"/>
    </row>
    <row r="35" spans="1:250" ht="15">
      <c r="A35" s="66" t="s">
        <v>15</v>
      </c>
      <c r="B35" s="67" t="s">
        <v>16</v>
      </c>
      <c r="C35" s="68"/>
      <c r="D35" s="69" t="s">
        <v>17</v>
      </c>
      <c r="E35" s="70" t="s">
        <v>18</v>
      </c>
      <c r="F35" s="71" t="s">
        <v>19</v>
      </c>
      <c r="G35" s="71" t="s">
        <v>20</v>
      </c>
      <c r="H35" s="72" t="s">
        <v>21</v>
      </c>
      <c r="J35" s="73"/>
      <c r="K35" s="74"/>
      <c r="L35" s="75"/>
      <c r="M35" s="76"/>
      <c r="N35" s="24"/>
      <c r="O35" s="37"/>
      <c r="P35" s="24"/>
      <c r="Q35" s="77"/>
      <c r="R35" s="77"/>
      <c r="S35" s="74"/>
      <c r="T35" s="75"/>
      <c r="U35" s="76"/>
      <c r="V35" s="24"/>
      <c r="W35" s="37"/>
      <c r="X35" s="24"/>
      <c r="Y35" s="77"/>
      <c r="Z35" s="77"/>
      <c r="AA35" s="74"/>
      <c r="AB35" s="75"/>
      <c r="AC35" s="76"/>
      <c r="AD35" s="24"/>
      <c r="AE35" s="37"/>
      <c r="AF35" s="24"/>
      <c r="AG35" s="77"/>
      <c r="AH35" s="77"/>
      <c r="AI35" s="74"/>
      <c r="AJ35" s="75"/>
      <c r="AK35" s="76"/>
      <c r="AL35" s="24"/>
      <c r="AM35" s="37"/>
      <c r="AN35" s="24"/>
      <c r="AO35" s="77"/>
      <c r="AP35" s="77"/>
      <c r="AQ35" s="74"/>
      <c r="AR35" s="75"/>
      <c r="AS35" s="76"/>
      <c r="AT35" s="24"/>
      <c r="AU35" s="37"/>
      <c r="AV35" s="24"/>
      <c r="AW35" s="77"/>
      <c r="AX35" s="77"/>
      <c r="AY35" s="74"/>
      <c r="AZ35" s="75"/>
      <c r="BA35" s="76"/>
      <c r="BB35" s="24"/>
      <c r="BC35" s="37"/>
      <c r="BD35" s="24"/>
      <c r="BE35" s="77"/>
      <c r="BF35" s="77"/>
      <c r="BG35" s="74"/>
      <c r="BH35" s="75"/>
      <c r="BI35" s="76"/>
      <c r="BJ35" s="24"/>
      <c r="BK35" s="37"/>
      <c r="BL35" s="24"/>
      <c r="BM35" s="77"/>
      <c r="BN35" s="77"/>
      <c r="BO35" s="74"/>
      <c r="BP35" s="75"/>
      <c r="BQ35" s="76"/>
      <c r="BR35" s="24"/>
      <c r="BS35" s="37"/>
      <c r="BT35" s="24"/>
      <c r="BU35" s="77"/>
      <c r="BV35" s="77"/>
      <c r="BW35" s="74"/>
      <c r="BX35" s="75"/>
      <c r="BY35" s="76"/>
      <c r="BZ35" s="24"/>
      <c r="CA35" s="37"/>
      <c r="CB35" s="24"/>
      <c r="CC35" s="77"/>
      <c r="CD35" s="77"/>
      <c r="CE35" s="74"/>
      <c r="CF35" s="75"/>
      <c r="CG35" s="76"/>
      <c r="CH35" s="24"/>
      <c r="CI35" s="37"/>
      <c r="CJ35" s="24"/>
      <c r="CK35" s="77"/>
      <c r="CL35" s="77"/>
      <c r="CM35" s="74"/>
      <c r="CN35" s="75"/>
      <c r="CO35" s="76"/>
      <c r="CP35" s="24"/>
      <c r="CQ35" s="37"/>
      <c r="CR35" s="24"/>
      <c r="CS35" s="77"/>
      <c r="CT35" s="77"/>
      <c r="CU35" s="74"/>
      <c r="CV35" s="75"/>
      <c r="CW35" s="76"/>
      <c r="CX35" s="24"/>
      <c r="CY35" s="37"/>
      <c r="CZ35" s="24"/>
      <c r="DA35" s="77"/>
      <c r="DB35" s="77"/>
      <c r="DC35" s="74"/>
      <c r="DD35" s="75"/>
      <c r="DE35" s="76"/>
      <c r="DF35" s="24"/>
      <c r="DG35" s="37"/>
      <c r="DH35" s="24"/>
      <c r="DI35" s="77"/>
      <c r="DJ35" s="77"/>
      <c r="DK35" s="74"/>
      <c r="DL35" s="75"/>
      <c r="DM35" s="76"/>
      <c r="DN35" s="24"/>
      <c r="DO35" s="37"/>
      <c r="DP35" s="24"/>
      <c r="DQ35" s="77"/>
      <c r="DR35" s="77"/>
      <c r="DS35" s="74"/>
      <c r="DT35" s="75"/>
      <c r="DU35" s="76"/>
      <c r="DV35" s="24"/>
      <c r="DW35" s="37"/>
      <c r="DX35" s="24"/>
      <c r="DY35" s="77"/>
      <c r="DZ35" s="77"/>
      <c r="EA35" s="74"/>
      <c r="EB35" s="75"/>
      <c r="EC35" s="76"/>
      <c r="ED35" s="24"/>
      <c r="EE35" s="37"/>
      <c r="EF35" s="24"/>
      <c r="EG35" s="77"/>
      <c r="EH35" s="77"/>
      <c r="EI35" s="74"/>
      <c r="EJ35" s="75"/>
      <c r="EK35" s="76"/>
      <c r="EL35" s="24"/>
      <c r="EM35" s="37"/>
      <c r="EN35" s="24"/>
      <c r="EO35" s="77"/>
      <c r="EP35" s="77"/>
      <c r="EQ35" s="74"/>
      <c r="ER35" s="75"/>
      <c r="ES35" s="76"/>
      <c r="ET35" s="24"/>
      <c r="EU35" s="37"/>
      <c r="EV35" s="24"/>
      <c r="EW35" s="77"/>
      <c r="EX35" s="77"/>
      <c r="EY35" s="74"/>
      <c r="EZ35" s="75"/>
      <c r="FA35" s="76"/>
      <c r="FB35" s="24"/>
      <c r="FC35" s="37"/>
      <c r="FD35" s="24"/>
      <c r="FE35" s="77"/>
      <c r="FF35" s="77"/>
      <c r="FG35" s="74"/>
      <c r="FH35" s="75"/>
      <c r="FI35" s="76"/>
      <c r="FJ35" s="24"/>
      <c r="FK35" s="37"/>
      <c r="FL35" s="24"/>
      <c r="FM35" s="77"/>
      <c r="FN35" s="77"/>
      <c r="FO35" s="74"/>
      <c r="FP35" s="75"/>
      <c r="FQ35" s="76"/>
      <c r="FR35" s="24"/>
      <c r="FS35" s="37"/>
      <c r="FT35" s="24"/>
      <c r="FU35" s="77"/>
      <c r="FV35" s="77"/>
      <c r="FW35" s="74"/>
      <c r="FX35" s="75"/>
      <c r="FY35" s="76"/>
      <c r="FZ35" s="24"/>
      <c r="GA35" s="37"/>
      <c r="GB35" s="24"/>
      <c r="GC35" s="77"/>
      <c r="GD35" s="77"/>
      <c r="GE35" s="74"/>
      <c r="GF35" s="75"/>
      <c r="GG35" s="76"/>
      <c r="GH35" s="24"/>
      <c r="GI35" s="37"/>
      <c r="GJ35" s="24"/>
      <c r="GK35" s="77"/>
      <c r="GL35" s="77"/>
      <c r="GM35" s="74"/>
      <c r="GN35" s="75"/>
      <c r="GO35" s="76"/>
      <c r="GP35" s="24"/>
      <c r="GQ35" s="37"/>
      <c r="GR35" s="24"/>
      <c r="GS35" s="77"/>
      <c r="GT35" s="77"/>
      <c r="GU35" s="74"/>
      <c r="GV35" s="75"/>
      <c r="GW35" s="76"/>
      <c r="GX35" s="24"/>
      <c r="GY35" s="37"/>
      <c r="GZ35" s="24"/>
      <c r="HA35" s="77"/>
      <c r="HB35" s="77"/>
      <c r="HC35" s="74"/>
      <c r="HD35" s="75"/>
      <c r="HE35" s="76"/>
      <c r="HF35" s="24"/>
      <c r="HG35" s="37"/>
      <c r="HH35" s="24"/>
      <c r="HI35" s="77"/>
      <c r="HJ35" s="77"/>
      <c r="HK35" s="74"/>
      <c r="HL35" s="75"/>
      <c r="HM35" s="76"/>
      <c r="HN35" s="24"/>
      <c r="HO35" s="37"/>
      <c r="HP35" s="24"/>
      <c r="HQ35" s="77"/>
      <c r="HR35" s="77"/>
      <c r="HS35" s="74"/>
      <c r="HT35" s="75"/>
      <c r="HU35" s="76"/>
      <c r="HV35" s="24"/>
      <c r="HW35" s="37"/>
      <c r="HX35" s="24"/>
      <c r="HY35" s="77"/>
      <c r="HZ35" s="77"/>
      <c r="IA35" s="74"/>
      <c r="IB35" s="75"/>
      <c r="IC35" s="76"/>
      <c r="ID35" s="24"/>
      <c r="IE35" s="37"/>
      <c r="IF35" s="24"/>
      <c r="IG35" s="77"/>
      <c r="IH35" s="77"/>
      <c r="II35" s="74"/>
      <c r="IJ35" s="75"/>
      <c r="IK35" s="76"/>
      <c r="IL35" s="24"/>
      <c r="IM35" s="37"/>
      <c r="IN35" s="24"/>
      <c r="IO35" s="77"/>
      <c r="IP35" s="77"/>
    </row>
    <row r="36" spans="1:43" ht="15">
      <c r="A36" s="53" t="s">
        <v>1326</v>
      </c>
      <c r="B36" s="54"/>
      <c r="C36" s="55"/>
      <c r="D36" s="50" t="s">
        <v>26</v>
      </c>
      <c r="E36" s="59"/>
      <c r="F36" s="57"/>
      <c r="G36" s="58"/>
      <c r="H36" s="65"/>
      <c r="AQ36" s="31"/>
    </row>
    <row r="37" spans="1:43" ht="48.6">
      <c r="A37" s="53" t="s">
        <v>22</v>
      </c>
      <c r="B37" s="54"/>
      <c r="C37" s="55"/>
      <c r="D37" s="78" t="s">
        <v>1353</v>
      </c>
      <c r="E37" s="59"/>
      <c r="F37" s="57"/>
      <c r="G37" s="58"/>
      <c r="H37" s="65"/>
      <c r="AQ37" s="31"/>
    </row>
    <row r="38" spans="1:43" ht="48">
      <c r="A38" s="53" t="s">
        <v>23</v>
      </c>
      <c r="B38" s="54"/>
      <c r="C38" s="55"/>
      <c r="D38" s="79" t="s">
        <v>1432</v>
      </c>
      <c r="E38" s="59"/>
      <c r="F38" s="57"/>
      <c r="G38" s="58"/>
      <c r="H38" s="65"/>
      <c r="AQ38" s="31"/>
    </row>
    <row r="39" spans="1:43" ht="15">
      <c r="A39" s="53" t="s">
        <v>24</v>
      </c>
      <c r="B39" s="54"/>
      <c r="C39" s="55"/>
      <c r="D39" s="50" t="s">
        <v>1355</v>
      </c>
      <c r="E39" s="59"/>
      <c r="F39" s="57"/>
      <c r="G39" s="58"/>
      <c r="H39" s="65"/>
      <c r="AQ39" s="31"/>
    </row>
    <row r="40" spans="1:43" ht="72.6">
      <c r="A40" s="53" t="s">
        <v>25</v>
      </c>
      <c r="B40" s="54"/>
      <c r="C40" s="55"/>
      <c r="D40" s="30" t="s">
        <v>1356</v>
      </c>
      <c r="E40" s="59"/>
      <c r="F40" s="57"/>
      <c r="G40" s="58"/>
      <c r="H40" s="65"/>
      <c r="AQ40" s="31"/>
    </row>
    <row r="41" spans="1:43" ht="24.6">
      <c r="A41" s="53" t="s">
        <v>27</v>
      </c>
      <c r="B41" s="54"/>
      <c r="C41" s="55"/>
      <c r="D41" s="78" t="s">
        <v>1357</v>
      </c>
      <c r="E41" s="59"/>
      <c r="F41" s="57"/>
      <c r="G41" s="58"/>
      <c r="H41" s="65"/>
      <c r="AQ41" s="31"/>
    </row>
    <row r="42" spans="1:43" ht="15">
      <c r="A42" s="53" t="s">
        <v>28</v>
      </c>
      <c r="B42" s="39"/>
      <c r="C42" s="40"/>
      <c r="E42" s="42"/>
      <c r="F42" s="43"/>
      <c r="G42" s="44"/>
      <c r="H42" s="45"/>
      <c r="AQ42" s="31"/>
    </row>
    <row r="43" spans="1:43" ht="15">
      <c r="A43" s="53" t="s">
        <v>29</v>
      </c>
      <c r="B43" s="39"/>
      <c r="C43" s="40"/>
      <c r="E43" s="42"/>
      <c r="F43" s="43"/>
      <c r="G43" s="44"/>
      <c r="H43" s="45"/>
      <c r="AQ43" s="31"/>
    </row>
    <row r="44" spans="1:43" ht="24.6">
      <c r="A44" s="53" t="s">
        <v>30</v>
      </c>
      <c r="B44" s="39"/>
      <c r="C44" s="40"/>
      <c r="D44" s="41" t="s">
        <v>946</v>
      </c>
      <c r="E44" s="80" t="s">
        <v>37</v>
      </c>
      <c r="F44" s="81" t="s">
        <v>38</v>
      </c>
      <c r="G44" s="44"/>
      <c r="H44" s="82">
        <f>SUM(H47:H84)</f>
        <v>0</v>
      </c>
      <c r="AQ44" s="31"/>
    </row>
    <row r="45" spans="1:43" ht="15">
      <c r="A45" s="53" t="s">
        <v>31</v>
      </c>
      <c r="B45" s="39"/>
      <c r="C45" s="40"/>
      <c r="D45" s="83"/>
      <c r="E45" s="80"/>
      <c r="F45" s="81"/>
      <c r="G45" s="44"/>
      <c r="H45" s="84"/>
      <c r="AQ45" s="31"/>
    </row>
    <row r="46" spans="1:43" ht="72.6">
      <c r="A46" s="53" t="s">
        <v>32</v>
      </c>
      <c r="B46" s="39" t="s">
        <v>1362</v>
      </c>
      <c r="C46" s="40"/>
      <c r="D46" s="49" t="s">
        <v>1363</v>
      </c>
      <c r="E46" s="80"/>
      <c r="F46" s="81"/>
      <c r="G46" s="44"/>
      <c r="H46" s="84"/>
      <c r="AQ46" s="31"/>
    </row>
    <row r="47" spans="1:43" ht="15">
      <c r="A47" s="53" t="s">
        <v>33</v>
      </c>
      <c r="B47" s="39"/>
      <c r="C47" s="40"/>
      <c r="D47" s="49" t="s">
        <v>1308</v>
      </c>
      <c r="E47" s="42" t="s">
        <v>41</v>
      </c>
      <c r="F47" s="43">
        <f>410*1*1.2</f>
        <v>492</v>
      </c>
      <c r="G47" s="85"/>
      <c r="H47" s="45">
        <f>ROUND((F47*G47),2)</f>
        <v>0</v>
      </c>
      <c r="AQ47" s="31"/>
    </row>
    <row r="48" spans="1:43" ht="24.6">
      <c r="A48" s="53" t="s">
        <v>34</v>
      </c>
      <c r="B48" s="39"/>
      <c r="C48" s="40"/>
      <c r="D48" s="49" t="s">
        <v>1137</v>
      </c>
      <c r="E48" s="42" t="s">
        <v>41</v>
      </c>
      <c r="F48" s="43">
        <f>2*2+(2+2)*2*1.5</f>
        <v>16</v>
      </c>
      <c r="G48" s="85"/>
      <c r="H48" s="45">
        <f>ROUND((F48*G48),2)</f>
        <v>0</v>
      </c>
      <c r="AQ48" s="31"/>
    </row>
    <row r="49" spans="1:43" ht="15">
      <c r="A49" s="53" t="s">
        <v>35</v>
      </c>
      <c r="B49" s="39">
        <v>998011014</v>
      </c>
      <c r="C49" s="40"/>
      <c r="D49" s="49" t="s">
        <v>1364</v>
      </c>
      <c r="E49" s="42"/>
      <c r="F49" s="43"/>
      <c r="G49" s="44"/>
      <c r="H49" s="45"/>
      <c r="AQ49" s="31"/>
    </row>
    <row r="50" spans="1:43" ht="15">
      <c r="A50" s="53" t="s">
        <v>36</v>
      </c>
      <c r="B50" s="39"/>
      <c r="C50" s="40"/>
      <c r="D50" s="49" t="s">
        <v>1309</v>
      </c>
      <c r="E50" s="42" t="s">
        <v>117</v>
      </c>
      <c r="F50" s="43">
        <f>(492)*0.0114</f>
        <v>5.6088000000000005</v>
      </c>
      <c r="G50" s="85"/>
      <c r="H50" s="45">
        <f>ROUND((F50*G50),2)</f>
        <v>0</v>
      </c>
      <c r="AQ50" s="31"/>
    </row>
    <row r="51" spans="1:43" ht="15">
      <c r="A51" s="53" t="s">
        <v>39</v>
      </c>
      <c r="B51" s="39"/>
      <c r="C51" s="40"/>
      <c r="D51" s="49"/>
      <c r="E51" s="42"/>
      <c r="F51" s="43"/>
      <c r="G51" s="44"/>
      <c r="H51" s="45"/>
      <c r="AQ51" s="31"/>
    </row>
    <row r="52" spans="1:43" ht="48.6">
      <c r="A52" s="53" t="s">
        <v>40</v>
      </c>
      <c r="B52" s="39" t="s">
        <v>1310</v>
      </c>
      <c r="C52" s="40"/>
      <c r="D52" s="49" t="s">
        <v>1365</v>
      </c>
      <c r="E52" s="80"/>
      <c r="F52" s="81"/>
      <c r="G52" s="44"/>
      <c r="H52" s="45"/>
      <c r="AQ52" s="31"/>
    </row>
    <row r="53" spans="1:43" ht="15">
      <c r="A53" s="53" t="s">
        <v>42</v>
      </c>
      <c r="B53" s="39"/>
      <c r="C53" s="40"/>
      <c r="D53" s="49" t="s">
        <v>1319</v>
      </c>
      <c r="E53" s="42" t="s">
        <v>41</v>
      </c>
      <c r="F53" s="43">
        <f>1.5*1.5*410</f>
        <v>922.5</v>
      </c>
      <c r="G53" s="85"/>
      <c r="H53" s="45">
        <f>ROUND((F53*G53),2)</f>
        <v>0</v>
      </c>
      <c r="AQ53" s="31"/>
    </row>
    <row r="54" spans="1:43" ht="15">
      <c r="A54" s="53" t="s">
        <v>44</v>
      </c>
      <c r="B54" s="39"/>
      <c r="C54" s="40"/>
      <c r="D54" s="86"/>
      <c r="E54" s="42"/>
      <c r="F54" s="43"/>
      <c r="G54" s="44"/>
      <c r="H54" s="45"/>
      <c r="AQ54" s="31"/>
    </row>
    <row r="55" spans="1:43" ht="15">
      <c r="A55" s="53" t="s">
        <v>45</v>
      </c>
      <c r="B55" s="39">
        <v>735494811</v>
      </c>
      <c r="C55" s="40"/>
      <c r="D55" s="87" t="s">
        <v>48</v>
      </c>
      <c r="E55" s="42" t="s">
        <v>41</v>
      </c>
      <c r="F55" s="81">
        <f>SUM(F56:F63)</f>
        <v>1930.235</v>
      </c>
      <c r="G55" s="85"/>
      <c r="H55" s="45">
        <f>ROUND((F55*G55),2)</f>
        <v>0</v>
      </c>
      <c r="J55" s="88"/>
      <c r="AQ55" s="31"/>
    </row>
    <row r="56" spans="1:43" ht="15">
      <c r="A56" s="53" t="s">
        <v>43</v>
      </c>
      <c r="B56" s="39"/>
      <c r="C56" s="40"/>
      <c r="D56" s="89" t="s">
        <v>1312</v>
      </c>
      <c r="E56" s="80"/>
      <c r="F56" s="90">
        <f>F143</f>
        <v>596.6149999999998</v>
      </c>
      <c r="G56" s="44"/>
      <c r="H56" s="45"/>
      <c r="AQ56" s="31"/>
    </row>
    <row r="57" spans="1:43" ht="15">
      <c r="A57" s="53" t="s">
        <v>46</v>
      </c>
      <c r="B57" s="39"/>
      <c r="C57" s="40"/>
      <c r="D57" s="89" t="s">
        <v>1313</v>
      </c>
      <c r="E57" s="42"/>
      <c r="F57" s="43">
        <f>F256</f>
        <v>430.7899999999999</v>
      </c>
      <c r="G57" s="44"/>
      <c r="AQ57" s="31"/>
    </row>
    <row r="58" spans="1:43" ht="15">
      <c r="A58" s="53" t="s">
        <v>47</v>
      </c>
      <c r="B58" s="39"/>
      <c r="C58" s="40"/>
      <c r="D58" s="89" t="s">
        <v>1138</v>
      </c>
      <c r="E58" s="42"/>
      <c r="F58" s="43">
        <f>F356</f>
        <v>174.25</v>
      </c>
      <c r="G58" s="44"/>
      <c r="H58" s="45"/>
      <c r="AQ58" s="31"/>
    </row>
    <row r="59" spans="1:43" ht="15">
      <c r="A59" s="53" t="s">
        <v>49</v>
      </c>
      <c r="B59" s="39"/>
      <c r="C59" s="40"/>
      <c r="D59" s="89" t="s">
        <v>1139</v>
      </c>
      <c r="E59" s="42"/>
      <c r="F59" s="43">
        <f>F389</f>
        <v>124.43000000000002</v>
      </c>
      <c r="G59" s="44"/>
      <c r="H59" s="45"/>
      <c r="AQ59" s="31"/>
    </row>
    <row r="60" spans="1:43" ht="15">
      <c r="A60" s="53" t="s">
        <v>50</v>
      </c>
      <c r="B60" s="39"/>
      <c r="C60" s="40"/>
      <c r="D60" s="89" t="s">
        <v>1140</v>
      </c>
      <c r="E60" s="42"/>
      <c r="F60" s="43">
        <f>F419</f>
        <v>223.32500000000005</v>
      </c>
      <c r="G60" s="44"/>
      <c r="H60" s="45"/>
      <c r="AQ60" s="31"/>
    </row>
    <row r="61" spans="1:43" ht="15">
      <c r="A61" s="53" t="s">
        <v>51</v>
      </c>
      <c r="B61" s="39"/>
      <c r="C61" s="40"/>
      <c r="D61" s="89" t="s">
        <v>1141</v>
      </c>
      <c r="E61" s="42"/>
      <c r="F61" s="43">
        <f>F465</f>
        <v>174.63499999999996</v>
      </c>
      <c r="G61" s="44"/>
      <c r="H61" s="45"/>
      <c r="AQ61" s="31"/>
    </row>
    <row r="62" spans="1:43" ht="15">
      <c r="A62" s="53" t="s">
        <v>52</v>
      </c>
      <c r="B62" s="39"/>
      <c r="C62" s="40"/>
      <c r="D62" s="89" t="s">
        <v>1142</v>
      </c>
      <c r="E62" s="42"/>
      <c r="F62" s="43">
        <f>F529</f>
        <v>135.53500000000003</v>
      </c>
      <c r="G62" s="44"/>
      <c r="H62" s="45"/>
      <c r="AQ62" s="31"/>
    </row>
    <row r="63" spans="1:43" ht="15">
      <c r="A63" s="53" t="s">
        <v>53</v>
      </c>
      <c r="B63" s="39"/>
      <c r="C63" s="40"/>
      <c r="D63" s="89" t="s">
        <v>1143</v>
      </c>
      <c r="E63" s="42"/>
      <c r="F63" s="43">
        <f>F566</f>
        <v>70.655</v>
      </c>
      <c r="G63" s="44"/>
      <c r="H63" s="45"/>
      <c r="AQ63" s="31"/>
    </row>
    <row r="64" spans="1:43" ht="15">
      <c r="A64" s="53" t="s">
        <v>54</v>
      </c>
      <c r="B64" s="39"/>
      <c r="C64" s="40"/>
      <c r="D64" s="78"/>
      <c r="E64" s="42"/>
      <c r="F64" s="43"/>
      <c r="G64" s="44"/>
      <c r="H64" s="45"/>
      <c r="AQ64" s="31"/>
    </row>
    <row r="65" spans="1:43" ht="27.6">
      <c r="A65" s="53" t="s">
        <v>55</v>
      </c>
      <c r="B65" s="39">
        <v>735494811</v>
      </c>
      <c r="C65" s="40"/>
      <c r="D65" s="91" t="s">
        <v>57</v>
      </c>
      <c r="E65" s="42" t="s">
        <v>41</v>
      </c>
      <c r="F65" s="92">
        <f>SUM(F66:F71)</f>
        <v>112.41199999999998</v>
      </c>
      <c r="G65" s="85"/>
      <c r="H65" s="45">
        <f>ROUND((F65*G65),2)</f>
        <v>0</v>
      </c>
      <c r="J65" s="88"/>
      <c r="AQ65" s="31"/>
    </row>
    <row r="66" spans="1:43" ht="15">
      <c r="A66" s="53" t="s">
        <v>56</v>
      </c>
      <c r="B66" s="39"/>
      <c r="C66" s="40"/>
      <c r="D66" s="89" t="s">
        <v>59</v>
      </c>
      <c r="E66" s="42"/>
      <c r="F66" s="93">
        <f>90*0.0628</f>
        <v>5.651999999999999</v>
      </c>
      <c r="G66" s="44"/>
      <c r="H66" s="45"/>
      <c r="AQ66" s="31"/>
    </row>
    <row r="67" spans="1:43" ht="15">
      <c r="A67" s="53" t="s">
        <v>58</v>
      </c>
      <c r="B67" s="39"/>
      <c r="C67" s="40"/>
      <c r="D67" s="89" t="s">
        <v>61</v>
      </c>
      <c r="E67" s="42"/>
      <c r="F67" s="93">
        <f>495*0.0628</f>
        <v>31.086</v>
      </c>
      <c r="G67" s="44"/>
      <c r="H67" s="45"/>
      <c r="AQ67" s="31"/>
    </row>
    <row r="68" spans="1:43" ht="15">
      <c r="A68" s="53" t="s">
        <v>60</v>
      </c>
      <c r="B68" s="39"/>
      <c r="C68" s="40"/>
      <c r="D68" s="89" t="s">
        <v>63</v>
      </c>
      <c r="E68" s="42"/>
      <c r="F68" s="93">
        <f>358*0.0628</f>
        <v>22.4824</v>
      </c>
      <c r="G68" s="44"/>
      <c r="H68" s="45"/>
      <c r="AQ68" s="31"/>
    </row>
    <row r="69" spans="1:43" ht="15">
      <c r="A69" s="53" t="s">
        <v>62</v>
      </c>
      <c r="B69" s="39"/>
      <c r="C69" s="40"/>
      <c r="D69" s="89" t="s">
        <v>65</v>
      </c>
      <c r="E69" s="42"/>
      <c r="F69" s="93">
        <f>320*0.0628</f>
        <v>20.095999999999997</v>
      </c>
      <c r="G69" s="44"/>
      <c r="H69" s="45"/>
      <c r="AQ69" s="31"/>
    </row>
    <row r="70" spans="1:43" ht="15">
      <c r="A70" s="53" t="s">
        <v>64</v>
      </c>
      <c r="B70" s="39"/>
      <c r="C70" s="40"/>
      <c r="D70" s="89" t="s">
        <v>67</v>
      </c>
      <c r="E70" s="42"/>
      <c r="F70" s="93">
        <f>298*0.0628</f>
        <v>18.714399999999998</v>
      </c>
      <c r="G70" s="44"/>
      <c r="H70" s="45"/>
      <c r="AQ70" s="31"/>
    </row>
    <row r="71" spans="1:43" ht="15">
      <c r="A71" s="53" t="s">
        <v>66</v>
      </c>
      <c r="B71" s="39"/>
      <c r="C71" s="40"/>
      <c r="D71" s="89" t="s">
        <v>69</v>
      </c>
      <c r="E71" s="42"/>
      <c r="F71" s="93">
        <f>229*0.0628</f>
        <v>14.381199999999998</v>
      </c>
      <c r="G71" s="44"/>
      <c r="H71" s="45"/>
      <c r="AQ71" s="31"/>
    </row>
    <row r="72" spans="1:43" ht="15">
      <c r="A72" s="53" t="s">
        <v>68</v>
      </c>
      <c r="B72" s="39"/>
      <c r="C72" s="40"/>
      <c r="D72" s="89"/>
      <c r="E72" s="42"/>
      <c r="F72" s="93"/>
      <c r="G72" s="44"/>
      <c r="H72" s="45"/>
      <c r="AQ72" s="31"/>
    </row>
    <row r="73" spans="1:43" ht="27.6">
      <c r="A73" s="53" t="s">
        <v>70</v>
      </c>
      <c r="B73" s="39">
        <v>735494811</v>
      </c>
      <c r="C73" s="40"/>
      <c r="D73" s="91" t="s">
        <v>1318</v>
      </c>
      <c r="E73" s="42" t="s">
        <v>41</v>
      </c>
      <c r="F73" s="43">
        <f>SUM(F74:F79)</f>
        <v>226.1428</v>
      </c>
      <c r="G73" s="85"/>
      <c r="H73" s="45">
        <f>ROUND((F73*G73),2)</f>
        <v>0</v>
      </c>
      <c r="J73" s="88"/>
      <c r="AQ73" s="31"/>
    </row>
    <row r="74" spans="1:43" ht="15">
      <c r="A74" s="53" t="s">
        <v>71</v>
      </c>
      <c r="B74" s="39"/>
      <c r="C74" s="40"/>
      <c r="D74" s="89" t="s">
        <v>73</v>
      </c>
      <c r="E74" s="42"/>
      <c r="F74" s="94">
        <f>(85+80+7)*0.0628</f>
        <v>10.801599999999999</v>
      </c>
      <c r="G74" s="44"/>
      <c r="H74" s="45"/>
      <c r="AQ74" s="31"/>
    </row>
    <row r="75" spans="1:43" ht="15">
      <c r="A75" s="53" t="s">
        <v>72</v>
      </c>
      <c r="B75" s="39"/>
      <c r="C75" s="40"/>
      <c r="D75" s="89" t="s">
        <v>75</v>
      </c>
      <c r="E75" s="42"/>
      <c r="F75" s="94">
        <f>(296+257+80)*0.0628</f>
        <v>39.752399999999994</v>
      </c>
      <c r="G75" s="44"/>
      <c r="H75" s="45"/>
      <c r="AQ75" s="31"/>
    </row>
    <row r="76" spans="1:43" ht="15">
      <c r="A76" s="53" t="s">
        <v>74</v>
      </c>
      <c r="B76" s="39"/>
      <c r="C76" s="40"/>
      <c r="D76" s="89" t="s">
        <v>77</v>
      </c>
      <c r="E76" s="42"/>
      <c r="F76" s="94">
        <f>(293+308+85)*0.0628</f>
        <v>43.080799999999996</v>
      </c>
      <c r="G76" s="44"/>
      <c r="H76" s="45"/>
      <c r="AQ76" s="31"/>
    </row>
    <row r="77" spans="1:43" ht="15">
      <c r="A77" s="53" t="s">
        <v>76</v>
      </c>
      <c r="B77" s="39"/>
      <c r="C77" s="40"/>
      <c r="D77" s="89" t="s">
        <v>79</v>
      </c>
      <c r="E77" s="42"/>
      <c r="F77" s="95">
        <f>(263+281+68)*0.0628</f>
        <v>38.4336</v>
      </c>
      <c r="G77" s="44"/>
      <c r="H77" s="45"/>
      <c r="AQ77" s="31"/>
    </row>
    <row r="78" spans="1:43" ht="15">
      <c r="A78" s="53" t="s">
        <v>78</v>
      </c>
      <c r="B78" s="39"/>
      <c r="C78" s="40"/>
      <c r="D78" s="89" t="s">
        <v>81</v>
      </c>
      <c r="E78" s="42"/>
      <c r="F78" s="95">
        <f>(288+290+70)*0.0628</f>
        <v>40.694399999999995</v>
      </c>
      <c r="G78" s="44"/>
      <c r="H78" s="45"/>
      <c r="AQ78" s="31"/>
    </row>
    <row r="79" spans="1:43" ht="15">
      <c r="A79" s="53" t="s">
        <v>80</v>
      </c>
      <c r="B79" s="39"/>
      <c r="C79" s="40"/>
      <c r="D79" s="89" t="s">
        <v>83</v>
      </c>
      <c r="E79" s="42"/>
      <c r="F79" s="95">
        <f>(375+385+90)*0.0628</f>
        <v>53.379999999999995</v>
      </c>
      <c r="G79" s="44"/>
      <c r="H79" s="45"/>
      <c r="AQ79" s="31"/>
    </row>
    <row r="80" spans="1:43" ht="15">
      <c r="A80" s="53" t="s">
        <v>82</v>
      </c>
      <c r="B80" s="39"/>
      <c r="C80" s="40"/>
      <c r="D80" s="89"/>
      <c r="E80" s="42"/>
      <c r="F80" s="96"/>
      <c r="G80" s="44"/>
      <c r="H80" s="45"/>
      <c r="AQ80" s="31"/>
    </row>
    <row r="81" spans="1:43" ht="41.4">
      <c r="A81" s="53" t="s">
        <v>84</v>
      </c>
      <c r="B81" s="39" t="s">
        <v>86</v>
      </c>
      <c r="C81" s="40"/>
      <c r="D81" s="89" t="s">
        <v>87</v>
      </c>
      <c r="E81" s="42" t="s">
        <v>88</v>
      </c>
      <c r="F81" s="44">
        <v>3</v>
      </c>
      <c r="G81" s="85"/>
      <c r="H81" s="45">
        <f>ROUND((F81*G81),2)</f>
        <v>0</v>
      </c>
      <c r="J81" s="88"/>
      <c r="AQ81" s="31"/>
    </row>
    <row r="82" spans="1:43" ht="55.2">
      <c r="A82" s="53" t="s">
        <v>85</v>
      </c>
      <c r="B82" s="39" t="s">
        <v>90</v>
      </c>
      <c r="C82" s="40"/>
      <c r="D82" s="89" t="s">
        <v>1320</v>
      </c>
      <c r="E82" s="42" t="s">
        <v>91</v>
      </c>
      <c r="F82" s="44">
        <f>410*4</f>
        <v>1640</v>
      </c>
      <c r="G82" s="85"/>
      <c r="H82" s="45">
        <f>ROUND((F82*G82),2)</f>
        <v>0</v>
      </c>
      <c r="J82" s="97"/>
      <c r="AQ82" s="31"/>
    </row>
    <row r="83" spans="1:43" ht="15">
      <c r="A83" s="53" t="s">
        <v>89</v>
      </c>
      <c r="B83" s="39"/>
      <c r="C83" s="40"/>
      <c r="D83" s="89"/>
      <c r="E83" s="42"/>
      <c r="F83" s="95"/>
      <c r="G83" s="96"/>
      <c r="H83" s="98"/>
      <c r="J83" s="97"/>
      <c r="AQ83" s="31"/>
    </row>
    <row r="84" spans="1:43" ht="27.6">
      <c r="A84" s="53" t="s">
        <v>92</v>
      </c>
      <c r="B84" s="39">
        <v>735117110</v>
      </c>
      <c r="C84" s="40"/>
      <c r="D84" s="91" t="s">
        <v>1311</v>
      </c>
      <c r="E84" s="42" t="s">
        <v>41</v>
      </c>
      <c r="F84" s="44">
        <v>1928.58</v>
      </c>
      <c r="G84" s="85"/>
      <c r="H84" s="45">
        <f>ROUND((F84*G84),2)</f>
        <v>0</v>
      </c>
      <c r="J84" s="99"/>
      <c r="AQ84" s="31"/>
    </row>
    <row r="85" spans="1:43" ht="15">
      <c r="A85" s="53" t="s">
        <v>93</v>
      </c>
      <c r="B85" s="39"/>
      <c r="C85" s="40"/>
      <c r="D85" s="91"/>
      <c r="E85" s="42"/>
      <c r="F85" s="100"/>
      <c r="G85" s="101"/>
      <c r="H85" s="84"/>
      <c r="J85" s="99"/>
      <c r="AQ85" s="31"/>
    </row>
    <row r="86" spans="1:43" ht="27.6">
      <c r="A86" s="53" t="s">
        <v>102</v>
      </c>
      <c r="B86" s="39"/>
      <c r="C86" s="40"/>
      <c r="D86" s="102" t="s">
        <v>1156</v>
      </c>
      <c r="E86" s="80" t="s">
        <v>948</v>
      </c>
      <c r="F86" s="81" t="s">
        <v>38</v>
      </c>
      <c r="G86" s="44"/>
      <c r="H86" s="82">
        <f>SUM(H88:H98)</f>
        <v>0</v>
      </c>
      <c r="AQ86" s="31"/>
    </row>
    <row r="87" spans="1:43" ht="15">
      <c r="A87" s="53" t="s">
        <v>103</v>
      </c>
      <c r="B87" s="39"/>
      <c r="C87" s="40"/>
      <c r="D87" s="103"/>
      <c r="E87" s="80"/>
      <c r="F87" s="104"/>
      <c r="G87" s="104"/>
      <c r="H87" s="84"/>
      <c r="AQ87" s="31"/>
    </row>
    <row r="88" spans="1:43" ht="82.8">
      <c r="A88" s="53" t="s">
        <v>104</v>
      </c>
      <c r="B88" s="39" t="s">
        <v>945</v>
      </c>
      <c r="C88" s="40"/>
      <c r="D88" s="102" t="s">
        <v>1431</v>
      </c>
      <c r="E88" s="80" t="s">
        <v>91</v>
      </c>
      <c r="F88" s="96">
        <v>410</v>
      </c>
      <c r="G88" s="105"/>
      <c r="H88" s="106">
        <f>ROUND((F88*G88),2)</f>
        <v>0</v>
      </c>
      <c r="AQ88" s="31"/>
    </row>
    <row r="89" spans="1:43" ht="24">
      <c r="A89" s="53" t="s">
        <v>105</v>
      </c>
      <c r="B89" s="39">
        <v>735110911</v>
      </c>
      <c r="C89" s="40"/>
      <c r="D89" s="107" t="s">
        <v>1366</v>
      </c>
      <c r="E89" s="108" t="s">
        <v>91</v>
      </c>
      <c r="F89" s="96">
        <f>410*2</f>
        <v>820</v>
      </c>
      <c r="G89" s="105"/>
      <c r="H89" s="106">
        <f>ROUND((F89*G89),2)</f>
        <v>0</v>
      </c>
      <c r="AQ89" s="31"/>
    </row>
    <row r="90" spans="1:43" ht="27.6">
      <c r="A90" s="53" t="s">
        <v>106</v>
      </c>
      <c r="B90" s="39"/>
      <c r="C90" s="40"/>
      <c r="D90" s="89" t="s">
        <v>1367</v>
      </c>
      <c r="E90" s="80" t="s">
        <v>91</v>
      </c>
      <c r="F90" s="96">
        <v>410</v>
      </c>
      <c r="G90" s="105"/>
      <c r="H90" s="106">
        <f>ROUND((F90*G90),2)</f>
        <v>0</v>
      </c>
      <c r="AQ90" s="31"/>
    </row>
    <row r="91" spans="1:43" ht="15">
      <c r="A91" s="53" t="s">
        <v>107</v>
      </c>
      <c r="B91" s="39"/>
      <c r="C91" s="40"/>
      <c r="D91" s="89"/>
      <c r="E91" s="80"/>
      <c r="F91" s="104"/>
      <c r="G91" s="104"/>
      <c r="H91" s="109"/>
      <c r="AQ91" s="31"/>
    </row>
    <row r="92" spans="1:43" ht="24">
      <c r="A92" s="53" t="s">
        <v>108</v>
      </c>
      <c r="B92" s="39"/>
      <c r="C92" s="40"/>
      <c r="D92" s="110" t="s">
        <v>947</v>
      </c>
      <c r="E92" s="42"/>
      <c r="F92" s="43"/>
      <c r="G92" s="44"/>
      <c r="H92" s="45"/>
      <c r="AQ92" s="31"/>
    </row>
    <row r="93" spans="1:43" ht="15">
      <c r="A93" s="53" t="s">
        <v>109</v>
      </c>
      <c r="B93" s="39"/>
      <c r="C93" s="40"/>
      <c r="D93" s="83" t="s">
        <v>1144</v>
      </c>
      <c r="E93" s="42"/>
      <c r="F93" s="43"/>
      <c r="G93" s="44"/>
      <c r="H93" s="84"/>
      <c r="AQ93" s="31"/>
    </row>
    <row r="94" spans="1:43" ht="24">
      <c r="A94" s="53" t="s">
        <v>110</v>
      </c>
      <c r="B94" s="39" t="s">
        <v>94</v>
      </c>
      <c r="D94" s="107" t="s">
        <v>95</v>
      </c>
      <c r="E94" s="42" t="s">
        <v>41</v>
      </c>
      <c r="F94" s="43">
        <f>410*5</f>
        <v>2050</v>
      </c>
      <c r="G94" s="85"/>
      <c r="H94" s="45">
        <f>ROUND((F94*G94),2)</f>
        <v>0</v>
      </c>
      <c r="AQ94" s="31"/>
    </row>
    <row r="95" spans="1:43" ht="15">
      <c r="A95" s="53" t="s">
        <v>111</v>
      </c>
      <c r="B95" s="39">
        <v>784111031</v>
      </c>
      <c r="C95" s="40"/>
      <c r="D95" s="83" t="s">
        <v>96</v>
      </c>
      <c r="E95" s="42" t="s">
        <v>41</v>
      </c>
      <c r="F95" s="43">
        <f>410*5</f>
        <v>2050</v>
      </c>
      <c r="G95" s="85"/>
      <c r="H95" s="45">
        <f aca="true" t="shared" si="0" ref="H95:H98">ROUND((F95*G95),2)</f>
        <v>0</v>
      </c>
      <c r="AQ95" s="31"/>
    </row>
    <row r="96" spans="1:43" ht="24">
      <c r="A96" s="53" t="s">
        <v>112</v>
      </c>
      <c r="B96" s="39" t="s">
        <v>97</v>
      </c>
      <c r="C96" s="40"/>
      <c r="D96" s="83" t="s">
        <v>98</v>
      </c>
      <c r="E96" s="42" t="s">
        <v>41</v>
      </c>
      <c r="F96" s="43">
        <f>410*5</f>
        <v>2050</v>
      </c>
      <c r="G96" s="85"/>
      <c r="H96" s="45">
        <f t="shared" si="0"/>
        <v>0</v>
      </c>
      <c r="AQ96" s="31"/>
    </row>
    <row r="97" spans="1:43" ht="24">
      <c r="A97" s="53" t="s">
        <v>113</v>
      </c>
      <c r="B97" s="39" t="s">
        <v>99</v>
      </c>
      <c r="C97" s="40"/>
      <c r="D97" s="83" t="s">
        <v>100</v>
      </c>
      <c r="E97" s="42" t="s">
        <v>41</v>
      </c>
      <c r="F97" s="43">
        <f>410*5</f>
        <v>2050</v>
      </c>
      <c r="G97" s="85"/>
      <c r="H97" s="45">
        <f t="shared" si="0"/>
        <v>0</v>
      </c>
      <c r="AQ97" s="31"/>
    </row>
    <row r="98" spans="1:43" ht="24">
      <c r="A98" s="53" t="s">
        <v>114</v>
      </c>
      <c r="B98" s="39" t="s">
        <v>1145</v>
      </c>
      <c r="C98" s="40"/>
      <c r="D98" s="83" t="s">
        <v>101</v>
      </c>
      <c r="E98" s="42" t="s">
        <v>41</v>
      </c>
      <c r="F98" s="43">
        <v>1928</v>
      </c>
      <c r="G98" s="85"/>
      <c r="H98" s="45">
        <f t="shared" si="0"/>
        <v>0</v>
      </c>
      <c r="AQ98" s="31"/>
    </row>
    <row r="99" spans="1:43" ht="15">
      <c r="A99" s="53" t="s">
        <v>115</v>
      </c>
      <c r="B99" s="39"/>
      <c r="C99" s="40"/>
      <c r="D99" s="103"/>
      <c r="E99" s="80"/>
      <c r="F99" s="104"/>
      <c r="G99" s="92"/>
      <c r="H99" s="45"/>
      <c r="AQ99" s="31"/>
    </row>
    <row r="100" spans="1:43" ht="15">
      <c r="A100" s="53" t="s">
        <v>116</v>
      </c>
      <c r="B100" s="39"/>
      <c r="C100" s="40"/>
      <c r="D100" s="103"/>
      <c r="E100" s="80"/>
      <c r="F100" s="104"/>
      <c r="G100" s="92"/>
      <c r="H100" s="45"/>
      <c r="AQ100" s="31"/>
    </row>
    <row r="101" spans="1:43" s="114" customFormat="1" ht="13.8">
      <c r="A101" s="53" t="s">
        <v>118</v>
      </c>
      <c r="B101" s="39"/>
      <c r="C101" s="40"/>
      <c r="D101" s="87"/>
      <c r="E101" s="111"/>
      <c r="F101" s="43"/>
      <c r="G101" s="112"/>
      <c r="H101" s="113"/>
      <c r="J101" s="29"/>
      <c r="AQ101" s="115"/>
    </row>
    <row r="102" spans="1:43" ht="15">
      <c r="A102" s="53" t="s">
        <v>119</v>
      </c>
      <c r="B102" s="39"/>
      <c r="C102" s="40"/>
      <c r="D102" s="116" t="s">
        <v>7</v>
      </c>
      <c r="E102" s="80" t="s">
        <v>6</v>
      </c>
      <c r="F102" s="92" t="s">
        <v>38</v>
      </c>
      <c r="G102" s="92"/>
      <c r="H102" s="117">
        <f>SUM(H105:H597)</f>
        <v>0</v>
      </c>
      <c r="AQ102" s="31"/>
    </row>
    <row r="103" spans="1:43" ht="15">
      <c r="A103" s="53" t="s">
        <v>120</v>
      </c>
      <c r="B103" s="39"/>
      <c r="C103" s="40"/>
      <c r="D103" s="118" t="s">
        <v>147</v>
      </c>
      <c r="E103" s="80"/>
      <c r="F103" s="81"/>
      <c r="G103" s="92"/>
      <c r="H103" s="84"/>
      <c r="AQ103" s="31"/>
    </row>
    <row r="104" spans="1:43" s="114" customFormat="1" ht="13.8">
      <c r="A104" s="53" t="s">
        <v>121</v>
      </c>
      <c r="B104" s="39"/>
      <c r="C104" s="40"/>
      <c r="D104" s="87"/>
      <c r="E104" s="111"/>
      <c r="F104" s="43"/>
      <c r="G104" s="112"/>
      <c r="H104" s="113"/>
      <c r="J104" s="29"/>
      <c r="AQ104" s="115"/>
    </row>
    <row r="105" spans="1:43" s="114" customFormat="1" ht="27.6">
      <c r="A105" s="53" t="s">
        <v>122</v>
      </c>
      <c r="B105" s="39">
        <v>783601421</v>
      </c>
      <c r="C105" s="40"/>
      <c r="D105" s="87" t="s">
        <v>150</v>
      </c>
      <c r="E105" s="42" t="s">
        <v>41</v>
      </c>
      <c r="F105" s="101">
        <f>F140</f>
        <v>1930.235</v>
      </c>
      <c r="G105" s="119"/>
      <c r="H105" s="45">
        <f aca="true" t="shared" si="1" ref="H105:H120">ROUND((F105*G105),2)</f>
        <v>0</v>
      </c>
      <c r="J105" s="120"/>
      <c r="AQ105" s="115"/>
    </row>
    <row r="106" spans="1:43" s="114" customFormat="1" ht="13.8">
      <c r="A106" s="53" t="s">
        <v>123</v>
      </c>
      <c r="B106" s="39"/>
      <c r="C106" s="40"/>
      <c r="D106" s="87"/>
      <c r="E106" s="111"/>
      <c r="F106" s="43"/>
      <c r="G106" s="112"/>
      <c r="H106" s="45"/>
      <c r="J106" s="29"/>
      <c r="AQ106" s="115"/>
    </row>
    <row r="107" spans="1:43" ht="41.4">
      <c r="A107" s="53" t="s">
        <v>124</v>
      </c>
      <c r="B107" s="39">
        <v>783601345</v>
      </c>
      <c r="C107" s="40"/>
      <c r="D107" s="121" t="s">
        <v>155</v>
      </c>
      <c r="E107" s="42" t="s">
        <v>41</v>
      </c>
      <c r="F107" s="43">
        <f>F105</f>
        <v>1930.235</v>
      </c>
      <c r="G107" s="85"/>
      <c r="H107" s="45">
        <f t="shared" si="1"/>
        <v>0</v>
      </c>
      <c r="J107" s="122"/>
      <c r="AQ107" s="31"/>
    </row>
    <row r="108" spans="1:43" ht="15">
      <c r="A108" s="53" t="s">
        <v>125</v>
      </c>
      <c r="B108" s="39"/>
      <c r="C108" s="40"/>
      <c r="D108" s="111"/>
      <c r="E108" s="42"/>
      <c r="F108" s="43"/>
      <c r="G108" s="44"/>
      <c r="H108" s="45"/>
      <c r="J108" s="122"/>
      <c r="AQ108" s="31"/>
    </row>
    <row r="109" spans="1:43" ht="27.6">
      <c r="A109" s="53" t="s">
        <v>126</v>
      </c>
      <c r="B109" s="39">
        <v>783622111</v>
      </c>
      <c r="C109" s="40"/>
      <c r="D109" s="123" t="s">
        <v>158</v>
      </c>
      <c r="E109" s="42" t="s">
        <v>41</v>
      </c>
      <c r="F109" s="43">
        <f>F107*0.3</f>
        <v>579.0704999999999</v>
      </c>
      <c r="G109" s="85"/>
      <c r="H109" s="45">
        <f t="shared" si="1"/>
        <v>0</v>
      </c>
      <c r="J109" s="122"/>
      <c r="AQ109" s="31"/>
    </row>
    <row r="110" spans="1:43" ht="15">
      <c r="A110" s="53" t="s">
        <v>127</v>
      </c>
      <c r="B110" s="39"/>
      <c r="C110" s="40"/>
      <c r="D110" s="121" t="s">
        <v>160</v>
      </c>
      <c r="E110" s="42"/>
      <c r="F110" s="43"/>
      <c r="G110" s="44"/>
      <c r="H110" s="45"/>
      <c r="J110" s="45"/>
      <c r="AQ110" s="31"/>
    </row>
    <row r="111" spans="1:43" ht="15">
      <c r="A111" s="53" t="s">
        <v>128</v>
      </c>
      <c r="B111" s="39"/>
      <c r="C111" s="40"/>
      <c r="D111" s="111"/>
      <c r="E111" s="42"/>
      <c r="F111" s="43"/>
      <c r="G111" s="44"/>
      <c r="H111" s="45"/>
      <c r="J111" s="122"/>
      <c r="AQ111" s="31"/>
    </row>
    <row r="112" spans="1:43" ht="27.6">
      <c r="A112" s="53" t="s">
        <v>129</v>
      </c>
      <c r="B112" s="39">
        <v>783624141</v>
      </c>
      <c r="C112" s="40"/>
      <c r="D112" s="121" t="s">
        <v>1147</v>
      </c>
      <c r="E112" s="42" t="s">
        <v>41</v>
      </c>
      <c r="F112" s="43">
        <f>F107</f>
        <v>1930.235</v>
      </c>
      <c r="G112" s="85"/>
      <c r="H112" s="45">
        <f t="shared" si="1"/>
        <v>0</v>
      </c>
      <c r="J112" s="45"/>
      <c r="AQ112" s="31"/>
    </row>
    <row r="113" spans="1:43" ht="15">
      <c r="A113" s="53" t="s">
        <v>130</v>
      </c>
      <c r="B113" s="39"/>
      <c r="C113" s="40"/>
      <c r="D113" s="111"/>
      <c r="E113" s="42"/>
      <c r="F113" s="43"/>
      <c r="G113" s="44"/>
      <c r="H113" s="45"/>
      <c r="J113" s="122"/>
      <c r="AQ113" s="31"/>
    </row>
    <row r="114" spans="1:43" ht="24">
      <c r="A114" s="53" t="s">
        <v>131</v>
      </c>
      <c r="B114" s="39">
        <v>783627117</v>
      </c>
      <c r="C114" s="30"/>
      <c r="D114" s="107" t="s">
        <v>1146</v>
      </c>
      <c r="E114" s="42" t="s">
        <v>41</v>
      </c>
      <c r="F114" s="43">
        <f>F107</f>
        <v>1930.235</v>
      </c>
      <c r="G114" s="85"/>
      <c r="H114" s="45">
        <f t="shared" si="1"/>
        <v>0</v>
      </c>
      <c r="J114" s="45"/>
      <c r="AQ114" s="31"/>
    </row>
    <row r="115" spans="1:43" ht="15">
      <c r="A115" s="53" t="s">
        <v>132</v>
      </c>
      <c r="B115" s="39"/>
      <c r="C115" s="40"/>
      <c r="D115" s="111"/>
      <c r="E115" s="42"/>
      <c r="F115" s="43"/>
      <c r="G115" s="44"/>
      <c r="H115" s="45"/>
      <c r="AQ115" s="31"/>
    </row>
    <row r="116" spans="1:43" ht="41.4">
      <c r="A116" s="53" t="s">
        <v>133</v>
      </c>
      <c r="B116" s="39">
        <v>783601715</v>
      </c>
      <c r="C116" s="40"/>
      <c r="D116" s="121" t="s">
        <v>167</v>
      </c>
      <c r="E116" s="42" t="s">
        <v>168</v>
      </c>
      <c r="F116" s="43">
        <f>F123+F131</f>
        <v>5905</v>
      </c>
      <c r="G116" s="85"/>
      <c r="H116" s="45">
        <f t="shared" si="1"/>
        <v>0</v>
      </c>
      <c r="J116" s="124"/>
      <c r="AQ116" s="31"/>
    </row>
    <row r="117" spans="1:43" ht="15">
      <c r="A117" s="53" t="s">
        <v>134</v>
      </c>
      <c r="B117" s="39"/>
      <c r="C117" s="40"/>
      <c r="D117" s="125"/>
      <c r="E117" s="42"/>
      <c r="F117" s="43"/>
      <c r="G117" s="44"/>
      <c r="H117" s="45"/>
      <c r="J117" s="122"/>
      <c r="AQ117" s="31"/>
    </row>
    <row r="118" spans="1:43" ht="27.6">
      <c r="A118" s="53" t="s">
        <v>135</v>
      </c>
      <c r="B118" s="39">
        <v>783624551</v>
      </c>
      <c r="C118" s="40"/>
      <c r="D118" s="121" t="s">
        <v>1148</v>
      </c>
      <c r="E118" s="42" t="s">
        <v>168</v>
      </c>
      <c r="F118" s="43">
        <f>F116</f>
        <v>5905</v>
      </c>
      <c r="G118" s="85"/>
      <c r="H118" s="45">
        <f t="shared" si="1"/>
        <v>0</v>
      </c>
      <c r="J118" s="122"/>
      <c r="AQ118" s="31"/>
    </row>
    <row r="119" spans="1:43" ht="15">
      <c r="A119" s="53" t="s">
        <v>136</v>
      </c>
      <c r="B119" s="39"/>
      <c r="C119" s="40"/>
      <c r="D119" s="125"/>
      <c r="E119" s="42"/>
      <c r="F119" s="43"/>
      <c r="G119" s="44"/>
      <c r="H119" s="45"/>
      <c r="J119" s="122"/>
      <c r="AQ119" s="31"/>
    </row>
    <row r="120" spans="1:43" ht="27.6">
      <c r="A120" s="53" t="s">
        <v>137</v>
      </c>
      <c r="B120" s="39">
        <v>783627612</v>
      </c>
      <c r="C120" s="40"/>
      <c r="D120" s="121" t="s">
        <v>1149</v>
      </c>
      <c r="E120" s="42" t="s">
        <v>168</v>
      </c>
      <c r="F120" s="43">
        <f>F116</f>
        <v>5905</v>
      </c>
      <c r="G120" s="85"/>
      <c r="H120" s="45">
        <f t="shared" si="1"/>
        <v>0</v>
      </c>
      <c r="J120" s="122"/>
      <c r="AQ120" s="31"/>
    </row>
    <row r="121" spans="1:43" ht="15">
      <c r="A121" s="53" t="s">
        <v>138</v>
      </c>
      <c r="B121" s="39"/>
      <c r="C121" s="40"/>
      <c r="D121" s="121"/>
      <c r="E121" s="42"/>
      <c r="F121" s="43"/>
      <c r="G121" s="44"/>
      <c r="H121" s="45"/>
      <c r="J121" s="122"/>
      <c r="AQ121" s="31"/>
    </row>
    <row r="122" spans="1:43" ht="15">
      <c r="A122" s="53" t="s">
        <v>139</v>
      </c>
      <c r="B122" s="39"/>
      <c r="C122" s="40"/>
      <c r="D122" s="121"/>
      <c r="E122" s="42"/>
      <c r="F122" s="43"/>
      <c r="G122" s="44"/>
      <c r="H122" s="45"/>
      <c r="J122" s="122"/>
      <c r="AQ122" s="31"/>
    </row>
    <row r="123" spans="1:43" ht="15">
      <c r="A123" s="53" t="s">
        <v>140</v>
      </c>
      <c r="B123" s="39"/>
      <c r="C123" s="40"/>
      <c r="D123" s="126" t="s">
        <v>176</v>
      </c>
      <c r="E123" s="80" t="s">
        <v>177</v>
      </c>
      <c r="F123" s="81">
        <f>90+495+358+320+298+229</f>
        <v>1790</v>
      </c>
      <c r="G123" s="92"/>
      <c r="H123" s="45"/>
      <c r="J123" s="127"/>
      <c r="AQ123" s="31"/>
    </row>
    <row r="124" spans="1:43" ht="15">
      <c r="A124" s="53" t="s">
        <v>141</v>
      </c>
      <c r="B124" s="39"/>
      <c r="C124" s="40"/>
      <c r="D124" s="89" t="s">
        <v>179</v>
      </c>
      <c r="E124" s="42"/>
      <c r="F124" s="43">
        <v>90</v>
      </c>
      <c r="G124" s="92"/>
      <c r="H124" s="45"/>
      <c r="AQ124" s="31"/>
    </row>
    <row r="125" spans="1:43" ht="15">
      <c r="A125" s="53" t="s">
        <v>142</v>
      </c>
      <c r="B125" s="39"/>
      <c r="C125" s="40"/>
      <c r="D125" s="89" t="s">
        <v>181</v>
      </c>
      <c r="E125" s="42"/>
      <c r="F125" s="43">
        <v>495</v>
      </c>
      <c r="G125" s="92"/>
      <c r="H125" s="45"/>
      <c r="AQ125" s="31"/>
    </row>
    <row r="126" spans="1:43" ht="15">
      <c r="A126" s="53" t="s">
        <v>143</v>
      </c>
      <c r="B126" s="39"/>
      <c r="C126" s="40"/>
      <c r="D126" s="89" t="s">
        <v>183</v>
      </c>
      <c r="E126" s="42"/>
      <c r="F126" s="43">
        <v>358</v>
      </c>
      <c r="G126" s="92"/>
      <c r="H126" s="45"/>
      <c r="AQ126" s="31"/>
    </row>
    <row r="127" spans="1:43" ht="15">
      <c r="A127" s="53" t="s">
        <v>144</v>
      </c>
      <c r="B127" s="39"/>
      <c r="C127" s="40"/>
      <c r="D127" s="89" t="s">
        <v>185</v>
      </c>
      <c r="E127" s="42"/>
      <c r="F127" s="43">
        <v>320</v>
      </c>
      <c r="G127" s="92"/>
      <c r="H127" s="45"/>
      <c r="AQ127" s="31"/>
    </row>
    <row r="128" spans="1:43" ht="15">
      <c r="A128" s="53" t="s">
        <v>145</v>
      </c>
      <c r="B128" s="39"/>
      <c r="C128" s="40"/>
      <c r="D128" s="89" t="s">
        <v>187</v>
      </c>
      <c r="E128" s="42"/>
      <c r="F128" s="43">
        <v>298</v>
      </c>
      <c r="G128" s="92"/>
      <c r="H128" s="45"/>
      <c r="AQ128" s="31"/>
    </row>
    <row r="129" spans="1:43" ht="15">
      <c r="A129" s="53" t="s">
        <v>146</v>
      </c>
      <c r="B129" s="39"/>
      <c r="C129" s="40"/>
      <c r="D129" s="89" t="s">
        <v>189</v>
      </c>
      <c r="E129" s="42"/>
      <c r="F129" s="43">
        <v>229</v>
      </c>
      <c r="G129" s="92"/>
      <c r="H129" s="45"/>
      <c r="AQ129" s="31"/>
    </row>
    <row r="130" spans="1:43" ht="15">
      <c r="A130" s="53" t="s">
        <v>148</v>
      </c>
      <c r="B130" s="39"/>
      <c r="C130" s="40"/>
      <c r="D130" s="121"/>
      <c r="E130" s="42"/>
      <c r="F130" s="81"/>
      <c r="G130" s="92"/>
      <c r="H130" s="45"/>
      <c r="AQ130" s="31"/>
    </row>
    <row r="131" spans="1:43" ht="41.4">
      <c r="A131" s="53" t="s">
        <v>149</v>
      </c>
      <c r="B131" s="39"/>
      <c r="C131" s="40"/>
      <c r="D131" s="91" t="s">
        <v>192</v>
      </c>
      <c r="E131" s="80" t="s">
        <v>177</v>
      </c>
      <c r="F131" s="81">
        <f>SUM(F132:F137)</f>
        <v>4115</v>
      </c>
      <c r="G131" s="92"/>
      <c r="H131" s="45"/>
      <c r="J131" s="127"/>
      <c r="AQ131" s="31"/>
    </row>
    <row r="132" spans="1:43" ht="15">
      <c r="A132" s="53" t="s">
        <v>151</v>
      </c>
      <c r="B132" s="39"/>
      <c r="C132" s="40"/>
      <c r="D132" s="89" t="s">
        <v>194</v>
      </c>
      <c r="E132" s="42"/>
      <c r="F132" s="43">
        <f>(90+85+7)</f>
        <v>182</v>
      </c>
      <c r="G132" s="92"/>
      <c r="H132" s="45"/>
      <c r="AQ132" s="31"/>
    </row>
    <row r="133" spans="1:43" ht="15">
      <c r="A133" s="53" t="s">
        <v>152</v>
      </c>
      <c r="B133" s="39"/>
      <c r="C133" s="40"/>
      <c r="D133" s="89" t="s">
        <v>196</v>
      </c>
      <c r="E133" s="42"/>
      <c r="F133" s="43">
        <f>(352+313+80)</f>
        <v>745</v>
      </c>
      <c r="G133" s="92"/>
      <c r="H133" s="45"/>
      <c r="AQ133" s="31"/>
    </row>
    <row r="134" spans="1:43" ht="15">
      <c r="A134" s="53" t="s">
        <v>153</v>
      </c>
      <c r="B134" s="39"/>
      <c r="C134" s="40"/>
      <c r="D134" s="89" t="s">
        <v>198</v>
      </c>
      <c r="E134" s="42"/>
      <c r="F134" s="43">
        <f>(349+364+85)</f>
        <v>798</v>
      </c>
      <c r="G134" s="92"/>
      <c r="H134" s="45"/>
      <c r="AQ134" s="31"/>
    </row>
    <row r="135" spans="1:43" ht="15">
      <c r="A135" s="53" t="s">
        <v>154</v>
      </c>
      <c r="B135" s="39"/>
      <c r="C135" s="40"/>
      <c r="D135" s="89" t="s">
        <v>200</v>
      </c>
      <c r="E135" s="42"/>
      <c r="F135" s="43">
        <f>(319+281+68)</f>
        <v>668</v>
      </c>
      <c r="G135" s="92"/>
      <c r="H135" s="45"/>
      <c r="AQ135" s="31"/>
    </row>
    <row r="136" spans="1:43" ht="15">
      <c r="A136" s="53" t="s">
        <v>156</v>
      </c>
      <c r="B136" s="39"/>
      <c r="C136" s="40"/>
      <c r="D136" s="89" t="s">
        <v>202</v>
      </c>
      <c r="E136" s="42"/>
      <c r="F136" s="43">
        <f>(344+346+70)</f>
        <v>760</v>
      </c>
      <c r="G136" s="92"/>
      <c r="H136" s="45"/>
      <c r="AQ136" s="31"/>
    </row>
    <row r="137" spans="1:43" ht="15">
      <c r="A137" s="53" t="s">
        <v>157</v>
      </c>
      <c r="B137" s="39"/>
      <c r="C137" s="40"/>
      <c r="D137" s="89" t="s">
        <v>204</v>
      </c>
      <c r="E137" s="42"/>
      <c r="F137" s="43">
        <f>(431+441+90)</f>
        <v>962</v>
      </c>
      <c r="G137" s="92"/>
      <c r="H137" s="45"/>
      <c r="AQ137" s="31"/>
    </row>
    <row r="138" spans="1:43" ht="15">
      <c r="A138" s="53" t="s">
        <v>159</v>
      </c>
      <c r="B138" s="39"/>
      <c r="C138" s="40"/>
      <c r="D138" s="128"/>
      <c r="E138" s="80"/>
      <c r="F138" s="81"/>
      <c r="G138" s="92"/>
      <c r="H138" s="45"/>
      <c r="AQ138" s="31"/>
    </row>
    <row r="139" spans="1:43" s="114" customFormat="1" ht="13.8">
      <c r="A139" s="53" t="s">
        <v>161</v>
      </c>
      <c r="B139" s="39"/>
      <c r="C139" s="40"/>
      <c r="D139" s="81"/>
      <c r="E139" s="80"/>
      <c r="F139" s="129"/>
      <c r="G139" s="44" t="s">
        <v>1150</v>
      </c>
      <c r="H139" s="113"/>
      <c r="J139" s="29"/>
      <c r="AQ139" s="115"/>
    </row>
    <row r="140" spans="1:43" s="114" customFormat="1" ht="13.8">
      <c r="A140" s="53" t="s">
        <v>162</v>
      </c>
      <c r="B140" s="39"/>
      <c r="C140" s="40"/>
      <c r="D140" s="92" t="s">
        <v>1109</v>
      </c>
      <c r="E140" s="80" t="s">
        <v>41</v>
      </c>
      <c r="F140" s="100">
        <f>F143+F256+F356+F389+F419+F465+F529+F566</f>
        <v>1930.235</v>
      </c>
      <c r="G140" s="100">
        <f>SUM(G143:G595)</f>
        <v>410</v>
      </c>
      <c r="H140" s="113"/>
      <c r="J140" s="130"/>
      <c r="AQ140" s="115"/>
    </row>
    <row r="141" spans="1:43" s="114" customFormat="1" ht="13.8">
      <c r="A141" s="53" t="s">
        <v>163</v>
      </c>
      <c r="B141" s="39"/>
      <c r="C141" s="40"/>
      <c r="D141" s="92"/>
      <c r="E141" s="80"/>
      <c r="F141" s="100"/>
      <c r="G141" s="100"/>
      <c r="H141" s="113"/>
      <c r="J141" s="29"/>
      <c r="AQ141" s="115"/>
    </row>
    <row r="142" spans="1:43" s="114" customFormat="1" ht="13.8">
      <c r="A142" s="53" t="s">
        <v>164</v>
      </c>
      <c r="B142" s="39"/>
      <c r="C142" s="40"/>
      <c r="D142" s="131" t="s">
        <v>1368</v>
      </c>
      <c r="E142" s="80"/>
      <c r="F142" s="92"/>
      <c r="G142" s="92"/>
      <c r="H142" s="113"/>
      <c r="J142" s="29"/>
      <c r="AQ142" s="115"/>
    </row>
    <row r="143" spans="1:43" s="114" customFormat="1" ht="13.8">
      <c r="A143" s="53" t="s">
        <v>165</v>
      </c>
      <c r="B143" s="39"/>
      <c r="C143" s="132" t="s">
        <v>962</v>
      </c>
      <c r="D143" s="100" t="s">
        <v>1369</v>
      </c>
      <c r="E143" s="42" t="s">
        <v>41</v>
      </c>
      <c r="F143" s="44">
        <f>SUM(F144:F253)</f>
        <v>596.6149999999998</v>
      </c>
      <c r="G143" s="92"/>
      <c r="H143" s="113"/>
      <c r="J143" s="133"/>
      <c r="AQ143" s="115"/>
    </row>
    <row r="144" spans="1:43" s="114" customFormat="1" ht="13.8">
      <c r="A144" s="53" t="s">
        <v>166</v>
      </c>
      <c r="B144" s="39"/>
      <c r="C144" s="132" t="s">
        <v>962</v>
      </c>
      <c r="D144" s="134" t="s">
        <v>1370</v>
      </c>
      <c r="E144" s="42"/>
      <c r="F144" s="129"/>
      <c r="G144" s="92"/>
      <c r="H144" s="135"/>
      <c r="J144" s="29"/>
      <c r="AQ144" s="115"/>
    </row>
    <row r="145" spans="1:43" s="114" customFormat="1" ht="13.8">
      <c r="A145" s="53" t="s">
        <v>169</v>
      </c>
      <c r="B145" s="39"/>
      <c r="C145" s="136" t="s">
        <v>269</v>
      </c>
      <c r="D145" s="121" t="s">
        <v>270</v>
      </c>
      <c r="E145" s="80"/>
      <c r="F145" s="81">
        <f>0.255*22*2</f>
        <v>11.22</v>
      </c>
      <c r="G145" s="92">
        <v>2</v>
      </c>
      <c r="H145" s="135"/>
      <c r="J145" s="29"/>
      <c r="AQ145" s="115"/>
    </row>
    <row r="146" spans="1:43" s="114" customFormat="1" ht="13.8">
      <c r="A146" s="53" t="s">
        <v>170</v>
      </c>
      <c r="B146" s="39"/>
      <c r="C146" s="136" t="s">
        <v>267</v>
      </c>
      <c r="D146" s="121" t="s">
        <v>963</v>
      </c>
      <c r="E146" s="80"/>
      <c r="F146" s="81">
        <f>0.255*22*1</f>
        <v>5.61</v>
      </c>
      <c r="G146" s="92">
        <v>1</v>
      </c>
      <c r="H146" s="135"/>
      <c r="J146" s="29"/>
      <c r="AQ146" s="115"/>
    </row>
    <row r="147" spans="1:43" s="114" customFormat="1" ht="13.8">
      <c r="A147" s="53" t="s">
        <v>171</v>
      </c>
      <c r="B147" s="39"/>
      <c r="C147" s="136" t="s">
        <v>220</v>
      </c>
      <c r="D147" s="121" t="s">
        <v>964</v>
      </c>
      <c r="E147" s="80"/>
      <c r="F147" s="81">
        <f>0.255*20*2</f>
        <v>10.2</v>
      </c>
      <c r="G147" s="92">
        <v>2</v>
      </c>
      <c r="H147" s="135"/>
      <c r="J147" s="29"/>
      <c r="AQ147" s="115"/>
    </row>
    <row r="148" spans="1:43" s="114" customFormat="1" ht="13.8">
      <c r="A148" s="53" t="s">
        <v>172</v>
      </c>
      <c r="B148" s="39"/>
      <c r="C148" s="136" t="s">
        <v>220</v>
      </c>
      <c r="D148" s="121" t="s">
        <v>259</v>
      </c>
      <c r="E148" s="80"/>
      <c r="F148" s="81">
        <f>0.255*15*1</f>
        <v>3.825</v>
      </c>
      <c r="G148" s="92">
        <v>1</v>
      </c>
      <c r="H148" s="135"/>
      <c r="J148" s="29"/>
      <c r="AQ148" s="115"/>
    </row>
    <row r="149" spans="1:43" s="114" customFormat="1" ht="13.8">
      <c r="A149" s="53" t="s">
        <v>173</v>
      </c>
      <c r="B149" s="39"/>
      <c r="C149" s="136" t="s">
        <v>261</v>
      </c>
      <c r="D149" s="121" t="s">
        <v>262</v>
      </c>
      <c r="E149" s="80"/>
      <c r="F149" s="81">
        <f>0.255*16*1</f>
        <v>4.08</v>
      </c>
      <c r="G149" s="92">
        <v>1</v>
      </c>
      <c r="H149" s="135"/>
      <c r="J149" s="29"/>
      <c r="AQ149" s="115"/>
    </row>
    <row r="150" spans="1:43" s="114" customFormat="1" ht="13.8">
      <c r="A150" s="53" t="s">
        <v>174</v>
      </c>
      <c r="B150" s="39"/>
      <c r="C150" s="136" t="s">
        <v>216</v>
      </c>
      <c r="D150" s="121" t="s">
        <v>259</v>
      </c>
      <c r="E150" s="80"/>
      <c r="F150" s="81">
        <f>0.255*15*1</f>
        <v>3.825</v>
      </c>
      <c r="G150" s="92">
        <v>1</v>
      </c>
      <c r="H150" s="135"/>
      <c r="J150" s="29"/>
      <c r="AQ150" s="115"/>
    </row>
    <row r="151" spans="1:43" s="114" customFormat="1" ht="13.8">
      <c r="A151" s="53" t="s">
        <v>175</v>
      </c>
      <c r="B151" s="39"/>
      <c r="C151" s="136" t="s">
        <v>257</v>
      </c>
      <c r="D151" s="121" t="s">
        <v>963</v>
      </c>
      <c r="E151" s="80"/>
      <c r="F151" s="81">
        <f>0.255*22*1</f>
        <v>5.61</v>
      </c>
      <c r="G151" s="92">
        <v>1</v>
      </c>
      <c r="H151" s="135"/>
      <c r="J151" s="29"/>
      <c r="AQ151" s="115"/>
    </row>
    <row r="152" spans="1:43" s="114" customFormat="1" ht="13.8">
      <c r="A152" s="53" t="s">
        <v>178</v>
      </c>
      <c r="B152" s="39"/>
      <c r="C152" s="136" t="s">
        <v>254</v>
      </c>
      <c r="D152" s="121" t="s">
        <v>966</v>
      </c>
      <c r="E152" s="80"/>
      <c r="F152" s="81">
        <f>0.255*24*2</f>
        <v>12.24</v>
      </c>
      <c r="G152" s="92">
        <v>2</v>
      </c>
      <c r="H152" s="135"/>
      <c r="J152" s="29"/>
      <c r="AQ152" s="115"/>
    </row>
    <row r="153" spans="1:43" s="114" customFormat="1" ht="13.8">
      <c r="A153" s="53" t="s">
        <v>180</v>
      </c>
      <c r="B153" s="39"/>
      <c r="C153" s="136"/>
      <c r="D153" s="121"/>
      <c r="E153" s="80"/>
      <c r="F153" s="81"/>
      <c r="G153" s="137"/>
      <c r="H153" s="135"/>
      <c r="J153" s="29"/>
      <c r="AQ153" s="115"/>
    </row>
    <row r="154" spans="1:43" s="114" customFormat="1" ht="13.8">
      <c r="A154" s="53" t="s">
        <v>182</v>
      </c>
      <c r="B154" s="39"/>
      <c r="C154" s="132" t="s">
        <v>962</v>
      </c>
      <c r="D154" s="134" t="s">
        <v>1371</v>
      </c>
      <c r="E154" s="80"/>
      <c r="F154" s="81"/>
      <c r="G154" s="92"/>
      <c r="H154" s="135"/>
      <c r="J154" s="29"/>
      <c r="AQ154" s="115"/>
    </row>
    <row r="155" spans="1:43" s="114" customFormat="1" ht="13.8">
      <c r="A155" s="53" t="s">
        <v>184</v>
      </c>
      <c r="B155" s="39"/>
      <c r="C155" s="136" t="s">
        <v>970</v>
      </c>
      <c r="D155" s="121" t="s">
        <v>966</v>
      </c>
      <c r="E155" s="80"/>
      <c r="F155" s="81">
        <f aca="true" t="shared" si="2" ref="F155">0.255*24*2</f>
        <v>12.24</v>
      </c>
      <c r="G155" s="92">
        <v>2</v>
      </c>
      <c r="H155" s="135"/>
      <c r="J155" s="29"/>
      <c r="AQ155" s="115"/>
    </row>
    <row r="156" spans="1:43" s="114" customFormat="1" ht="13.8">
      <c r="A156" s="53" t="s">
        <v>186</v>
      </c>
      <c r="B156" s="39"/>
      <c r="C156" s="136" t="s">
        <v>971</v>
      </c>
      <c r="D156" s="121" t="s">
        <v>973</v>
      </c>
      <c r="E156" s="80"/>
      <c r="F156" s="81">
        <f>0.255*18*1</f>
        <v>4.59</v>
      </c>
      <c r="G156" s="92">
        <v>1</v>
      </c>
      <c r="H156" s="135"/>
      <c r="J156" s="29"/>
      <c r="AQ156" s="115"/>
    </row>
    <row r="157" spans="1:43" s="114" customFormat="1" ht="13.8">
      <c r="A157" s="53" t="s">
        <v>188</v>
      </c>
      <c r="B157" s="39"/>
      <c r="C157" s="136" t="s">
        <v>972</v>
      </c>
      <c r="D157" s="121" t="s">
        <v>977</v>
      </c>
      <c r="E157" s="80"/>
      <c r="F157" s="81">
        <f>0.255*14*6</f>
        <v>21.42</v>
      </c>
      <c r="G157" s="92">
        <v>6</v>
      </c>
      <c r="H157" s="135"/>
      <c r="J157" s="29"/>
      <c r="AQ157" s="115"/>
    </row>
    <row r="158" spans="1:43" s="114" customFormat="1" ht="13.8">
      <c r="A158" s="53" t="s">
        <v>190</v>
      </c>
      <c r="B158" s="39"/>
      <c r="C158" s="136" t="s">
        <v>239</v>
      </c>
      <c r="D158" s="121" t="s">
        <v>974</v>
      </c>
      <c r="E158" s="80"/>
      <c r="F158" s="81">
        <f>0.255*17*1</f>
        <v>4.335</v>
      </c>
      <c r="G158" s="92">
        <v>1</v>
      </c>
      <c r="H158" s="135"/>
      <c r="J158" s="29"/>
      <c r="AQ158" s="115"/>
    </row>
    <row r="159" spans="1:43" s="114" customFormat="1" ht="13.8">
      <c r="A159" s="53" t="s">
        <v>191</v>
      </c>
      <c r="B159" s="39"/>
      <c r="C159" s="136" t="s">
        <v>975</v>
      </c>
      <c r="D159" s="121" t="s">
        <v>974</v>
      </c>
      <c r="E159" s="80"/>
      <c r="F159" s="81">
        <f>0.255*17*1</f>
        <v>4.335</v>
      </c>
      <c r="G159" s="92">
        <v>1</v>
      </c>
      <c r="H159" s="135"/>
      <c r="J159" s="29"/>
      <c r="AQ159" s="115"/>
    </row>
    <row r="160" spans="1:43" s="114" customFormat="1" ht="13.8">
      <c r="A160" s="53" t="s">
        <v>193</v>
      </c>
      <c r="B160" s="39"/>
      <c r="C160" s="136" t="s">
        <v>976</v>
      </c>
      <c r="D160" s="121" t="s">
        <v>973</v>
      </c>
      <c r="E160" s="80"/>
      <c r="F160" s="81">
        <f>0.255*18*1</f>
        <v>4.59</v>
      </c>
      <c r="G160" s="92">
        <v>1</v>
      </c>
      <c r="H160" s="135"/>
      <c r="J160" s="29"/>
      <c r="AQ160" s="115"/>
    </row>
    <row r="161" spans="1:43" s="114" customFormat="1" ht="13.8">
      <c r="A161" s="53" t="s">
        <v>195</v>
      </c>
      <c r="B161" s="39"/>
      <c r="C161" s="136"/>
      <c r="D161" s="121"/>
      <c r="E161" s="80"/>
      <c r="F161" s="81"/>
      <c r="G161" s="92"/>
      <c r="H161" s="135"/>
      <c r="J161" s="29"/>
      <c r="AQ161" s="115"/>
    </row>
    <row r="162" spans="1:43" s="114" customFormat="1" ht="13.8">
      <c r="A162" s="53" t="s">
        <v>197</v>
      </c>
      <c r="B162" s="39"/>
      <c r="C162" s="132" t="s">
        <v>962</v>
      </c>
      <c r="D162" s="134" t="s">
        <v>1372</v>
      </c>
      <c r="E162" s="80"/>
      <c r="F162" s="81"/>
      <c r="G162" s="92"/>
      <c r="H162" s="135"/>
      <c r="J162" s="29"/>
      <c r="AQ162" s="115"/>
    </row>
    <row r="163" spans="1:43" s="114" customFormat="1" ht="13.8">
      <c r="A163" s="53" t="s">
        <v>199</v>
      </c>
      <c r="B163" s="39"/>
      <c r="C163" s="136" t="s">
        <v>178</v>
      </c>
      <c r="D163" s="121" t="s">
        <v>986</v>
      </c>
      <c r="E163" s="80"/>
      <c r="F163" s="81">
        <f>0.255*24*3</f>
        <v>18.36</v>
      </c>
      <c r="G163" s="92">
        <v>3</v>
      </c>
      <c r="H163" s="135"/>
      <c r="J163" s="29"/>
      <c r="AQ163" s="115"/>
    </row>
    <row r="164" spans="1:43" s="114" customFormat="1" ht="13.8">
      <c r="A164" s="53" t="s">
        <v>201</v>
      </c>
      <c r="B164" s="39"/>
      <c r="C164" s="136" t="s">
        <v>175</v>
      </c>
      <c r="D164" s="121" t="s">
        <v>988</v>
      </c>
      <c r="E164" s="80"/>
      <c r="F164" s="81">
        <f>0.255*18*2</f>
        <v>9.18</v>
      </c>
      <c r="G164" s="92">
        <v>2</v>
      </c>
      <c r="H164" s="135"/>
      <c r="J164" s="29"/>
      <c r="AQ164" s="115"/>
    </row>
    <row r="165" spans="1:43" s="114" customFormat="1" ht="13.8">
      <c r="A165" s="53" t="s">
        <v>203</v>
      </c>
      <c r="B165" s="39"/>
      <c r="C165" s="136" t="s">
        <v>174</v>
      </c>
      <c r="D165" s="121" t="s">
        <v>250</v>
      </c>
      <c r="E165" s="80"/>
      <c r="F165" s="81">
        <f>0.255*14*1</f>
        <v>3.5700000000000003</v>
      </c>
      <c r="G165" s="92">
        <v>1</v>
      </c>
      <c r="H165" s="135"/>
      <c r="J165" s="29"/>
      <c r="AQ165" s="115"/>
    </row>
    <row r="166" spans="1:43" s="114" customFormat="1" ht="13.8">
      <c r="A166" s="53" t="s">
        <v>205</v>
      </c>
      <c r="B166" s="39"/>
      <c r="C166" s="136" t="s">
        <v>445</v>
      </c>
      <c r="D166" s="121" t="s">
        <v>989</v>
      </c>
      <c r="E166" s="80"/>
      <c r="F166" s="81">
        <f>0.255*20*1</f>
        <v>5.1</v>
      </c>
      <c r="G166" s="92">
        <v>1</v>
      </c>
      <c r="H166" s="135"/>
      <c r="J166" s="29"/>
      <c r="AQ166" s="115"/>
    </row>
    <row r="167" spans="1:43" s="114" customFormat="1" ht="13.8">
      <c r="A167" s="53" t="s">
        <v>206</v>
      </c>
      <c r="B167" s="39"/>
      <c r="C167" s="136" t="s">
        <v>172</v>
      </c>
      <c r="D167" s="121" t="s">
        <v>250</v>
      </c>
      <c r="E167" s="80"/>
      <c r="F167" s="81">
        <f>0.255*14*1</f>
        <v>3.5700000000000003</v>
      </c>
      <c r="G167" s="92">
        <v>1</v>
      </c>
      <c r="H167" s="135"/>
      <c r="J167" s="29"/>
      <c r="AQ167" s="115"/>
    </row>
    <row r="168" spans="1:43" s="114" customFormat="1" ht="13.8">
      <c r="A168" s="53" t="s">
        <v>207</v>
      </c>
      <c r="B168" s="39"/>
      <c r="C168" s="136" t="s">
        <v>171</v>
      </c>
      <c r="D168" s="121" t="s">
        <v>989</v>
      </c>
      <c r="E168" s="80"/>
      <c r="F168" s="81">
        <f>0.255*20*1</f>
        <v>5.1</v>
      </c>
      <c r="G168" s="92">
        <v>1</v>
      </c>
      <c r="H168" s="135"/>
      <c r="J168" s="29"/>
      <c r="AQ168" s="115"/>
    </row>
    <row r="169" spans="1:43" s="114" customFormat="1" ht="13.8">
      <c r="A169" s="53" t="s">
        <v>208</v>
      </c>
      <c r="B169" s="39"/>
      <c r="C169" s="136" t="s">
        <v>170</v>
      </c>
      <c r="D169" s="121" t="s">
        <v>990</v>
      </c>
      <c r="E169" s="80"/>
      <c r="F169" s="81">
        <f>0.255*17*1</f>
        <v>4.335</v>
      </c>
      <c r="G169" s="92">
        <v>1</v>
      </c>
      <c r="H169" s="135"/>
      <c r="J169" s="29"/>
      <c r="AQ169" s="115"/>
    </row>
    <row r="170" spans="1:43" s="114" customFormat="1" ht="13.8">
      <c r="A170" s="53" t="s">
        <v>209</v>
      </c>
      <c r="B170" s="39"/>
      <c r="C170" s="136" t="s">
        <v>169</v>
      </c>
      <c r="D170" s="121" t="s">
        <v>987</v>
      </c>
      <c r="E170" s="80"/>
      <c r="F170" s="81">
        <f>0.255*18*1</f>
        <v>4.59</v>
      </c>
      <c r="G170" s="92">
        <v>1</v>
      </c>
      <c r="H170" s="135"/>
      <c r="J170" s="29"/>
      <c r="AQ170" s="115"/>
    </row>
    <row r="171" spans="1:43" s="114" customFormat="1" ht="13.8">
      <c r="A171" s="53" t="s">
        <v>210</v>
      </c>
      <c r="B171" s="39"/>
      <c r="C171" s="136" t="s">
        <v>166</v>
      </c>
      <c r="D171" s="121" t="s">
        <v>987</v>
      </c>
      <c r="E171" s="80"/>
      <c r="F171" s="81">
        <f>0.255*18*1</f>
        <v>4.59</v>
      </c>
      <c r="G171" s="92">
        <v>1</v>
      </c>
      <c r="H171" s="135"/>
      <c r="J171" s="29"/>
      <c r="AQ171" s="115"/>
    </row>
    <row r="172" spans="1:43" s="114" customFormat="1" ht="13.8">
      <c r="A172" s="53" t="s">
        <v>211</v>
      </c>
      <c r="B172" s="39"/>
      <c r="C172" s="136"/>
      <c r="D172" s="121"/>
      <c r="E172" s="80"/>
      <c r="F172" s="81"/>
      <c r="G172" s="92"/>
      <c r="H172" s="135"/>
      <c r="J172" s="29"/>
      <c r="AQ172" s="115"/>
    </row>
    <row r="173" spans="1:43" s="114" customFormat="1" ht="13.8">
      <c r="A173" s="53" t="s">
        <v>212</v>
      </c>
      <c r="B173" s="39"/>
      <c r="C173" s="132" t="s">
        <v>962</v>
      </c>
      <c r="D173" s="134" t="s">
        <v>1373</v>
      </c>
      <c r="E173" s="80"/>
      <c r="F173" s="81"/>
      <c r="G173" s="92"/>
      <c r="H173" s="135"/>
      <c r="J173" s="29"/>
      <c r="AQ173" s="115"/>
    </row>
    <row r="174" spans="1:43" s="114" customFormat="1" ht="13.8">
      <c r="A174" s="53" t="s">
        <v>214</v>
      </c>
      <c r="B174" s="39"/>
      <c r="C174" s="136" t="s">
        <v>345</v>
      </c>
      <c r="D174" s="121" t="s">
        <v>998</v>
      </c>
      <c r="E174" s="80"/>
      <c r="F174" s="81">
        <f>0.255*22*3</f>
        <v>16.830000000000002</v>
      </c>
      <c r="G174" s="92">
        <v>3</v>
      </c>
      <c r="H174" s="135"/>
      <c r="J174" s="29"/>
      <c r="AQ174" s="115"/>
    </row>
    <row r="175" spans="1:43" s="114" customFormat="1" ht="13.8">
      <c r="A175" s="53" t="s">
        <v>215</v>
      </c>
      <c r="B175" s="39"/>
      <c r="C175" s="136" t="s">
        <v>344</v>
      </c>
      <c r="D175" s="121" t="s">
        <v>990</v>
      </c>
      <c r="E175" s="80"/>
      <c r="F175" s="81">
        <f>0.255*17*1</f>
        <v>4.335</v>
      </c>
      <c r="G175" s="92">
        <v>1</v>
      </c>
      <c r="H175" s="135"/>
      <c r="J175" s="29"/>
      <c r="AQ175" s="115"/>
    </row>
    <row r="176" spans="1:43" s="114" customFormat="1" ht="13.8">
      <c r="A176" s="53" t="s">
        <v>217</v>
      </c>
      <c r="B176" s="39"/>
      <c r="C176" s="136" t="s">
        <v>343</v>
      </c>
      <c r="D176" s="121" t="s">
        <v>990</v>
      </c>
      <c r="E176" s="80"/>
      <c r="F176" s="81">
        <f>0.255*17*1</f>
        <v>4.335</v>
      </c>
      <c r="G176" s="92">
        <v>1</v>
      </c>
      <c r="H176" s="135"/>
      <c r="J176" s="29"/>
      <c r="AQ176" s="115"/>
    </row>
    <row r="177" spans="1:43" s="114" customFormat="1" ht="13.8">
      <c r="A177" s="53" t="s">
        <v>219</v>
      </c>
      <c r="B177" s="39"/>
      <c r="C177" s="136" t="s">
        <v>532</v>
      </c>
      <c r="D177" s="121" t="s">
        <v>990</v>
      </c>
      <c r="E177" s="80"/>
      <c r="F177" s="81">
        <f aca="true" t="shared" si="3" ref="F177:F179">0.255*17*1</f>
        <v>4.335</v>
      </c>
      <c r="G177" s="92">
        <v>1</v>
      </c>
      <c r="H177" s="135"/>
      <c r="J177" s="29"/>
      <c r="AQ177" s="115"/>
    </row>
    <row r="178" spans="1:43" s="114" customFormat="1" ht="13.8">
      <c r="A178" s="53" t="s">
        <v>221</v>
      </c>
      <c r="B178" s="39"/>
      <c r="C178" s="136" t="s">
        <v>530</v>
      </c>
      <c r="D178" s="121" t="s">
        <v>999</v>
      </c>
      <c r="E178" s="80"/>
      <c r="F178" s="81">
        <f>0.255*16*1</f>
        <v>4.08</v>
      </c>
      <c r="G178" s="92">
        <v>1</v>
      </c>
      <c r="H178" s="135"/>
      <c r="J178" s="29"/>
      <c r="AQ178" s="115"/>
    </row>
    <row r="179" spans="1:43" s="114" customFormat="1" ht="13.8">
      <c r="A179" s="53" t="s">
        <v>223</v>
      </c>
      <c r="B179" s="39"/>
      <c r="C179" s="136" t="s">
        <v>528</v>
      </c>
      <c r="D179" s="121" t="s">
        <v>990</v>
      </c>
      <c r="E179" s="80"/>
      <c r="F179" s="81">
        <f t="shared" si="3"/>
        <v>4.335</v>
      </c>
      <c r="G179" s="92">
        <v>1</v>
      </c>
      <c r="H179" s="135"/>
      <c r="J179" s="29"/>
      <c r="AQ179" s="115"/>
    </row>
    <row r="180" spans="1:43" s="114" customFormat="1" ht="13.8">
      <c r="A180" s="53" t="s">
        <v>225</v>
      </c>
      <c r="B180" s="39"/>
      <c r="C180" s="136" t="s">
        <v>339</v>
      </c>
      <c r="D180" s="121" t="s">
        <v>1000</v>
      </c>
      <c r="E180" s="80"/>
      <c r="F180" s="81">
        <f>0.255*16*2</f>
        <v>8.16</v>
      </c>
      <c r="G180" s="92">
        <v>2</v>
      </c>
      <c r="H180" s="135"/>
      <c r="J180" s="29"/>
      <c r="AQ180" s="115"/>
    </row>
    <row r="181" spans="1:43" s="114" customFormat="1" ht="13.8">
      <c r="A181" s="53" t="s">
        <v>227</v>
      </c>
      <c r="B181" s="39"/>
      <c r="C181" s="136" t="s">
        <v>338</v>
      </c>
      <c r="D181" s="121" t="s">
        <v>1321</v>
      </c>
      <c r="E181" s="80"/>
      <c r="F181" s="81">
        <f>0.255*16*3</f>
        <v>12.24</v>
      </c>
      <c r="G181" s="92">
        <v>3</v>
      </c>
      <c r="H181" s="135"/>
      <c r="J181" s="29"/>
      <c r="AQ181" s="115"/>
    </row>
    <row r="182" spans="1:43" s="114" customFormat="1" ht="13.8">
      <c r="A182" s="53" t="s">
        <v>229</v>
      </c>
      <c r="B182" s="39"/>
      <c r="C182" s="136"/>
      <c r="D182" s="134"/>
      <c r="E182" s="80"/>
      <c r="F182" s="81"/>
      <c r="G182" s="92"/>
      <c r="H182" s="135"/>
      <c r="J182" s="29"/>
      <c r="AQ182" s="115"/>
    </row>
    <row r="183" spans="1:43" s="114" customFormat="1" ht="13.8">
      <c r="A183" s="53" t="s">
        <v>230</v>
      </c>
      <c r="B183" s="39"/>
      <c r="C183" s="132" t="s">
        <v>962</v>
      </c>
      <c r="D183" s="134" t="s">
        <v>1374</v>
      </c>
      <c r="E183" s="80"/>
      <c r="F183" s="81"/>
      <c r="G183" s="92"/>
      <c r="H183" s="135"/>
      <c r="J183" s="29"/>
      <c r="AQ183" s="115"/>
    </row>
    <row r="184" spans="1:43" s="114" customFormat="1" ht="13.8">
      <c r="A184" s="53" t="s">
        <v>231</v>
      </c>
      <c r="B184" s="39"/>
      <c r="C184" s="136" t="s">
        <v>474</v>
      </c>
      <c r="D184" s="121" t="s">
        <v>1004</v>
      </c>
      <c r="E184" s="80"/>
      <c r="F184" s="81">
        <f>0.44*13*1</f>
        <v>5.72</v>
      </c>
      <c r="G184" s="92">
        <v>1</v>
      </c>
      <c r="H184" s="135"/>
      <c r="J184" s="29"/>
      <c r="AQ184" s="115"/>
    </row>
    <row r="185" spans="1:43" s="114" customFormat="1" ht="13.8">
      <c r="A185" s="53" t="s">
        <v>232</v>
      </c>
      <c r="B185" s="39"/>
      <c r="C185" s="136" t="s">
        <v>474</v>
      </c>
      <c r="D185" s="121" t="s">
        <v>1005</v>
      </c>
      <c r="E185" s="80"/>
      <c r="F185" s="81">
        <f>0.255*30*2</f>
        <v>15.3</v>
      </c>
      <c r="G185" s="92">
        <v>2</v>
      </c>
      <c r="H185" s="135"/>
      <c r="J185" s="29"/>
      <c r="AQ185" s="115"/>
    </row>
    <row r="186" spans="1:43" s="114" customFormat="1" ht="13.8">
      <c r="A186" s="53" t="s">
        <v>233</v>
      </c>
      <c r="B186" s="39"/>
      <c r="C186" s="136" t="s">
        <v>472</v>
      </c>
      <c r="D186" s="121" t="s">
        <v>1003</v>
      </c>
      <c r="E186" s="80"/>
      <c r="F186" s="81">
        <f>0.255*29*1</f>
        <v>7.3950000000000005</v>
      </c>
      <c r="G186" s="92">
        <v>1</v>
      </c>
      <c r="H186" s="135"/>
      <c r="J186" s="29"/>
      <c r="AQ186" s="115"/>
    </row>
    <row r="187" spans="1:43" s="114" customFormat="1" ht="13.8">
      <c r="A187" s="53" t="s">
        <v>234</v>
      </c>
      <c r="B187" s="39"/>
      <c r="C187" s="136" t="s">
        <v>470</v>
      </c>
      <c r="D187" s="121" t="s">
        <v>987</v>
      </c>
      <c r="E187" s="80"/>
      <c r="F187" s="81">
        <f>0.255*18*1</f>
        <v>4.59</v>
      </c>
      <c r="G187" s="92">
        <v>1</v>
      </c>
      <c r="H187" s="135"/>
      <c r="J187" s="29"/>
      <c r="AQ187" s="115"/>
    </row>
    <row r="188" spans="1:43" s="114" customFormat="1" ht="13.8">
      <c r="A188" s="53" t="s">
        <v>236</v>
      </c>
      <c r="B188" s="39"/>
      <c r="C188" s="136" t="s">
        <v>468</v>
      </c>
      <c r="D188" s="121" t="s">
        <v>1002</v>
      </c>
      <c r="E188" s="80"/>
      <c r="F188" s="81">
        <f>0.255*20*1</f>
        <v>5.1</v>
      </c>
      <c r="G188" s="92">
        <v>1</v>
      </c>
      <c r="H188" s="135"/>
      <c r="J188" s="29"/>
      <c r="AQ188" s="115"/>
    </row>
    <row r="189" spans="1:43" s="114" customFormat="1" ht="13.8">
      <c r="A189" s="53" t="s">
        <v>238</v>
      </c>
      <c r="B189" s="39"/>
      <c r="C189" s="136" t="s">
        <v>466</v>
      </c>
      <c r="D189" s="121" t="s">
        <v>1002</v>
      </c>
      <c r="E189" s="80"/>
      <c r="F189" s="81">
        <f>0.255*20*1</f>
        <v>5.1</v>
      </c>
      <c r="G189" s="92">
        <v>1</v>
      </c>
      <c r="H189" s="135"/>
      <c r="J189" s="29"/>
      <c r="AQ189" s="115"/>
    </row>
    <row r="190" spans="1:43" s="114" customFormat="1" ht="13.8">
      <c r="A190" s="53" t="s">
        <v>240</v>
      </c>
      <c r="B190" s="39"/>
      <c r="C190" s="136" t="s">
        <v>464</v>
      </c>
      <c r="D190" s="121" t="s">
        <v>987</v>
      </c>
      <c r="E190" s="80"/>
      <c r="F190" s="81">
        <f>0.255*18*1</f>
        <v>4.59</v>
      </c>
      <c r="G190" s="92">
        <v>1</v>
      </c>
      <c r="H190" s="135"/>
      <c r="J190" s="29"/>
      <c r="AQ190" s="115"/>
    </row>
    <row r="191" spans="1:43" s="114" customFormat="1" ht="13.8">
      <c r="A191" s="53" t="s">
        <v>241</v>
      </c>
      <c r="B191" s="39"/>
      <c r="C191" s="136" t="s">
        <v>463</v>
      </c>
      <c r="D191" s="121" t="s">
        <v>987</v>
      </c>
      <c r="E191" s="80"/>
      <c r="F191" s="81">
        <f>0.255*18*1</f>
        <v>4.59</v>
      </c>
      <c r="G191" s="92">
        <v>1</v>
      </c>
      <c r="H191" s="135"/>
      <c r="J191" s="29"/>
      <c r="AQ191" s="115"/>
    </row>
    <row r="192" spans="1:43" s="114" customFormat="1" ht="13.8">
      <c r="A192" s="53" t="s">
        <v>244</v>
      </c>
      <c r="B192" s="39"/>
      <c r="C192" s="136" t="s">
        <v>612</v>
      </c>
      <c r="D192" s="121" t="s">
        <v>1001</v>
      </c>
      <c r="E192" s="80"/>
      <c r="F192" s="81">
        <f>0.255*24*1</f>
        <v>6.12</v>
      </c>
      <c r="G192" s="92">
        <v>1</v>
      </c>
      <c r="H192" s="135"/>
      <c r="J192" s="29"/>
      <c r="AQ192" s="115"/>
    </row>
    <row r="193" spans="1:43" s="114" customFormat="1" ht="13.8">
      <c r="A193" s="53" t="s">
        <v>246</v>
      </c>
      <c r="B193" s="39"/>
      <c r="C193" s="136" t="s">
        <v>610</v>
      </c>
      <c r="D193" s="121" t="s">
        <v>987</v>
      </c>
      <c r="E193" s="80"/>
      <c r="F193" s="81">
        <f>0.255*18*1</f>
        <v>4.59</v>
      </c>
      <c r="G193" s="92">
        <v>1</v>
      </c>
      <c r="H193" s="135"/>
      <c r="J193" s="29"/>
      <c r="AQ193" s="115"/>
    </row>
    <row r="194" spans="1:43" s="114" customFormat="1" ht="13.8">
      <c r="A194" s="53" t="s">
        <v>249</v>
      </c>
      <c r="B194" s="39"/>
      <c r="C194" s="136" t="s">
        <v>608</v>
      </c>
      <c r="D194" s="121" t="s">
        <v>997</v>
      </c>
      <c r="E194" s="80"/>
      <c r="F194" s="81">
        <f>0.255*22*1</f>
        <v>5.61</v>
      </c>
      <c r="G194" s="92">
        <v>1</v>
      </c>
      <c r="H194" s="135"/>
      <c r="J194" s="29"/>
      <c r="AQ194" s="115"/>
    </row>
    <row r="195" spans="1:43" s="114" customFormat="1" ht="13.8">
      <c r="A195" s="53" t="s">
        <v>251</v>
      </c>
      <c r="B195" s="39"/>
      <c r="C195" s="132"/>
      <c r="D195" s="134"/>
      <c r="E195" s="80"/>
      <c r="F195" s="81"/>
      <c r="G195" s="92"/>
      <c r="H195" s="135"/>
      <c r="J195" s="29"/>
      <c r="AQ195" s="115"/>
    </row>
    <row r="196" spans="1:43" s="114" customFormat="1" ht="13.8">
      <c r="A196" s="53" t="s">
        <v>253</v>
      </c>
      <c r="B196" s="39"/>
      <c r="C196" s="132"/>
      <c r="D196" s="100"/>
      <c r="E196" s="80"/>
      <c r="F196" s="81"/>
      <c r="G196" s="92"/>
      <c r="H196" s="135"/>
      <c r="J196" s="29"/>
      <c r="AQ196" s="115"/>
    </row>
    <row r="197" spans="1:43" s="114" customFormat="1" ht="13.8">
      <c r="A197" s="53" t="s">
        <v>255</v>
      </c>
      <c r="B197" s="39"/>
      <c r="C197" s="136"/>
      <c r="D197" s="131" t="s">
        <v>1375</v>
      </c>
      <c r="E197" s="80"/>
      <c r="F197" s="81"/>
      <c r="G197" s="92"/>
      <c r="H197" s="135"/>
      <c r="J197" s="29"/>
      <c r="AQ197" s="115"/>
    </row>
    <row r="198" spans="1:43" s="114" customFormat="1" ht="13.8">
      <c r="A198" s="53" t="s">
        <v>256</v>
      </c>
      <c r="B198" s="39"/>
      <c r="C198" s="136"/>
      <c r="D198" s="100" t="s">
        <v>1376</v>
      </c>
      <c r="E198" s="80"/>
      <c r="F198" s="81"/>
      <c r="G198" s="92"/>
      <c r="H198" s="135"/>
      <c r="J198" s="29"/>
      <c r="AQ198" s="115"/>
    </row>
    <row r="199" spans="1:43" s="114" customFormat="1" ht="13.8">
      <c r="A199" s="53" t="s">
        <v>258</v>
      </c>
      <c r="B199" s="39"/>
      <c r="C199" s="132" t="s">
        <v>962</v>
      </c>
      <c r="D199" s="134" t="s">
        <v>1377</v>
      </c>
      <c r="E199" s="80"/>
      <c r="F199" s="81"/>
      <c r="G199" s="92"/>
      <c r="H199" s="135"/>
      <c r="J199" s="29"/>
      <c r="AQ199" s="115"/>
    </row>
    <row r="200" spans="1:43" s="114" customFormat="1" ht="13.8">
      <c r="A200" s="53" t="s">
        <v>260</v>
      </c>
      <c r="B200" s="39"/>
      <c r="C200" s="136" t="s">
        <v>254</v>
      </c>
      <c r="D200" s="121" t="s">
        <v>967</v>
      </c>
      <c r="E200" s="80"/>
      <c r="F200" s="81">
        <f>0.255*22*4</f>
        <v>22.44</v>
      </c>
      <c r="G200" s="92">
        <v>4</v>
      </c>
      <c r="H200" s="135"/>
      <c r="J200" s="29"/>
      <c r="AQ200" s="115"/>
    </row>
    <row r="201" spans="1:43" s="114" customFormat="1" ht="13.8">
      <c r="A201" s="53" t="s">
        <v>263</v>
      </c>
      <c r="B201" s="39"/>
      <c r="C201" s="136" t="s">
        <v>254</v>
      </c>
      <c r="D201" s="121" t="s">
        <v>252</v>
      </c>
      <c r="E201" s="80"/>
      <c r="F201" s="81">
        <f>0.255*24*1</f>
        <v>6.12</v>
      </c>
      <c r="G201" s="92">
        <v>1</v>
      </c>
      <c r="H201" s="135"/>
      <c r="J201" s="29"/>
      <c r="AQ201" s="115"/>
    </row>
    <row r="202" spans="1:43" s="114" customFormat="1" ht="13.8">
      <c r="A202" s="53" t="s">
        <v>264</v>
      </c>
      <c r="B202" s="39"/>
      <c r="C202" s="136" t="s">
        <v>247</v>
      </c>
      <c r="D202" s="121" t="s">
        <v>961</v>
      </c>
      <c r="E202" s="80"/>
      <c r="F202" s="81">
        <f>0.255*12*2</f>
        <v>6.12</v>
      </c>
      <c r="G202" s="92">
        <v>2</v>
      </c>
      <c r="H202" s="135"/>
      <c r="J202" s="29"/>
      <c r="AQ202" s="115"/>
    </row>
    <row r="203" spans="1:43" s="114" customFormat="1" ht="13.8">
      <c r="A203" s="53" t="s">
        <v>266</v>
      </c>
      <c r="B203" s="39"/>
      <c r="C203" s="136" t="s">
        <v>247</v>
      </c>
      <c r="D203" s="121" t="s">
        <v>250</v>
      </c>
      <c r="E203" s="80"/>
      <c r="F203" s="81">
        <f>0.255*14*1</f>
        <v>3.5700000000000003</v>
      </c>
      <c r="G203" s="92">
        <v>1</v>
      </c>
      <c r="H203" s="135"/>
      <c r="J203" s="29"/>
      <c r="AQ203" s="115"/>
    </row>
    <row r="204" spans="1:43" s="114" customFormat="1" ht="13.8">
      <c r="A204" s="53" t="s">
        <v>268</v>
      </c>
      <c r="B204" s="39"/>
      <c r="C204" s="136" t="s">
        <v>245</v>
      </c>
      <c r="D204" s="121" t="s">
        <v>968</v>
      </c>
      <c r="E204" s="80"/>
      <c r="F204" s="81">
        <f>0.205*10*1</f>
        <v>2.05</v>
      </c>
      <c r="G204" s="92">
        <v>1</v>
      </c>
      <c r="H204" s="135"/>
      <c r="J204" s="29"/>
      <c r="AQ204" s="115"/>
    </row>
    <row r="205" spans="1:43" s="114" customFormat="1" ht="13.8">
      <c r="A205" s="53" t="s">
        <v>271</v>
      </c>
      <c r="B205" s="39"/>
      <c r="C205" s="136" t="s">
        <v>242</v>
      </c>
      <c r="D205" s="121" t="s">
        <v>243</v>
      </c>
      <c r="E205" s="80"/>
      <c r="F205" s="81">
        <f>0.44*10*1</f>
        <v>4.4</v>
      </c>
      <c r="G205" s="92">
        <v>1</v>
      </c>
      <c r="H205" s="135"/>
      <c r="J205" s="29"/>
      <c r="AQ205" s="115"/>
    </row>
    <row r="206" spans="1:43" s="114" customFormat="1" ht="13.8">
      <c r="A206" s="53" t="s">
        <v>274</v>
      </c>
      <c r="B206" s="39"/>
      <c r="C206" s="136" t="s">
        <v>175</v>
      </c>
      <c r="D206" s="121" t="s">
        <v>969</v>
      </c>
      <c r="E206" s="80"/>
      <c r="F206" s="81">
        <f>0.44*12*1</f>
        <v>5.28</v>
      </c>
      <c r="G206" s="92">
        <v>1</v>
      </c>
      <c r="H206" s="135"/>
      <c r="J206" s="29"/>
      <c r="AQ206" s="115"/>
    </row>
    <row r="207" spans="1:43" s="114" customFormat="1" ht="13.8">
      <c r="A207" s="53" t="s">
        <v>277</v>
      </c>
      <c r="B207" s="39"/>
      <c r="C207" s="136" t="s">
        <v>178</v>
      </c>
      <c r="D207" s="121" t="s">
        <v>969</v>
      </c>
      <c r="E207" s="80"/>
      <c r="F207" s="81">
        <f>0.44*12*1</f>
        <v>5.28</v>
      </c>
      <c r="G207" s="92">
        <v>1</v>
      </c>
      <c r="H207" s="135"/>
      <c r="J207" s="29"/>
      <c r="AQ207" s="115"/>
    </row>
    <row r="208" spans="1:43" s="114" customFormat="1" ht="13.8">
      <c r="A208" s="53" t="s">
        <v>279</v>
      </c>
      <c r="B208" s="39"/>
      <c r="C208" s="136"/>
      <c r="D208" s="81"/>
      <c r="E208" s="80"/>
      <c r="F208" s="129"/>
      <c r="G208" s="92"/>
      <c r="H208" s="135"/>
      <c r="J208" s="29"/>
      <c r="AQ208" s="115"/>
    </row>
    <row r="209" spans="1:43" s="114" customFormat="1" ht="13.8">
      <c r="A209" s="53" t="s">
        <v>281</v>
      </c>
      <c r="B209" s="39"/>
      <c r="C209" s="132" t="s">
        <v>962</v>
      </c>
      <c r="D209" s="134" t="s">
        <v>1378</v>
      </c>
      <c r="E209" s="80"/>
      <c r="F209" s="129"/>
      <c r="G209" s="92"/>
      <c r="H209" s="135"/>
      <c r="J209" s="29"/>
      <c r="AQ209" s="115"/>
    </row>
    <row r="210" spans="1:43" s="114" customFormat="1" ht="13.8">
      <c r="A210" s="53" t="s">
        <v>283</v>
      </c>
      <c r="B210" s="39"/>
      <c r="C210" s="136" t="s">
        <v>358</v>
      </c>
      <c r="D210" s="121" t="s">
        <v>250</v>
      </c>
      <c r="E210" s="80"/>
      <c r="F210" s="81">
        <f>0.255*14*1</f>
        <v>3.5700000000000003</v>
      </c>
      <c r="G210" s="92">
        <v>1</v>
      </c>
      <c r="H210" s="135"/>
      <c r="J210" s="29"/>
      <c r="AQ210" s="115"/>
    </row>
    <row r="211" spans="1:43" s="114" customFormat="1" ht="13.8">
      <c r="A211" s="53" t="s">
        <v>284</v>
      </c>
      <c r="B211" s="39"/>
      <c r="C211" s="136" t="s">
        <v>980</v>
      </c>
      <c r="D211" s="121" t="s">
        <v>978</v>
      </c>
      <c r="E211" s="80"/>
      <c r="F211" s="81">
        <f>0.255*19*1</f>
        <v>4.845</v>
      </c>
      <c r="G211" s="92">
        <v>1</v>
      </c>
      <c r="H211" s="135"/>
      <c r="J211" s="29"/>
      <c r="AQ211" s="115"/>
    </row>
    <row r="212" spans="1:43" s="114" customFormat="1" ht="13.8">
      <c r="A212" s="53" t="s">
        <v>286</v>
      </c>
      <c r="B212" s="39"/>
      <c r="C212" s="136" t="s">
        <v>355</v>
      </c>
      <c r="D212" s="121" t="s">
        <v>250</v>
      </c>
      <c r="E212" s="80"/>
      <c r="F212" s="81">
        <f>0.255*14*1</f>
        <v>3.5700000000000003</v>
      </c>
      <c r="G212" s="92">
        <v>1</v>
      </c>
      <c r="H212" s="135"/>
      <c r="J212" s="29"/>
      <c r="AQ212" s="115"/>
    </row>
    <row r="213" spans="1:43" s="114" customFormat="1" ht="13.8">
      <c r="A213" s="53" t="s">
        <v>288</v>
      </c>
      <c r="B213" s="39"/>
      <c r="C213" s="136" t="s">
        <v>353</v>
      </c>
      <c r="D213" s="121" t="s">
        <v>978</v>
      </c>
      <c r="E213" s="80"/>
      <c r="F213" s="81">
        <f>0.255*19*1</f>
        <v>4.845</v>
      </c>
      <c r="G213" s="92">
        <v>1</v>
      </c>
      <c r="H213" s="135"/>
      <c r="J213" s="29"/>
      <c r="AQ213" s="115"/>
    </row>
    <row r="214" spans="1:43" s="114" customFormat="1" ht="13.8">
      <c r="A214" s="53" t="s">
        <v>290</v>
      </c>
      <c r="B214" s="39"/>
      <c r="C214" s="136" t="s">
        <v>979</v>
      </c>
      <c r="D214" s="121" t="s">
        <v>978</v>
      </c>
      <c r="E214" s="80"/>
      <c r="F214" s="81">
        <f>0.255*19*1</f>
        <v>4.845</v>
      </c>
      <c r="G214" s="92">
        <v>1</v>
      </c>
      <c r="H214" s="135"/>
      <c r="J214" s="29"/>
      <c r="AQ214" s="115"/>
    </row>
    <row r="215" spans="1:43" s="114" customFormat="1" ht="13.8">
      <c r="A215" s="53" t="s">
        <v>292</v>
      </c>
      <c r="B215" s="39"/>
      <c r="C215" s="136" t="s">
        <v>981</v>
      </c>
      <c r="D215" s="121" t="s">
        <v>978</v>
      </c>
      <c r="E215" s="80"/>
      <c r="F215" s="81">
        <f>0.255*19*1</f>
        <v>4.845</v>
      </c>
      <c r="G215" s="92">
        <v>1</v>
      </c>
      <c r="H215" s="135"/>
      <c r="J215" s="29"/>
      <c r="AQ215" s="115"/>
    </row>
    <row r="216" spans="1:43" s="114" customFormat="1" ht="13.8">
      <c r="A216" s="53" t="s">
        <v>295</v>
      </c>
      <c r="B216" s="39"/>
      <c r="C216" s="136" t="s">
        <v>982</v>
      </c>
      <c r="D216" s="121" t="s">
        <v>978</v>
      </c>
      <c r="E216" s="80"/>
      <c r="F216" s="81">
        <f>0.255*19*1</f>
        <v>4.845</v>
      </c>
      <c r="G216" s="92">
        <v>1</v>
      </c>
      <c r="H216" s="135"/>
      <c r="J216" s="29"/>
      <c r="AQ216" s="115"/>
    </row>
    <row r="217" spans="1:43" s="114" customFormat="1" ht="13.8">
      <c r="A217" s="53" t="s">
        <v>297</v>
      </c>
      <c r="B217" s="39"/>
      <c r="C217" s="138" t="s">
        <v>983</v>
      </c>
      <c r="D217" s="121" t="s">
        <v>973</v>
      </c>
      <c r="E217" s="80"/>
      <c r="F217" s="81">
        <f>0.255*18*1</f>
        <v>4.59</v>
      </c>
      <c r="G217" s="92">
        <v>1</v>
      </c>
      <c r="H217" s="135"/>
      <c r="J217" s="29"/>
      <c r="AQ217" s="115"/>
    </row>
    <row r="218" spans="1:43" s="114" customFormat="1" ht="13.8">
      <c r="A218" s="53" t="s">
        <v>299</v>
      </c>
      <c r="B218" s="39"/>
      <c r="C218" s="136" t="s">
        <v>348</v>
      </c>
      <c r="D218" s="121" t="s">
        <v>973</v>
      </c>
      <c r="E218" s="80"/>
      <c r="F218" s="81">
        <f>0.255*18*1</f>
        <v>4.59</v>
      </c>
      <c r="G218" s="92">
        <v>1</v>
      </c>
      <c r="H218" s="135"/>
      <c r="J218" s="29"/>
      <c r="AQ218" s="115"/>
    </row>
    <row r="219" spans="1:43" s="114" customFormat="1" ht="13.8">
      <c r="A219" s="53" t="s">
        <v>300</v>
      </c>
      <c r="B219" s="39"/>
      <c r="C219" s="136" t="s">
        <v>984</v>
      </c>
      <c r="D219" s="121" t="s">
        <v>985</v>
      </c>
      <c r="E219" s="80"/>
      <c r="F219" s="81">
        <f>0.185*20*3</f>
        <v>11.100000000000001</v>
      </c>
      <c r="G219" s="92">
        <v>3</v>
      </c>
      <c r="H219" s="135"/>
      <c r="J219" s="29"/>
      <c r="AQ219" s="115"/>
    </row>
    <row r="220" spans="1:43" s="114" customFormat="1" ht="13.8">
      <c r="A220" s="53" t="s">
        <v>302</v>
      </c>
      <c r="B220" s="39"/>
      <c r="C220" s="136"/>
      <c r="D220" s="121"/>
      <c r="E220" s="80"/>
      <c r="F220" s="81"/>
      <c r="G220" s="92"/>
      <c r="H220" s="135"/>
      <c r="J220" s="29"/>
      <c r="AQ220" s="115"/>
    </row>
    <row r="221" spans="1:43" s="114" customFormat="1" ht="13.8">
      <c r="A221" s="53" t="s">
        <v>303</v>
      </c>
      <c r="B221" s="39"/>
      <c r="C221" s="132" t="s">
        <v>962</v>
      </c>
      <c r="D221" s="134" t="s">
        <v>1379</v>
      </c>
      <c r="E221" s="80"/>
      <c r="F221" s="81"/>
      <c r="G221" s="92"/>
      <c r="H221" s="135"/>
      <c r="J221" s="29"/>
      <c r="AQ221" s="115"/>
    </row>
    <row r="222" spans="1:43" s="114" customFormat="1" ht="13.8">
      <c r="A222" s="53" t="s">
        <v>305</v>
      </c>
      <c r="B222" s="39"/>
      <c r="C222" s="136" t="s">
        <v>165</v>
      </c>
      <c r="D222" s="121" t="s">
        <v>262</v>
      </c>
      <c r="E222" s="80"/>
      <c r="F222" s="81">
        <f>0.255*16*1</f>
        <v>4.08</v>
      </c>
      <c r="G222" s="92">
        <v>1</v>
      </c>
      <c r="H222" s="135"/>
      <c r="J222" s="29"/>
      <c r="AQ222" s="115"/>
    </row>
    <row r="223" spans="1:43" s="114" customFormat="1" ht="13.8">
      <c r="A223" s="53" t="s">
        <v>306</v>
      </c>
      <c r="B223" s="39"/>
      <c r="C223" s="136" t="s">
        <v>164</v>
      </c>
      <c r="D223" s="121" t="s">
        <v>262</v>
      </c>
      <c r="E223" s="80"/>
      <c r="F223" s="81">
        <f>0.255*16*1</f>
        <v>4.08</v>
      </c>
      <c r="G223" s="92">
        <v>1</v>
      </c>
      <c r="H223" s="135"/>
      <c r="J223" s="29"/>
      <c r="AQ223" s="115"/>
    </row>
    <row r="224" spans="1:43" s="114" customFormat="1" ht="13.8">
      <c r="A224" s="53" t="s">
        <v>308</v>
      </c>
      <c r="B224" s="39"/>
      <c r="C224" s="136" t="s">
        <v>436</v>
      </c>
      <c r="D224" s="121" t="s">
        <v>262</v>
      </c>
      <c r="E224" s="80"/>
      <c r="F224" s="81">
        <f>0.255*16*1</f>
        <v>4.08</v>
      </c>
      <c r="G224" s="92">
        <v>1</v>
      </c>
      <c r="H224" s="135"/>
      <c r="J224" s="29"/>
      <c r="AQ224" s="115"/>
    </row>
    <row r="225" spans="1:43" s="114" customFormat="1" ht="13.8">
      <c r="A225" s="53" t="s">
        <v>310</v>
      </c>
      <c r="B225" s="39"/>
      <c r="C225" s="136" t="s">
        <v>434</v>
      </c>
      <c r="D225" s="121" t="s">
        <v>974</v>
      </c>
      <c r="E225" s="80"/>
      <c r="F225" s="81">
        <f>0.255*17*1</f>
        <v>4.335</v>
      </c>
      <c r="G225" s="92">
        <v>1</v>
      </c>
      <c r="H225" s="135"/>
      <c r="J225" s="29"/>
      <c r="AQ225" s="115"/>
    </row>
    <row r="226" spans="1:43" s="114" customFormat="1" ht="13.8">
      <c r="A226" s="53" t="s">
        <v>312</v>
      </c>
      <c r="B226" s="39"/>
      <c r="C226" s="136" t="s">
        <v>161</v>
      </c>
      <c r="D226" s="121" t="s">
        <v>973</v>
      </c>
      <c r="E226" s="80"/>
      <c r="F226" s="81">
        <f>0.255*18*1</f>
        <v>4.59</v>
      </c>
      <c r="G226" s="92">
        <v>1</v>
      </c>
      <c r="H226" s="135"/>
      <c r="J226" s="29"/>
      <c r="AQ226" s="115"/>
    </row>
    <row r="227" spans="1:43" s="114" customFormat="1" ht="13.8">
      <c r="A227" s="53" t="s">
        <v>314</v>
      </c>
      <c r="B227" s="39"/>
      <c r="C227" s="136" t="s">
        <v>159</v>
      </c>
      <c r="D227" s="121" t="s">
        <v>993</v>
      </c>
      <c r="E227" s="80"/>
      <c r="F227" s="81">
        <f>0.255*16*3</f>
        <v>12.24</v>
      </c>
      <c r="G227" s="92">
        <v>3</v>
      </c>
      <c r="H227" s="135"/>
      <c r="J227" s="29"/>
      <c r="AQ227" s="115"/>
    </row>
    <row r="228" spans="1:43" s="114" customFormat="1" ht="13.8">
      <c r="A228" s="53" t="s">
        <v>315</v>
      </c>
      <c r="B228" s="39"/>
      <c r="C228" s="136" t="s">
        <v>157</v>
      </c>
      <c r="D228" s="121" t="s">
        <v>992</v>
      </c>
      <c r="E228" s="80"/>
      <c r="F228" s="81">
        <f>0.255*28*1</f>
        <v>7.140000000000001</v>
      </c>
      <c r="G228" s="92">
        <v>1</v>
      </c>
      <c r="H228" s="135"/>
      <c r="J228" s="29"/>
      <c r="AQ228" s="115"/>
    </row>
    <row r="229" spans="1:43" s="114" customFormat="1" ht="13.8">
      <c r="A229" s="53" t="s">
        <v>317</v>
      </c>
      <c r="B229" s="39"/>
      <c r="C229" s="136" t="s">
        <v>156</v>
      </c>
      <c r="D229" s="121" t="s">
        <v>991</v>
      </c>
      <c r="E229" s="80"/>
      <c r="F229" s="81">
        <f>0.255*22*3</f>
        <v>16.830000000000002</v>
      </c>
      <c r="G229" s="92">
        <v>3</v>
      </c>
      <c r="H229" s="135"/>
      <c r="J229" s="29"/>
      <c r="AQ229" s="115"/>
    </row>
    <row r="230" spans="1:43" s="114" customFormat="1" ht="13.8">
      <c r="A230" s="53" t="s">
        <v>319</v>
      </c>
      <c r="B230" s="39"/>
      <c r="C230" s="136"/>
      <c r="D230" s="121"/>
      <c r="E230" s="80"/>
      <c r="F230" s="81"/>
      <c r="G230" s="92"/>
      <c r="H230" s="135"/>
      <c r="J230" s="29"/>
      <c r="AQ230" s="115"/>
    </row>
    <row r="231" spans="1:43" s="114" customFormat="1" ht="13.8">
      <c r="A231" s="53" t="s">
        <v>320</v>
      </c>
      <c r="B231" s="39"/>
      <c r="C231" s="132" t="s">
        <v>962</v>
      </c>
      <c r="D231" s="134" t="s">
        <v>1380</v>
      </c>
      <c r="E231" s="80"/>
      <c r="F231" s="81"/>
      <c r="G231" s="92"/>
      <c r="H231" s="135"/>
      <c r="J231" s="29"/>
      <c r="AQ231" s="115"/>
    </row>
    <row r="232" spans="1:43" s="114" customFormat="1" ht="13.8">
      <c r="A232" s="53" t="s">
        <v>321</v>
      </c>
      <c r="B232" s="39"/>
      <c r="C232" s="136" t="s">
        <v>337</v>
      </c>
      <c r="D232" s="121" t="s">
        <v>259</v>
      </c>
      <c r="E232" s="80"/>
      <c r="F232" s="81">
        <f>0.255*15*1</f>
        <v>3.825</v>
      </c>
      <c r="G232" s="92">
        <v>1</v>
      </c>
      <c r="H232" s="135"/>
      <c r="J232" s="29"/>
      <c r="AQ232" s="115"/>
    </row>
    <row r="233" spans="1:43" s="114" customFormat="1" ht="13.8">
      <c r="A233" s="53" t="s">
        <v>322</v>
      </c>
      <c r="B233" s="39"/>
      <c r="C233" s="136" t="s">
        <v>336</v>
      </c>
      <c r="D233" s="121" t="s">
        <v>974</v>
      </c>
      <c r="E233" s="80"/>
      <c r="F233" s="81">
        <f>0.255*17*1</f>
        <v>4.335</v>
      </c>
      <c r="G233" s="92">
        <v>1</v>
      </c>
      <c r="H233" s="135"/>
      <c r="J233" s="29"/>
      <c r="AQ233" s="115"/>
    </row>
    <row r="234" spans="1:43" s="114" customFormat="1" ht="13.8">
      <c r="A234" s="53" t="s">
        <v>323</v>
      </c>
      <c r="B234" s="39"/>
      <c r="C234" s="136" t="s">
        <v>335</v>
      </c>
      <c r="D234" s="121" t="s">
        <v>262</v>
      </c>
      <c r="E234" s="80"/>
      <c r="F234" s="81">
        <f aca="true" t="shared" si="4" ref="F234:F236">0.255*16*1</f>
        <v>4.08</v>
      </c>
      <c r="G234" s="92">
        <v>1</v>
      </c>
      <c r="H234" s="135"/>
      <c r="J234" s="29"/>
      <c r="AQ234" s="115"/>
    </row>
    <row r="235" spans="1:43" s="114" customFormat="1" ht="13.8">
      <c r="A235" s="53" t="s">
        <v>324</v>
      </c>
      <c r="B235" s="39"/>
      <c r="C235" s="136" t="s">
        <v>334</v>
      </c>
      <c r="D235" s="121" t="s">
        <v>262</v>
      </c>
      <c r="E235" s="80"/>
      <c r="F235" s="81">
        <f t="shared" si="4"/>
        <v>4.08</v>
      </c>
      <c r="G235" s="92">
        <v>1</v>
      </c>
      <c r="H235" s="135"/>
      <c r="J235" s="29"/>
      <c r="AQ235" s="115"/>
    </row>
    <row r="236" spans="1:43" s="114" customFormat="1" ht="13.8">
      <c r="A236" s="53" t="s">
        <v>325</v>
      </c>
      <c r="B236" s="39"/>
      <c r="C236" s="136" t="s">
        <v>332</v>
      </c>
      <c r="D236" s="121" t="s">
        <v>262</v>
      </c>
      <c r="E236" s="80"/>
      <c r="F236" s="81">
        <f t="shared" si="4"/>
        <v>4.08</v>
      </c>
      <c r="G236" s="92">
        <v>1</v>
      </c>
      <c r="H236" s="135"/>
      <c r="J236" s="29"/>
      <c r="AQ236" s="115"/>
    </row>
    <row r="237" spans="1:43" s="114" customFormat="1" ht="13.8">
      <c r="A237" s="53" t="s">
        <v>326</v>
      </c>
      <c r="B237" s="39"/>
      <c r="C237" s="136" t="s">
        <v>331</v>
      </c>
      <c r="D237" s="121" t="s">
        <v>262</v>
      </c>
      <c r="E237" s="80"/>
      <c r="F237" s="81">
        <f>0.255*16*1</f>
        <v>4.08</v>
      </c>
      <c r="G237" s="92">
        <v>1</v>
      </c>
      <c r="H237" s="135"/>
      <c r="J237" s="29"/>
      <c r="AQ237" s="115"/>
    </row>
    <row r="238" spans="1:43" s="114" customFormat="1" ht="13.8">
      <c r="A238" s="53" t="s">
        <v>327</v>
      </c>
      <c r="B238" s="39"/>
      <c r="C238" s="136" t="s">
        <v>994</v>
      </c>
      <c r="D238" s="121" t="s">
        <v>262</v>
      </c>
      <c r="E238" s="80"/>
      <c r="F238" s="81">
        <f>0.255*16*1</f>
        <v>4.08</v>
      </c>
      <c r="G238" s="92">
        <v>1</v>
      </c>
      <c r="H238" s="135"/>
      <c r="J238" s="29"/>
      <c r="AQ238" s="115"/>
    </row>
    <row r="239" spans="1:43" s="114" customFormat="1" ht="13.8">
      <c r="A239" s="53" t="s">
        <v>328</v>
      </c>
      <c r="B239" s="39"/>
      <c r="C239" s="136" t="s">
        <v>329</v>
      </c>
      <c r="D239" s="121" t="s">
        <v>974</v>
      </c>
      <c r="E239" s="80"/>
      <c r="F239" s="81">
        <f>0.255*17*1</f>
        <v>4.335</v>
      </c>
      <c r="G239" s="92">
        <v>1</v>
      </c>
      <c r="H239" s="135"/>
      <c r="J239" s="29"/>
      <c r="AQ239" s="115"/>
    </row>
    <row r="240" spans="1:43" s="114" customFormat="1" ht="13.8">
      <c r="A240" s="53" t="s">
        <v>329</v>
      </c>
      <c r="B240" s="39"/>
      <c r="C240" s="136" t="s">
        <v>328</v>
      </c>
      <c r="D240" s="121" t="s">
        <v>992</v>
      </c>
      <c r="E240" s="80"/>
      <c r="F240" s="81">
        <f>0.255*28*1</f>
        <v>7.140000000000001</v>
      </c>
      <c r="G240" s="92">
        <v>1</v>
      </c>
      <c r="H240" s="135"/>
      <c r="J240" s="29"/>
      <c r="AQ240" s="115"/>
    </row>
    <row r="241" spans="1:43" s="114" customFormat="1" ht="13.8">
      <c r="A241" s="53" t="s">
        <v>330</v>
      </c>
      <c r="B241" s="39"/>
      <c r="C241" s="136" t="s">
        <v>995</v>
      </c>
      <c r="D241" s="89" t="s">
        <v>973</v>
      </c>
      <c r="E241" s="80"/>
      <c r="F241" s="81">
        <f>0.255*18*1</f>
        <v>4.59</v>
      </c>
      <c r="G241" s="92">
        <v>1</v>
      </c>
      <c r="H241" s="135"/>
      <c r="J241" s="29"/>
      <c r="AQ241" s="115"/>
    </row>
    <row r="242" spans="1:43" s="114" customFormat="1" ht="13.8">
      <c r="A242" s="53" t="s">
        <v>331</v>
      </c>
      <c r="B242" s="39"/>
      <c r="C242" s="136" t="s">
        <v>326</v>
      </c>
      <c r="D242" s="89" t="s">
        <v>973</v>
      </c>
      <c r="E242" s="80"/>
      <c r="F242" s="81">
        <f>0.255*18*1</f>
        <v>4.59</v>
      </c>
      <c r="G242" s="92">
        <v>1</v>
      </c>
      <c r="H242" s="135"/>
      <c r="J242" s="29"/>
      <c r="AQ242" s="115"/>
    </row>
    <row r="243" spans="1:43" s="114" customFormat="1" ht="13.8">
      <c r="A243" s="53" t="s">
        <v>332</v>
      </c>
      <c r="B243" s="39"/>
      <c r="C243" s="136" t="s">
        <v>325</v>
      </c>
      <c r="D243" s="89" t="s">
        <v>996</v>
      </c>
      <c r="E243" s="80"/>
      <c r="F243" s="81">
        <f>0.255*30*1</f>
        <v>7.65</v>
      </c>
      <c r="G243" s="92">
        <v>1</v>
      </c>
      <c r="H243" s="135"/>
      <c r="J243" s="29"/>
      <c r="AQ243" s="115"/>
    </row>
    <row r="244" spans="1:43" s="114" customFormat="1" ht="13.8">
      <c r="A244" s="53" t="s">
        <v>334</v>
      </c>
      <c r="B244" s="39"/>
      <c r="C244" s="138"/>
      <c r="D244" s="121"/>
      <c r="E244" s="80"/>
      <c r="F244" s="81"/>
      <c r="G244" s="92"/>
      <c r="H244" s="135"/>
      <c r="J244" s="29"/>
      <c r="AQ244" s="115"/>
    </row>
    <row r="245" spans="1:43" s="114" customFormat="1" ht="13.8">
      <c r="A245" s="53" t="s">
        <v>335</v>
      </c>
      <c r="B245" s="39"/>
      <c r="C245" s="132" t="s">
        <v>962</v>
      </c>
      <c r="D245" s="134" t="s">
        <v>1381</v>
      </c>
      <c r="E245" s="80"/>
      <c r="F245" s="81"/>
      <c r="G245" s="92"/>
      <c r="H245" s="135"/>
      <c r="J245" s="29"/>
      <c r="AQ245" s="115"/>
    </row>
    <row r="246" spans="1:43" s="114" customFormat="1" ht="13.8">
      <c r="A246" s="53" t="s">
        <v>336</v>
      </c>
      <c r="B246" s="39"/>
      <c r="C246" s="138" t="s">
        <v>537</v>
      </c>
      <c r="D246" s="121" t="s">
        <v>963</v>
      </c>
      <c r="E246" s="80"/>
      <c r="F246" s="81">
        <f>0.255*22*1</f>
        <v>5.61</v>
      </c>
      <c r="G246" s="92">
        <v>1</v>
      </c>
      <c r="H246" s="135"/>
      <c r="J246" s="29"/>
      <c r="AQ246" s="115"/>
    </row>
    <row r="247" spans="1:43" s="114" customFormat="1" ht="13.8">
      <c r="A247" s="53" t="s">
        <v>337</v>
      </c>
      <c r="B247" s="39"/>
      <c r="C247" s="138" t="s">
        <v>605</v>
      </c>
      <c r="D247" s="121" t="s">
        <v>1006</v>
      </c>
      <c r="E247" s="80"/>
      <c r="F247" s="81">
        <f>0.255*26*1</f>
        <v>6.63</v>
      </c>
      <c r="G247" s="92">
        <v>1</v>
      </c>
      <c r="H247" s="135"/>
      <c r="J247" s="29"/>
      <c r="AQ247" s="115"/>
    </row>
    <row r="248" spans="1:43" s="114" customFormat="1" ht="13.8">
      <c r="A248" s="53" t="s">
        <v>338</v>
      </c>
      <c r="B248" s="39"/>
      <c r="C248" s="138" t="s">
        <v>603</v>
      </c>
      <c r="D248" s="121" t="s">
        <v>1006</v>
      </c>
      <c r="E248" s="80"/>
      <c r="F248" s="81">
        <f>0.255*26*1</f>
        <v>6.63</v>
      </c>
      <c r="G248" s="92">
        <v>1</v>
      </c>
      <c r="H248" s="135"/>
      <c r="J248" s="29"/>
      <c r="AQ248" s="115"/>
    </row>
    <row r="249" spans="1:43" s="114" customFormat="1" ht="13.8">
      <c r="A249" s="53" t="s">
        <v>339</v>
      </c>
      <c r="B249" s="39"/>
      <c r="C249" s="138" t="s">
        <v>601</v>
      </c>
      <c r="D249" s="121" t="s">
        <v>1006</v>
      </c>
      <c r="E249" s="80"/>
      <c r="F249" s="81">
        <f aca="true" t="shared" si="5" ref="F249:F250">0.255*26*1</f>
        <v>6.63</v>
      </c>
      <c r="G249" s="92">
        <v>1</v>
      </c>
      <c r="H249" s="135"/>
      <c r="J249" s="29"/>
      <c r="AQ249" s="115"/>
    </row>
    <row r="250" spans="1:43" s="114" customFormat="1" ht="13.8">
      <c r="A250" s="53" t="s">
        <v>340</v>
      </c>
      <c r="B250" s="39"/>
      <c r="C250" s="138" t="s">
        <v>599</v>
      </c>
      <c r="D250" s="121" t="s">
        <v>1006</v>
      </c>
      <c r="E250" s="80"/>
      <c r="F250" s="81">
        <f t="shared" si="5"/>
        <v>6.63</v>
      </c>
      <c r="G250" s="92">
        <v>1</v>
      </c>
      <c r="H250" s="135"/>
      <c r="J250" s="29"/>
      <c r="AQ250" s="115"/>
    </row>
    <row r="251" spans="1:43" s="114" customFormat="1" ht="13.8">
      <c r="A251" s="53" t="s">
        <v>341</v>
      </c>
      <c r="B251" s="39"/>
      <c r="C251" s="136" t="s">
        <v>453</v>
      </c>
      <c r="D251" s="121" t="s">
        <v>270</v>
      </c>
      <c r="E251" s="80"/>
      <c r="F251" s="81">
        <f>0.255*22*2</f>
        <v>11.22</v>
      </c>
      <c r="G251" s="92">
        <v>2</v>
      </c>
      <c r="H251" s="135"/>
      <c r="J251" s="29"/>
      <c r="AQ251" s="115"/>
    </row>
    <row r="252" spans="1:43" s="114" customFormat="1" ht="13.8">
      <c r="A252" s="53" t="s">
        <v>342</v>
      </c>
      <c r="B252" s="39"/>
      <c r="C252" s="136" t="s">
        <v>452</v>
      </c>
      <c r="D252" s="89" t="s">
        <v>1007</v>
      </c>
      <c r="E252" s="80"/>
      <c r="F252" s="81">
        <f>0.255*30*2</f>
        <v>15.3</v>
      </c>
      <c r="G252" s="92">
        <v>2</v>
      </c>
      <c r="H252" s="135"/>
      <c r="J252" s="29"/>
      <c r="AQ252" s="115"/>
    </row>
    <row r="253" spans="1:43" s="114" customFormat="1" ht="13.8">
      <c r="A253" s="53" t="s">
        <v>343</v>
      </c>
      <c r="B253" s="39"/>
      <c r="C253" s="136" t="s">
        <v>451</v>
      </c>
      <c r="D253" s="89" t="s">
        <v>1008</v>
      </c>
      <c r="E253" s="80"/>
      <c r="F253" s="81">
        <f>0.255*30*3</f>
        <v>22.950000000000003</v>
      </c>
      <c r="G253" s="92">
        <v>3</v>
      </c>
      <c r="H253" s="135"/>
      <c r="J253" s="29"/>
      <c r="AQ253" s="115"/>
    </row>
    <row r="254" spans="1:43" s="114" customFormat="1" ht="13.8">
      <c r="A254" s="53" t="s">
        <v>344</v>
      </c>
      <c r="B254" s="39"/>
      <c r="C254" s="136"/>
      <c r="D254" s="121"/>
      <c r="E254" s="80"/>
      <c r="F254" s="81"/>
      <c r="G254" s="92"/>
      <c r="H254" s="135"/>
      <c r="J254" s="29"/>
      <c r="AQ254" s="115"/>
    </row>
    <row r="255" spans="1:43" s="114" customFormat="1" ht="13.8">
      <c r="A255" s="53" t="s">
        <v>345</v>
      </c>
      <c r="B255" s="39"/>
      <c r="C255" s="136"/>
      <c r="D255" s="131" t="s">
        <v>1382</v>
      </c>
      <c r="E255" s="80"/>
      <c r="F255" s="81"/>
      <c r="G255" s="92"/>
      <c r="H255" s="135"/>
      <c r="J255" s="29"/>
      <c r="AQ255" s="115"/>
    </row>
    <row r="256" spans="1:43" s="114" customFormat="1" ht="13.8">
      <c r="A256" s="53" t="s">
        <v>346</v>
      </c>
      <c r="B256" s="39"/>
      <c r="C256" s="136"/>
      <c r="D256" s="100" t="s">
        <v>1383</v>
      </c>
      <c r="E256" s="42" t="s">
        <v>41</v>
      </c>
      <c r="F256" s="44">
        <f>SUM(F258:F353)</f>
        <v>430.7899999999999</v>
      </c>
      <c r="G256" s="92"/>
      <c r="H256" s="135"/>
      <c r="J256" s="29"/>
      <c r="AQ256" s="115"/>
    </row>
    <row r="257" spans="1:43" s="114" customFormat="1" ht="13.8">
      <c r="A257" s="53" t="s">
        <v>347</v>
      </c>
      <c r="B257" s="39"/>
      <c r="C257" s="132" t="s">
        <v>962</v>
      </c>
      <c r="D257" s="134" t="s">
        <v>1384</v>
      </c>
      <c r="E257" s="80"/>
      <c r="F257" s="81"/>
      <c r="G257" s="92"/>
      <c r="H257" s="135"/>
      <c r="J257" s="29"/>
      <c r="AQ257" s="115"/>
    </row>
    <row r="258" spans="1:43" s="114" customFormat="1" ht="13.8">
      <c r="A258" s="53" t="s">
        <v>349</v>
      </c>
      <c r="B258" s="39"/>
      <c r="C258" s="136" t="s">
        <v>298</v>
      </c>
      <c r="D258" s="89" t="s">
        <v>1009</v>
      </c>
      <c r="E258" s="80"/>
      <c r="F258" s="81">
        <f>0.44*7*1</f>
        <v>3.08</v>
      </c>
      <c r="G258" s="92">
        <v>1</v>
      </c>
      <c r="H258" s="135"/>
      <c r="J258" s="29"/>
      <c r="AQ258" s="115"/>
    </row>
    <row r="259" spans="1:43" s="114" customFormat="1" ht="13.8">
      <c r="A259" s="53" t="s">
        <v>350</v>
      </c>
      <c r="B259" s="39"/>
      <c r="C259" s="136"/>
      <c r="D259" s="121"/>
      <c r="E259" s="80"/>
      <c r="F259" s="81"/>
      <c r="G259" s="92"/>
      <c r="H259" s="135"/>
      <c r="J259" s="29"/>
      <c r="AQ259" s="115"/>
    </row>
    <row r="260" spans="1:43" s="114" customFormat="1" ht="13.8">
      <c r="A260" s="53" t="s">
        <v>351</v>
      </c>
      <c r="B260" s="39"/>
      <c r="C260" s="132" t="s">
        <v>962</v>
      </c>
      <c r="D260" s="134" t="s">
        <v>1385</v>
      </c>
      <c r="E260" s="80"/>
      <c r="F260" s="81"/>
      <c r="G260" s="92"/>
      <c r="H260" s="135"/>
      <c r="J260" s="29"/>
      <c r="AQ260" s="115"/>
    </row>
    <row r="261" spans="1:43" s="114" customFormat="1" ht="13.8">
      <c r="A261" s="53" t="s">
        <v>352</v>
      </c>
      <c r="B261" s="39"/>
      <c r="C261" s="138" t="s">
        <v>1010</v>
      </c>
      <c r="D261" s="89" t="s">
        <v>273</v>
      </c>
      <c r="E261" s="80"/>
      <c r="F261" s="81">
        <f>0.255*18*2</f>
        <v>9.18</v>
      </c>
      <c r="G261" s="92">
        <v>2</v>
      </c>
      <c r="H261" s="135"/>
      <c r="J261" s="29"/>
      <c r="AQ261" s="115"/>
    </row>
    <row r="262" spans="1:43" s="114" customFormat="1" ht="13.8">
      <c r="A262" s="53" t="s">
        <v>354</v>
      </c>
      <c r="B262" s="39"/>
      <c r="C262" s="138" t="s">
        <v>247</v>
      </c>
      <c r="D262" s="89" t="s">
        <v>1011</v>
      </c>
      <c r="E262" s="80"/>
      <c r="F262" s="81">
        <f>0.255*28*1</f>
        <v>7.140000000000001</v>
      </c>
      <c r="G262" s="92">
        <v>1</v>
      </c>
      <c r="H262" s="135"/>
      <c r="J262" s="29"/>
      <c r="AQ262" s="115"/>
    </row>
    <row r="263" spans="1:43" s="114" customFormat="1" ht="13.8">
      <c r="A263" s="53" t="s">
        <v>356</v>
      </c>
      <c r="B263" s="39"/>
      <c r="C263" s="138" t="s">
        <v>378</v>
      </c>
      <c r="D263" s="89" t="s">
        <v>1011</v>
      </c>
      <c r="E263" s="80"/>
      <c r="F263" s="81">
        <f>0.255*28*1</f>
        <v>7.140000000000001</v>
      </c>
      <c r="G263" s="92">
        <v>1</v>
      </c>
      <c r="H263" s="135"/>
      <c r="J263" s="29"/>
      <c r="AQ263" s="115"/>
    </row>
    <row r="264" spans="1:43" s="114" customFormat="1" ht="13.8">
      <c r="A264" s="53" t="s">
        <v>357</v>
      </c>
      <c r="B264" s="39"/>
      <c r="C264" s="138" t="s">
        <v>381</v>
      </c>
      <c r="D264" s="89" t="s">
        <v>1012</v>
      </c>
      <c r="E264" s="80"/>
      <c r="F264" s="81">
        <f>0.255*19*1</f>
        <v>4.845</v>
      </c>
      <c r="G264" s="92">
        <v>1</v>
      </c>
      <c r="H264" s="135"/>
      <c r="J264" s="29"/>
      <c r="AQ264" s="115"/>
    </row>
    <row r="265" spans="1:43" s="114" customFormat="1" ht="13.8">
      <c r="A265" s="53" t="s">
        <v>359</v>
      </c>
      <c r="B265" s="39"/>
      <c r="C265" s="138" t="s">
        <v>384</v>
      </c>
      <c r="D265" s="89" t="s">
        <v>1012</v>
      </c>
      <c r="E265" s="80"/>
      <c r="F265" s="81">
        <f>0.255*19*1</f>
        <v>4.845</v>
      </c>
      <c r="G265" s="92">
        <v>1</v>
      </c>
      <c r="H265" s="135"/>
      <c r="J265" s="29"/>
      <c r="AQ265" s="115"/>
    </row>
    <row r="266" spans="1:43" s="114" customFormat="1" ht="13.8">
      <c r="A266" s="53" t="s">
        <v>360</v>
      </c>
      <c r="B266" s="39"/>
      <c r="C266" s="138" t="s">
        <v>386</v>
      </c>
      <c r="D266" s="89" t="s">
        <v>1012</v>
      </c>
      <c r="E266" s="80"/>
      <c r="F266" s="81">
        <f>0.255*19*1</f>
        <v>4.845</v>
      </c>
      <c r="G266" s="92">
        <v>1</v>
      </c>
      <c r="H266" s="135"/>
      <c r="J266" s="29"/>
      <c r="AQ266" s="115"/>
    </row>
    <row r="267" spans="1:43" s="114" customFormat="1" ht="13.8">
      <c r="A267" s="53" t="s">
        <v>361</v>
      </c>
      <c r="B267" s="39"/>
      <c r="C267" s="138" t="s">
        <v>388</v>
      </c>
      <c r="D267" s="89" t="s">
        <v>1013</v>
      </c>
      <c r="E267" s="80"/>
      <c r="F267" s="81">
        <f>0.255*19*1</f>
        <v>4.845</v>
      </c>
      <c r="G267" s="92">
        <v>1</v>
      </c>
      <c r="H267" s="135"/>
      <c r="J267" s="29"/>
      <c r="AQ267" s="115"/>
    </row>
    <row r="268" spans="1:43" s="114" customFormat="1" ht="13.8">
      <c r="A268" s="53" t="s">
        <v>362</v>
      </c>
      <c r="B268" s="39"/>
      <c r="C268" s="138" t="s">
        <v>390</v>
      </c>
      <c r="D268" s="89" t="s">
        <v>1014</v>
      </c>
      <c r="E268" s="80"/>
      <c r="F268" s="81">
        <f>0.255*22*1</f>
        <v>5.61</v>
      </c>
      <c r="G268" s="92">
        <v>1</v>
      </c>
      <c r="H268" s="135"/>
      <c r="J268" s="29"/>
      <c r="AQ268" s="115"/>
    </row>
    <row r="269" spans="1:43" s="114" customFormat="1" ht="13.8">
      <c r="A269" s="53" t="s">
        <v>363</v>
      </c>
      <c r="B269" s="39"/>
      <c r="C269" s="138"/>
      <c r="D269" s="121"/>
      <c r="E269" s="80"/>
      <c r="F269" s="81"/>
      <c r="G269" s="92"/>
      <c r="H269" s="135"/>
      <c r="J269" s="29"/>
      <c r="AQ269" s="115"/>
    </row>
    <row r="270" spans="1:43" s="114" customFormat="1" ht="13.8">
      <c r="A270" s="53" t="s">
        <v>364</v>
      </c>
      <c r="B270" s="39"/>
      <c r="C270" s="132" t="s">
        <v>962</v>
      </c>
      <c r="D270" s="134" t="s">
        <v>1386</v>
      </c>
      <c r="E270" s="80"/>
      <c r="F270" s="81"/>
      <c r="G270" s="92"/>
      <c r="H270" s="135"/>
      <c r="J270" s="29"/>
      <c r="AQ270" s="115"/>
    </row>
    <row r="271" spans="1:43" s="114" customFormat="1" ht="13.8">
      <c r="A271" s="53" t="s">
        <v>365</v>
      </c>
      <c r="B271" s="39"/>
      <c r="C271" s="138" t="s">
        <v>191</v>
      </c>
      <c r="D271" s="89" t="s">
        <v>1006</v>
      </c>
      <c r="E271" s="80"/>
      <c r="F271" s="81">
        <f>0.255*26*1</f>
        <v>6.63</v>
      </c>
      <c r="G271" s="92">
        <v>1</v>
      </c>
      <c r="H271" s="135"/>
      <c r="J271" s="29"/>
      <c r="AQ271" s="115"/>
    </row>
    <row r="272" spans="1:43" s="114" customFormat="1" ht="13.8">
      <c r="A272" s="53" t="s">
        <v>366</v>
      </c>
      <c r="B272" s="39"/>
      <c r="C272" s="138" t="s">
        <v>191</v>
      </c>
      <c r="D272" s="89" t="s">
        <v>1104</v>
      </c>
      <c r="E272" s="80"/>
      <c r="F272" s="81">
        <f>0.205*12*1</f>
        <v>2.46</v>
      </c>
      <c r="G272" s="92">
        <v>1</v>
      </c>
      <c r="H272" s="135"/>
      <c r="J272" s="29"/>
      <c r="AQ272" s="115"/>
    </row>
    <row r="273" spans="1:43" s="114" customFormat="1" ht="13.8">
      <c r="A273" s="53" t="s">
        <v>367</v>
      </c>
      <c r="B273" s="39"/>
      <c r="C273" s="138" t="s">
        <v>459</v>
      </c>
      <c r="D273" s="89" t="s">
        <v>989</v>
      </c>
      <c r="E273" s="80"/>
      <c r="F273" s="81">
        <f>0.255*20*1</f>
        <v>5.1</v>
      </c>
      <c r="G273" s="92">
        <v>1</v>
      </c>
      <c r="H273" s="135"/>
      <c r="J273" s="29"/>
      <c r="AQ273" s="115"/>
    </row>
    <row r="274" spans="1:43" s="114" customFormat="1" ht="13.8">
      <c r="A274" s="53" t="s">
        <v>368</v>
      </c>
      <c r="B274" s="39"/>
      <c r="C274" s="138" t="s">
        <v>1015</v>
      </c>
      <c r="D274" s="89" t="s">
        <v>1001</v>
      </c>
      <c r="E274" s="80"/>
      <c r="F274" s="81">
        <f>0.255*24*1</f>
        <v>6.12</v>
      </c>
      <c r="G274" s="92">
        <v>1</v>
      </c>
      <c r="H274" s="135"/>
      <c r="J274" s="29"/>
      <c r="AQ274" s="115"/>
    </row>
    <row r="275" spans="1:43" s="114" customFormat="1" ht="13.8">
      <c r="A275" s="53" t="s">
        <v>369</v>
      </c>
      <c r="B275" s="39"/>
      <c r="C275" s="138" t="s">
        <v>462</v>
      </c>
      <c r="D275" s="89" t="s">
        <v>978</v>
      </c>
      <c r="E275" s="80"/>
      <c r="F275" s="81">
        <f>0.255*19*1</f>
        <v>4.845</v>
      </c>
      <c r="G275" s="92">
        <v>1</v>
      </c>
      <c r="H275" s="135"/>
      <c r="J275" s="29"/>
      <c r="AQ275" s="115"/>
    </row>
    <row r="276" spans="1:43" s="114" customFormat="1" ht="13.8">
      <c r="A276" s="53" t="s">
        <v>371</v>
      </c>
      <c r="B276" s="39"/>
      <c r="C276" s="138" t="s">
        <v>465</v>
      </c>
      <c r="D276" s="89" t="s">
        <v>262</v>
      </c>
      <c r="E276" s="80"/>
      <c r="F276" s="81">
        <f>0.255*16*1</f>
        <v>4.08</v>
      </c>
      <c r="G276" s="92">
        <v>1</v>
      </c>
      <c r="H276" s="135"/>
      <c r="J276" s="29"/>
      <c r="AQ276" s="115"/>
    </row>
    <row r="277" spans="1:43" s="114" customFormat="1" ht="13.8">
      <c r="A277" s="53" t="s">
        <v>373</v>
      </c>
      <c r="B277" s="39"/>
      <c r="C277" s="138" t="s">
        <v>467</v>
      </c>
      <c r="D277" s="89" t="s">
        <v>262</v>
      </c>
      <c r="E277" s="80"/>
      <c r="F277" s="81">
        <f>0.255*16*1</f>
        <v>4.08</v>
      </c>
      <c r="G277" s="92">
        <v>1</v>
      </c>
      <c r="H277" s="135"/>
      <c r="J277" s="29"/>
      <c r="AQ277" s="115"/>
    </row>
    <row r="278" spans="1:43" s="114" customFormat="1" ht="13.8">
      <c r="A278" s="53" t="s">
        <v>374</v>
      </c>
      <c r="B278" s="39"/>
      <c r="C278" s="138" t="s">
        <v>469</v>
      </c>
      <c r="D278" s="89" t="s">
        <v>262</v>
      </c>
      <c r="E278" s="80"/>
      <c r="F278" s="81">
        <f>0.255*16*1</f>
        <v>4.08</v>
      </c>
      <c r="G278" s="92">
        <v>1</v>
      </c>
      <c r="H278" s="135"/>
      <c r="J278" s="29"/>
      <c r="AQ278" s="115"/>
    </row>
    <row r="279" spans="1:43" s="114" customFormat="1" ht="13.8">
      <c r="A279" s="53" t="s">
        <v>375</v>
      </c>
      <c r="B279" s="39"/>
      <c r="C279" s="138" t="s">
        <v>471</v>
      </c>
      <c r="D279" s="89" t="s">
        <v>262</v>
      </c>
      <c r="E279" s="80"/>
      <c r="F279" s="81">
        <f>0.255*16*1</f>
        <v>4.08</v>
      </c>
      <c r="G279" s="92">
        <v>1</v>
      </c>
      <c r="H279" s="135"/>
      <c r="J279" s="29"/>
      <c r="AQ279" s="115"/>
    </row>
    <row r="280" spans="1:43" s="114" customFormat="1" ht="13.8">
      <c r="A280" s="53" t="s">
        <v>376</v>
      </c>
      <c r="B280" s="39"/>
      <c r="C280" s="138" t="s">
        <v>473</v>
      </c>
      <c r="D280" s="89" t="s">
        <v>978</v>
      </c>
      <c r="E280" s="80"/>
      <c r="F280" s="81">
        <f>0.255*19*1</f>
        <v>4.845</v>
      </c>
      <c r="G280" s="92">
        <v>1</v>
      </c>
      <c r="H280" s="135"/>
      <c r="J280" s="29"/>
      <c r="AQ280" s="115"/>
    </row>
    <row r="281" spans="1:43" s="114" customFormat="1" ht="13.8">
      <c r="A281" s="53" t="s">
        <v>377</v>
      </c>
      <c r="B281" s="39"/>
      <c r="C281" s="138"/>
      <c r="D281" s="89"/>
      <c r="E281" s="80"/>
      <c r="F281" s="81"/>
      <c r="G281" s="92"/>
      <c r="H281" s="135"/>
      <c r="J281" s="29"/>
      <c r="AQ281" s="115"/>
    </row>
    <row r="282" spans="1:43" s="114" customFormat="1" ht="13.8">
      <c r="A282" s="53" t="s">
        <v>379</v>
      </c>
      <c r="B282" s="39"/>
      <c r="C282" s="132" t="s">
        <v>962</v>
      </c>
      <c r="D282" s="134" t="s">
        <v>1387</v>
      </c>
      <c r="E282" s="80"/>
      <c r="F282" s="81"/>
      <c r="G282" s="92"/>
      <c r="H282" s="135"/>
      <c r="J282" s="29"/>
      <c r="AQ282" s="115"/>
    </row>
    <row r="283" spans="1:43" s="114" customFormat="1" ht="13.8">
      <c r="A283" s="53" t="s">
        <v>380</v>
      </c>
      <c r="B283" s="39"/>
      <c r="C283" s="138" t="s">
        <v>352</v>
      </c>
      <c r="D283" s="89" t="s">
        <v>1006</v>
      </c>
      <c r="E283" s="80"/>
      <c r="F283" s="81">
        <f>0.255*26*1</f>
        <v>6.63</v>
      </c>
      <c r="G283" s="92">
        <v>1</v>
      </c>
      <c r="H283" s="135"/>
      <c r="J283" s="29"/>
      <c r="AQ283" s="115"/>
    </row>
    <row r="284" spans="1:43" s="114" customFormat="1" ht="13.8">
      <c r="A284" s="53" t="s">
        <v>382</v>
      </c>
      <c r="B284" s="39"/>
      <c r="C284" s="138" t="s">
        <v>543</v>
      </c>
      <c r="D284" s="89" t="s">
        <v>262</v>
      </c>
      <c r="E284" s="80"/>
      <c r="F284" s="81">
        <f aca="true" t="shared" si="6" ref="F284:F289">0.255*16*1</f>
        <v>4.08</v>
      </c>
      <c r="G284" s="92">
        <v>1</v>
      </c>
      <c r="H284" s="135"/>
      <c r="J284" s="29"/>
      <c r="AQ284" s="115"/>
    </row>
    <row r="285" spans="1:43" s="114" customFormat="1" ht="13.8">
      <c r="A285" s="53" t="s">
        <v>383</v>
      </c>
      <c r="B285" s="39"/>
      <c r="C285" s="138" t="s">
        <v>545</v>
      </c>
      <c r="D285" s="89" t="s">
        <v>262</v>
      </c>
      <c r="E285" s="80"/>
      <c r="F285" s="81">
        <f t="shared" si="6"/>
        <v>4.08</v>
      </c>
      <c r="G285" s="92">
        <v>1</v>
      </c>
      <c r="H285" s="135"/>
      <c r="J285" s="29"/>
      <c r="AQ285" s="115"/>
    </row>
    <row r="286" spans="1:43" s="114" customFormat="1" ht="13.8">
      <c r="A286" s="53" t="s">
        <v>385</v>
      </c>
      <c r="B286" s="39"/>
      <c r="C286" s="138" t="s">
        <v>357</v>
      </c>
      <c r="D286" s="89" t="s">
        <v>989</v>
      </c>
      <c r="E286" s="80"/>
      <c r="F286" s="81">
        <f>0.255*20*1</f>
        <v>5.1</v>
      </c>
      <c r="G286" s="92">
        <v>1</v>
      </c>
      <c r="H286" s="135"/>
      <c r="J286" s="29"/>
      <c r="AQ286" s="115"/>
    </row>
    <row r="287" spans="1:43" s="114" customFormat="1" ht="13.8">
      <c r="A287" s="53" t="s">
        <v>387</v>
      </c>
      <c r="B287" s="39"/>
      <c r="C287" s="138" t="s">
        <v>548</v>
      </c>
      <c r="D287" s="89" t="s">
        <v>262</v>
      </c>
      <c r="E287" s="80"/>
      <c r="F287" s="81">
        <f t="shared" si="6"/>
        <v>4.08</v>
      </c>
      <c r="G287" s="92">
        <v>1</v>
      </c>
      <c r="H287" s="135"/>
      <c r="J287" s="29"/>
      <c r="AQ287" s="115"/>
    </row>
    <row r="288" spans="1:43" s="114" customFormat="1" ht="13.8">
      <c r="A288" s="53" t="s">
        <v>389</v>
      </c>
      <c r="B288" s="39"/>
      <c r="C288" s="138" t="s">
        <v>550</v>
      </c>
      <c r="D288" s="89" t="s">
        <v>965</v>
      </c>
      <c r="E288" s="80"/>
      <c r="F288" s="81">
        <f>0.255*16*2</f>
        <v>8.16</v>
      </c>
      <c r="G288" s="92">
        <v>2</v>
      </c>
      <c r="H288" s="135"/>
      <c r="J288" s="29"/>
      <c r="AQ288" s="115"/>
    </row>
    <row r="289" spans="1:43" s="114" customFormat="1" ht="13.8">
      <c r="A289" s="53" t="s">
        <v>391</v>
      </c>
      <c r="B289" s="39"/>
      <c r="C289" s="138" t="s">
        <v>552</v>
      </c>
      <c r="D289" s="89" t="s">
        <v>262</v>
      </c>
      <c r="E289" s="80"/>
      <c r="F289" s="81">
        <f t="shared" si="6"/>
        <v>4.08</v>
      </c>
      <c r="G289" s="92">
        <v>1</v>
      </c>
      <c r="H289" s="135"/>
      <c r="J289" s="29"/>
      <c r="AQ289" s="115"/>
    </row>
    <row r="290" spans="1:43" s="114" customFormat="1" ht="13.8">
      <c r="A290" s="53" t="s">
        <v>393</v>
      </c>
      <c r="B290" s="39"/>
      <c r="C290" s="138" t="s">
        <v>554</v>
      </c>
      <c r="D290" s="89" t="s">
        <v>973</v>
      </c>
      <c r="E290" s="80"/>
      <c r="F290" s="81">
        <f>0.255*18*1</f>
        <v>4.59</v>
      </c>
      <c r="G290" s="92">
        <v>1</v>
      </c>
      <c r="H290" s="135"/>
      <c r="J290" s="29"/>
      <c r="AQ290" s="115"/>
    </row>
    <row r="291" spans="1:43" s="114" customFormat="1" ht="13.8">
      <c r="A291" s="53" t="s">
        <v>394</v>
      </c>
      <c r="B291" s="39"/>
      <c r="C291" s="138"/>
      <c r="D291" s="89"/>
      <c r="E291" s="80"/>
      <c r="F291" s="81"/>
      <c r="G291" s="92"/>
      <c r="H291" s="135"/>
      <c r="J291" s="29"/>
      <c r="AQ291" s="115"/>
    </row>
    <row r="292" spans="1:43" s="114" customFormat="1" ht="13.8">
      <c r="A292" s="53" t="s">
        <v>396</v>
      </c>
      <c r="B292" s="39"/>
      <c r="C292" s="132" t="s">
        <v>962</v>
      </c>
      <c r="D292" s="134" t="s">
        <v>1388</v>
      </c>
      <c r="E292" s="80"/>
      <c r="F292" s="81"/>
      <c r="G292" s="92"/>
      <c r="H292" s="135"/>
      <c r="J292" s="29"/>
      <c r="AQ292" s="115"/>
    </row>
    <row r="293" spans="1:43" s="114" customFormat="1" ht="13.8">
      <c r="A293" s="53" t="s">
        <v>398</v>
      </c>
      <c r="B293" s="39"/>
      <c r="C293" s="136" t="s">
        <v>498</v>
      </c>
      <c r="D293" s="89" t="s">
        <v>259</v>
      </c>
      <c r="E293" s="80"/>
      <c r="F293" s="81">
        <f>0.255*15*1</f>
        <v>3.825</v>
      </c>
      <c r="G293" s="92">
        <v>1</v>
      </c>
      <c r="H293" s="135"/>
      <c r="J293" s="29"/>
      <c r="AQ293" s="115"/>
    </row>
    <row r="294" spans="1:43" s="114" customFormat="1" ht="13.8">
      <c r="A294" s="53" t="s">
        <v>400</v>
      </c>
      <c r="B294" s="39"/>
      <c r="C294" s="138" t="s">
        <v>498</v>
      </c>
      <c r="D294" s="89" t="s">
        <v>996</v>
      </c>
      <c r="E294" s="80"/>
      <c r="F294" s="81">
        <f>0.255*30*1</f>
        <v>7.65</v>
      </c>
      <c r="G294" s="92">
        <v>1</v>
      </c>
      <c r="H294" s="135"/>
      <c r="J294" s="29"/>
      <c r="AQ294" s="115"/>
    </row>
    <row r="295" spans="1:43" s="114" customFormat="1" ht="13.8">
      <c r="A295" s="53" t="s">
        <v>402</v>
      </c>
      <c r="B295" s="39"/>
      <c r="C295" s="138" t="s">
        <v>499</v>
      </c>
      <c r="D295" s="89" t="s">
        <v>1017</v>
      </c>
      <c r="E295" s="80"/>
      <c r="F295" s="81">
        <f>0.255*25*2</f>
        <v>12.75</v>
      </c>
      <c r="G295" s="92">
        <v>2</v>
      </c>
      <c r="H295" s="135"/>
      <c r="J295" s="29"/>
      <c r="AQ295" s="115"/>
    </row>
    <row r="296" spans="1:43" s="114" customFormat="1" ht="13.8">
      <c r="A296" s="53" t="s">
        <v>404</v>
      </c>
      <c r="B296" s="39"/>
      <c r="C296" s="138" t="s">
        <v>640</v>
      </c>
      <c r="D296" s="89" t="s">
        <v>1003</v>
      </c>
      <c r="E296" s="80"/>
      <c r="F296" s="81">
        <f>0.255*29*1</f>
        <v>7.3950000000000005</v>
      </c>
      <c r="G296" s="92">
        <v>1</v>
      </c>
      <c r="H296" s="135"/>
      <c r="J296" s="29"/>
      <c r="AQ296" s="115"/>
    </row>
    <row r="297" spans="1:43" s="114" customFormat="1" ht="13.8">
      <c r="A297" s="53" t="s">
        <v>405</v>
      </c>
      <c r="B297" s="39"/>
      <c r="C297" s="138" t="s">
        <v>642</v>
      </c>
      <c r="D297" s="89" t="s">
        <v>989</v>
      </c>
      <c r="E297" s="80"/>
      <c r="F297" s="81">
        <f>0.255*20*1</f>
        <v>5.1</v>
      </c>
      <c r="G297" s="92">
        <v>1</v>
      </c>
      <c r="H297" s="135"/>
      <c r="J297" s="29"/>
      <c r="AQ297" s="115"/>
    </row>
    <row r="298" spans="1:43" s="114" customFormat="1" ht="13.8">
      <c r="A298" s="53" t="s">
        <v>406</v>
      </c>
      <c r="B298" s="39"/>
      <c r="C298" s="138" t="s">
        <v>502</v>
      </c>
      <c r="D298" s="89" t="s">
        <v>1006</v>
      </c>
      <c r="E298" s="80"/>
      <c r="F298" s="81">
        <f>0.255*26*1</f>
        <v>6.63</v>
      </c>
      <c r="G298" s="92">
        <v>1</v>
      </c>
      <c r="H298" s="135"/>
      <c r="J298" s="29"/>
      <c r="AQ298" s="115"/>
    </row>
    <row r="299" spans="1:43" s="114" customFormat="1" ht="13.8">
      <c r="A299" s="53" t="s">
        <v>407</v>
      </c>
      <c r="B299" s="39"/>
      <c r="C299" s="138" t="s">
        <v>647</v>
      </c>
      <c r="D299" s="89" t="s">
        <v>1019</v>
      </c>
      <c r="E299" s="80"/>
      <c r="F299" s="81">
        <f>0.255*25*1</f>
        <v>6.375</v>
      </c>
      <c r="G299" s="92">
        <v>1</v>
      </c>
      <c r="H299" s="135"/>
      <c r="J299" s="29"/>
      <c r="AQ299" s="115"/>
    </row>
    <row r="300" spans="1:43" s="114" customFormat="1" ht="13.8">
      <c r="A300" s="53" t="s">
        <v>408</v>
      </c>
      <c r="B300" s="39"/>
      <c r="C300" s="138" t="s">
        <v>1018</v>
      </c>
      <c r="D300" s="89" t="s">
        <v>1019</v>
      </c>
      <c r="E300" s="80"/>
      <c r="F300" s="81">
        <f>0.255*25*1</f>
        <v>6.375</v>
      </c>
      <c r="G300" s="92">
        <v>1</v>
      </c>
      <c r="H300" s="135"/>
      <c r="J300" s="29"/>
      <c r="AQ300" s="115"/>
    </row>
    <row r="301" spans="1:43" s="114" customFormat="1" ht="13.8">
      <c r="A301" s="53" t="s">
        <v>409</v>
      </c>
      <c r="B301" s="39"/>
      <c r="C301" s="138" t="s">
        <v>650</v>
      </c>
      <c r="D301" s="89" t="s">
        <v>1019</v>
      </c>
      <c r="E301" s="80"/>
      <c r="F301" s="81">
        <f>0.255*25*1</f>
        <v>6.375</v>
      </c>
      <c r="G301" s="92">
        <v>1</v>
      </c>
      <c r="H301" s="135"/>
      <c r="J301" s="29"/>
      <c r="AQ301" s="115"/>
    </row>
    <row r="302" spans="1:43" s="114" customFormat="1" ht="13.8">
      <c r="A302" s="53" t="s">
        <v>411</v>
      </c>
      <c r="B302" s="39"/>
      <c r="C302" s="138"/>
      <c r="D302" s="89"/>
      <c r="E302" s="80"/>
      <c r="F302" s="81"/>
      <c r="G302" s="92"/>
      <c r="H302" s="135"/>
      <c r="J302" s="29"/>
      <c r="AQ302" s="115"/>
    </row>
    <row r="303" spans="1:43" s="114" customFormat="1" ht="13.8">
      <c r="A303" s="53" t="s">
        <v>412</v>
      </c>
      <c r="B303" s="39"/>
      <c r="C303" s="136"/>
      <c r="D303" s="131" t="s">
        <v>1389</v>
      </c>
      <c r="E303" s="80"/>
      <c r="F303" s="81"/>
      <c r="G303" s="92"/>
      <c r="H303" s="135"/>
      <c r="J303" s="29"/>
      <c r="AQ303" s="115"/>
    </row>
    <row r="304" spans="1:43" s="114" customFormat="1" ht="13.8">
      <c r="A304" s="53" t="s">
        <v>413</v>
      </c>
      <c r="B304" s="39"/>
      <c r="C304" s="136"/>
      <c r="D304" s="100" t="s">
        <v>1390</v>
      </c>
      <c r="E304" s="80"/>
      <c r="F304" s="92"/>
      <c r="G304" s="92"/>
      <c r="H304" s="135"/>
      <c r="J304" s="29"/>
      <c r="AQ304" s="115"/>
    </row>
    <row r="305" spans="1:43" s="114" customFormat="1" ht="13.8">
      <c r="A305" s="53" t="s">
        <v>414</v>
      </c>
      <c r="B305" s="39"/>
      <c r="C305" s="132" t="s">
        <v>962</v>
      </c>
      <c r="D305" s="134" t="s">
        <v>1391</v>
      </c>
      <c r="E305" s="80"/>
      <c r="F305" s="81"/>
      <c r="G305" s="92"/>
      <c r="H305" s="135"/>
      <c r="J305" s="29"/>
      <c r="AQ305" s="115"/>
    </row>
    <row r="306" spans="1:43" s="114" customFormat="1" ht="13.8">
      <c r="A306" s="53" t="s">
        <v>415</v>
      </c>
      <c r="B306" s="39"/>
      <c r="C306" s="136"/>
      <c r="D306" s="89"/>
      <c r="E306" s="80"/>
      <c r="F306" s="81"/>
      <c r="G306" s="92"/>
      <c r="H306" s="135"/>
      <c r="J306" s="29"/>
      <c r="AQ306" s="115"/>
    </row>
    <row r="307" spans="1:43" s="114" customFormat="1" ht="13.8">
      <c r="A307" s="53" t="s">
        <v>416</v>
      </c>
      <c r="B307" s="39"/>
      <c r="C307" s="132" t="s">
        <v>962</v>
      </c>
      <c r="D307" s="134" t="s">
        <v>1392</v>
      </c>
      <c r="E307" s="80"/>
      <c r="F307" s="81"/>
      <c r="G307" s="92"/>
      <c r="H307" s="135"/>
      <c r="J307" s="29"/>
      <c r="AQ307" s="115"/>
    </row>
    <row r="308" spans="1:43" s="114" customFormat="1" ht="13.8">
      <c r="A308" s="53" t="s">
        <v>417</v>
      </c>
      <c r="B308" s="39"/>
      <c r="C308" s="138" t="s">
        <v>392</v>
      </c>
      <c r="D308" s="89" t="s">
        <v>974</v>
      </c>
      <c r="E308" s="80"/>
      <c r="F308" s="81">
        <f>0.255*17*1</f>
        <v>4.335</v>
      </c>
      <c r="G308" s="92">
        <v>1</v>
      </c>
      <c r="H308" s="135"/>
      <c r="J308" s="29"/>
      <c r="AQ308" s="115"/>
    </row>
    <row r="309" spans="1:43" s="114" customFormat="1" ht="13.8">
      <c r="A309" s="53" t="s">
        <v>418</v>
      </c>
      <c r="B309" s="39"/>
      <c r="C309" s="138" t="s">
        <v>1020</v>
      </c>
      <c r="D309" s="89" t="s">
        <v>250</v>
      </c>
      <c r="E309" s="80"/>
      <c r="F309" s="81">
        <f>0.255*14*1</f>
        <v>3.5700000000000003</v>
      </c>
      <c r="G309" s="92">
        <v>1</v>
      </c>
      <c r="H309" s="135"/>
      <c r="J309" s="29"/>
      <c r="AQ309" s="115"/>
    </row>
    <row r="310" spans="1:43" s="114" customFormat="1" ht="13.8">
      <c r="A310" s="53" t="s">
        <v>419</v>
      </c>
      <c r="B310" s="39"/>
      <c r="C310" s="138" t="s">
        <v>267</v>
      </c>
      <c r="D310" s="89" t="s">
        <v>250</v>
      </c>
      <c r="E310" s="80"/>
      <c r="F310" s="81">
        <f>0.255*14*1</f>
        <v>3.5700000000000003</v>
      </c>
      <c r="G310" s="92">
        <v>1</v>
      </c>
      <c r="H310" s="135"/>
      <c r="J310" s="29"/>
      <c r="AQ310" s="115"/>
    </row>
    <row r="311" spans="1:43" s="114" customFormat="1" ht="13.8">
      <c r="A311" s="53" t="s">
        <v>420</v>
      </c>
      <c r="B311" s="39"/>
      <c r="C311" s="138" t="s">
        <v>395</v>
      </c>
      <c r="D311" s="89" t="s">
        <v>250</v>
      </c>
      <c r="E311" s="80"/>
      <c r="F311" s="81">
        <f>0.255*14*1</f>
        <v>3.5700000000000003</v>
      </c>
      <c r="G311" s="92">
        <v>1</v>
      </c>
      <c r="H311" s="135"/>
      <c r="J311" s="29"/>
      <c r="AQ311" s="115"/>
    </row>
    <row r="312" spans="1:43" s="114" customFormat="1" ht="13.8">
      <c r="A312" s="53" t="s">
        <v>421</v>
      </c>
      <c r="B312" s="39"/>
      <c r="C312" s="138" t="s">
        <v>397</v>
      </c>
      <c r="D312" s="89" t="s">
        <v>1021</v>
      </c>
      <c r="E312" s="80"/>
      <c r="F312" s="81">
        <f>0.255*19*1</f>
        <v>4.845</v>
      </c>
      <c r="G312" s="92">
        <v>1</v>
      </c>
      <c r="H312" s="135"/>
      <c r="J312" s="29"/>
      <c r="AQ312" s="115"/>
    </row>
    <row r="313" spans="1:43" s="114" customFormat="1" ht="13.8">
      <c r="A313" s="53" t="s">
        <v>422</v>
      </c>
      <c r="B313" s="39"/>
      <c r="C313" s="138" t="s">
        <v>399</v>
      </c>
      <c r="D313" s="89" t="s">
        <v>250</v>
      </c>
      <c r="E313" s="80"/>
      <c r="F313" s="81">
        <f>0.255*14*1</f>
        <v>3.5700000000000003</v>
      </c>
      <c r="G313" s="92">
        <v>1</v>
      </c>
      <c r="H313" s="135"/>
      <c r="J313" s="29"/>
      <c r="AQ313" s="115"/>
    </row>
    <row r="314" spans="1:43" s="114" customFormat="1" ht="13.8">
      <c r="A314" s="53" t="s">
        <v>423</v>
      </c>
      <c r="B314" s="39"/>
      <c r="C314" s="138" t="s">
        <v>401</v>
      </c>
      <c r="D314" s="89" t="s">
        <v>250</v>
      </c>
      <c r="E314" s="80"/>
      <c r="F314" s="81">
        <f>0.255*14*1</f>
        <v>3.5700000000000003</v>
      </c>
      <c r="G314" s="92">
        <v>1</v>
      </c>
      <c r="H314" s="135"/>
      <c r="J314" s="29"/>
      <c r="AQ314" s="115"/>
    </row>
    <row r="315" spans="1:43" s="114" customFormat="1" ht="13.8">
      <c r="A315" s="53" t="s">
        <v>424</v>
      </c>
      <c r="B315" s="39"/>
      <c r="C315" s="138" t="s">
        <v>403</v>
      </c>
      <c r="D315" s="89" t="s">
        <v>1022</v>
      </c>
      <c r="E315" s="80"/>
      <c r="F315" s="81">
        <f>0.255*23*1</f>
        <v>5.865</v>
      </c>
      <c r="G315" s="92">
        <v>1</v>
      </c>
      <c r="H315" s="135"/>
      <c r="J315" s="29"/>
      <c r="AQ315" s="115"/>
    </row>
    <row r="316" spans="1:43" s="114" customFormat="1" ht="13.8">
      <c r="A316" s="53" t="s">
        <v>425</v>
      </c>
      <c r="B316" s="39"/>
      <c r="C316" s="138" t="s">
        <v>226</v>
      </c>
      <c r="D316" s="89" t="s">
        <v>1023</v>
      </c>
      <c r="E316" s="80"/>
      <c r="F316" s="81">
        <f>0.185*20*3</f>
        <v>11.100000000000001</v>
      </c>
      <c r="G316" s="92">
        <v>3</v>
      </c>
      <c r="H316" s="135"/>
      <c r="J316" s="29"/>
      <c r="AQ316" s="115"/>
    </row>
    <row r="317" spans="1:43" s="114" customFormat="1" ht="13.8">
      <c r="A317" s="53" t="s">
        <v>426</v>
      </c>
      <c r="B317" s="39"/>
      <c r="C317" s="138" t="s">
        <v>226</v>
      </c>
      <c r="D317" s="121" t="s">
        <v>1105</v>
      </c>
      <c r="E317" s="80"/>
      <c r="F317" s="81">
        <f>0.44*18*2</f>
        <v>15.84</v>
      </c>
      <c r="G317" s="92">
        <v>2</v>
      </c>
      <c r="H317" s="135"/>
      <c r="J317" s="29"/>
      <c r="AQ317" s="115"/>
    </row>
    <row r="318" spans="1:43" s="114" customFormat="1" ht="13.8">
      <c r="A318" s="53" t="s">
        <v>427</v>
      </c>
      <c r="B318" s="39"/>
      <c r="C318" s="138"/>
      <c r="D318" s="89"/>
      <c r="E318" s="80"/>
      <c r="F318" s="81"/>
      <c r="G318" s="92"/>
      <c r="H318" s="135"/>
      <c r="J318" s="29"/>
      <c r="AQ318" s="115"/>
    </row>
    <row r="319" spans="1:43" s="114" customFormat="1" ht="13.8">
      <c r="A319" s="53" t="s">
        <v>428</v>
      </c>
      <c r="B319" s="39"/>
      <c r="C319" s="132" t="s">
        <v>962</v>
      </c>
      <c r="D319" s="134" t="s">
        <v>1393</v>
      </c>
      <c r="E319" s="80"/>
      <c r="F319" s="81"/>
      <c r="G319" s="92"/>
      <c r="H319" s="135"/>
      <c r="J319" s="29"/>
      <c r="AQ319" s="115"/>
    </row>
    <row r="320" spans="1:43" s="114" customFormat="1" ht="13.8">
      <c r="A320" s="53" t="s">
        <v>429</v>
      </c>
      <c r="B320" s="39"/>
      <c r="C320" s="138" t="s">
        <v>475</v>
      </c>
      <c r="D320" s="89" t="s">
        <v>1021</v>
      </c>
      <c r="E320" s="80"/>
      <c r="F320" s="81">
        <f>0.255*19*1</f>
        <v>4.845</v>
      </c>
      <c r="G320" s="92">
        <v>1</v>
      </c>
      <c r="H320" s="135"/>
      <c r="J320" s="29"/>
      <c r="AQ320" s="115"/>
    </row>
    <row r="321" spans="1:43" s="114" customFormat="1" ht="13.8">
      <c r="A321" s="53" t="s">
        <v>430</v>
      </c>
      <c r="B321" s="39"/>
      <c r="C321" s="138" t="s">
        <v>477</v>
      </c>
      <c r="D321" s="89" t="s">
        <v>999</v>
      </c>
      <c r="E321" s="80"/>
      <c r="F321" s="81">
        <f>0.255*16*1</f>
        <v>4.08</v>
      </c>
      <c r="G321" s="92">
        <v>1</v>
      </c>
      <c r="H321" s="135"/>
      <c r="J321" s="29"/>
      <c r="AQ321" s="115"/>
    </row>
    <row r="322" spans="1:43" s="114" customFormat="1" ht="13.8">
      <c r="A322" s="53" t="s">
        <v>431</v>
      </c>
      <c r="B322" s="39"/>
      <c r="C322" s="138" t="s">
        <v>479</v>
      </c>
      <c r="D322" s="89" t="s">
        <v>999</v>
      </c>
      <c r="E322" s="80"/>
      <c r="F322" s="81">
        <f>0.255*16*1</f>
        <v>4.08</v>
      </c>
      <c r="G322" s="92">
        <v>1</v>
      </c>
      <c r="H322" s="135"/>
      <c r="J322" s="29"/>
      <c r="AQ322" s="115"/>
    </row>
    <row r="323" spans="1:43" s="114" customFormat="1" ht="13.8">
      <c r="A323" s="53" t="s">
        <v>432</v>
      </c>
      <c r="B323" s="39"/>
      <c r="C323" s="138" t="s">
        <v>481</v>
      </c>
      <c r="D323" s="89" t="s">
        <v>999</v>
      </c>
      <c r="E323" s="80"/>
      <c r="F323" s="81">
        <f>0.255*16*1</f>
        <v>4.08</v>
      </c>
      <c r="G323" s="92">
        <v>1</v>
      </c>
      <c r="H323" s="135"/>
      <c r="J323" s="29"/>
      <c r="AQ323" s="115"/>
    </row>
    <row r="324" spans="1:43" s="114" customFormat="1" ht="13.8">
      <c r="A324" s="53" t="s">
        <v>433</v>
      </c>
      <c r="B324" s="39"/>
      <c r="C324" s="138" t="s">
        <v>483</v>
      </c>
      <c r="D324" s="89" t="s">
        <v>999</v>
      </c>
      <c r="E324" s="80"/>
      <c r="F324" s="81">
        <f aca="true" t="shared" si="7" ref="F324:F326">0.255*16*1</f>
        <v>4.08</v>
      </c>
      <c r="G324" s="92">
        <v>1</v>
      </c>
      <c r="H324" s="135"/>
      <c r="J324" s="29"/>
      <c r="AQ324" s="115"/>
    </row>
    <row r="325" spans="1:43" s="114" customFormat="1" ht="13.8">
      <c r="A325" s="53" t="s">
        <v>435</v>
      </c>
      <c r="B325" s="39"/>
      <c r="C325" s="138" t="s">
        <v>485</v>
      </c>
      <c r="D325" s="89" t="s">
        <v>999</v>
      </c>
      <c r="E325" s="80"/>
      <c r="F325" s="81">
        <f t="shared" si="7"/>
        <v>4.08</v>
      </c>
      <c r="G325" s="92">
        <v>1</v>
      </c>
      <c r="H325" s="135"/>
      <c r="J325" s="29"/>
      <c r="AQ325" s="115"/>
    </row>
    <row r="326" spans="1:43" s="114" customFormat="1" ht="13.8">
      <c r="A326" s="53" t="s">
        <v>437</v>
      </c>
      <c r="B326" s="39"/>
      <c r="C326" s="138" t="s">
        <v>487</v>
      </c>
      <c r="D326" s="89" t="s">
        <v>999</v>
      </c>
      <c r="E326" s="80"/>
      <c r="F326" s="81">
        <f t="shared" si="7"/>
        <v>4.08</v>
      </c>
      <c r="G326" s="92">
        <v>1</v>
      </c>
      <c r="H326" s="135"/>
      <c r="J326" s="29"/>
      <c r="AQ326" s="115"/>
    </row>
    <row r="327" spans="1:43" s="114" customFormat="1" ht="13.8">
      <c r="A327" s="53" t="s">
        <v>438</v>
      </c>
      <c r="B327" s="39"/>
      <c r="C327" s="138" t="s">
        <v>489</v>
      </c>
      <c r="D327" s="89" t="s">
        <v>1024</v>
      </c>
      <c r="E327" s="80"/>
      <c r="F327" s="81">
        <f>0.255*21*1</f>
        <v>5.355</v>
      </c>
      <c r="G327" s="92">
        <v>1</v>
      </c>
      <c r="H327" s="135"/>
      <c r="J327" s="29"/>
      <c r="AQ327" s="115"/>
    </row>
    <row r="328" spans="1:43" s="114" customFormat="1" ht="13.8">
      <c r="A328" s="53" t="s">
        <v>439</v>
      </c>
      <c r="B328" s="39"/>
      <c r="C328" s="138" t="s">
        <v>491</v>
      </c>
      <c r="D328" s="89" t="s">
        <v>1002</v>
      </c>
      <c r="E328" s="80"/>
      <c r="F328" s="81">
        <f>0.255*20*1</f>
        <v>5.1</v>
      </c>
      <c r="G328" s="92">
        <v>1</v>
      </c>
      <c r="H328" s="135"/>
      <c r="J328" s="29"/>
      <c r="AQ328" s="115"/>
    </row>
    <row r="329" spans="1:43" s="114" customFormat="1" ht="13.8">
      <c r="A329" s="53" t="s">
        <v>440</v>
      </c>
      <c r="B329" s="39"/>
      <c r="C329" s="138" t="s">
        <v>219</v>
      </c>
      <c r="D329" s="89" t="s">
        <v>1002</v>
      </c>
      <c r="E329" s="80"/>
      <c r="F329" s="81">
        <f>0.255*20*1</f>
        <v>5.1</v>
      </c>
      <c r="G329" s="92">
        <v>1</v>
      </c>
      <c r="H329" s="135"/>
      <c r="J329" s="29"/>
      <c r="AQ329" s="115"/>
    </row>
    <row r="330" spans="1:43" s="114" customFormat="1" ht="13.8">
      <c r="A330" s="53" t="s">
        <v>441</v>
      </c>
      <c r="B330" s="39"/>
      <c r="C330" s="138" t="s">
        <v>221</v>
      </c>
      <c r="D330" s="89" t="s">
        <v>1002</v>
      </c>
      <c r="E330" s="80"/>
      <c r="F330" s="81">
        <f>0.255*20*1</f>
        <v>5.1</v>
      </c>
      <c r="G330" s="92">
        <v>1</v>
      </c>
      <c r="H330" s="135"/>
      <c r="J330" s="29"/>
      <c r="AQ330" s="115"/>
    </row>
    <row r="331" spans="1:43" s="114" customFormat="1" ht="13.8">
      <c r="A331" s="53" t="s">
        <v>442</v>
      </c>
      <c r="B331" s="39"/>
      <c r="C331" s="138"/>
      <c r="D331" s="89"/>
      <c r="E331" s="80"/>
      <c r="F331" s="81"/>
      <c r="G331" s="92"/>
      <c r="H331" s="135"/>
      <c r="J331" s="29"/>
      <c r="AQ331" s="115"/>
    </row>
    <row r="332" spans="1:43" s="114" customFormat="1" ht="13.8">
      <c r="A332" s="53" t="s">
        <v>443</v>
      </c>
      <c r="B332" s="39"/>
      <c r="C332" s="132" t="s">
        <v>962</v>
      </c>
      <c r="D332" s="134" t="s">
        <v>1394</v>
      </c>
      <c r="E332" s="80"/>
      <c r="F332" s="81"/>
      <c r="G332" s="92"/>
      <c r="H332" s="135"/>
      <c r="J332" s="29"/>
      <c r="AQ332" s="115"/>
    </row>
    <row r="333" spans="1:43" s="114" customFormat="1" ht="13.8">
      <c r="A333" s="53" t="s">
        <v>444</v>
      </c>
      <c r="B333" s="39"/>
      <c r="C333" s="138" t="s">
        <v>556</v>
      </c>
      <c r="D333" s="89" t="s">
        <v>999</v>
      </c>
      <c r="E333" s="80"/>
      <c r="F333" s="81">
        <f aca="true" t="shared" si="8" ref="F333:F339">0.255*16*1</f>
        <v>4.08</v>
      </c>
      <c r="G333" s="92">
        <v>1</v>
      </c>
      <c r="H333" s="135"/>
      <c r="J333" s="29"/>
      <c r="AQ333" s="115"/>
    </row>
    <row r="334" spans="1:43" s="114" customFormat="1" ht="13.8">
      <c r="A334" s="53" t="s">
        <v>446</v>
      </c>
      <c r="B334" s="39"/>
      <c r="C334" s="138" t="s">
        <v>558</v>
      </c>
      <c r="D334" s="89" t="s">
        <v>999</v>
      </c>
      <c r="E334" s="80"/>
      <c r="F334" s="81">
        <f t="shared" si="8"/>
        <v>4.08</v>
      </c>
      <c r="G334" s="92">
        <v>1</v>
      </c>
      <c r="H334" s="135"/>
      <c r="J334" s="29"/>
      <c r="AQ334" s="115"/>
    </row>
    <row r="335" spans="1:43" s="114" customFormat="1" ht="13.8">
      <c r="A335" s="53" t="s">
        <v>447</v>
      </c>
      <c r="B335" s="39"/>
      <c r="C335" s="138" t="s">
        <v>560</v>
      </c>
      <c r="D335" s="89" t="s">
        <v>999</v>
      </c>
      <c r="E335" s="80"/>
      <c r="F335" s="81">
        <f t="shared" si="8"/>
        <v>4.08</v>
      </c>
      <c r="G335" s="92">
        <v>1</v>
      </c>
      <c r="H335" s="135"/>
      <c r="J335" s="29"/>
      <c r="AQ335" s="115"/>
    </row>
    <row r="336" spans="1:43" s="114" customFormat="1" ht="13.8">
      <c r="A336" s="53" t="s">
        <v>448</v>
      </c>
      <c r="B336" s="39"/>
      <c r="C336" s="138" t="s">
        <v>562</v>
      </c>
      <c r="D336" s="89" t="s">
        <v>999</v>
      </c>
      <c r="E336" s="80"/>
      <c r="F336" s="81">
        <f t="shared" si="8"/>
        <v>4.08</v>
      </c>
      <c r="G336" s="92">
        <v>1</v>
      </c>
      <c r="H336" s="135"/>
      <c r="J336" s="29"/>
      <c r="AQ336" s="115"/>
    </row>
    <row r="337" spans="1:43" s="114" customFormat="1" ht="13.8">
      <c r="A337" s="53" t="s">
        <v>449</v>
      </c>
      <c r="B337" s="39"/>
      <c r="C337" s="138" t="s">
        <v>1025</v>
      </c>
      <c r="D337" s="89" t="s">
        <v>999</v>
      </c>
      <c r="E337" s="80"/>
      <c r="F337" s="81">
        <f t="shared" si="8"/>
        <v>4.08</v>
      </c>
      <c r="G337" s="92">
        <v>1</v>
      </c>
      <c r="H337" s="135"/>
      <c r="J337" s="29"/>
      <c r="AQ337" s="115"/>
    </row>
    <row r="338" spans="1:43" s="114" customFormat="1" ht="13.8">
      <c r="A338" s="53" t="s">
        <v>451</v>
      </c>
      <c r="B338" s="39"/>
      <c r="C338" s="138" t="s">
        <v>565</v>
      </c>
      <c r="D338" s="89" t="s">
        <v>999</v>
      </c>
      <c r="E338" s="80"/>
      <c r="F338" s="81">
        <f t="shared" si="8"/>
        <v>4.08</v>
      </c>
      <c r="G338" s="92">
        <v>1</v>
      </c>
      <c r="H338" s="135"/>
      <c r="J338" s="29"/>
      <c r="AQ338" s="115"/>
    </row>
    <row r="339" spans="1:43" s="114" customFormat="1" ht="13.8">
      <c r="A339" s="53" t="s">
        <v>452</v>
      </c>
      <c r="B339" s="39"/>
      <c r="C339" s="138" t="s">
        <v>567</v>
      </c>
      <c r="D339" s="89" t="s">
        <v>999</v>
      </c>
      <c r="E339" s="80"/>
      <c r="F339" s="81">
        <f t="shared" si="8"/>
        <v>4.08</v>
      </c>
      <c r="G339" s="92">
        <v>1</v>
      </c>
      <c r="H339" s="135"/>
      <c r="J339" s="29"/>
      <c r="AQ339" s="115"/>
    </row>
    <row r="340" spans="1:43" s="114" customFormat="1" ht="13.8">
      <c r="A340" s="53" t="s">
        <v>453</v>
      </c>
      <c r="B340" s="39"/>
      <c r="C340" s="138" t="s">
        <v>371</v>
      </c>
      <c r="D340" s="139" t="s">
        <v>1021</v>
      </c>
      <c r="E340" s="80"/>
      <c r="F340" s="81">
        <f>0.255*19*1</f>
        <v>4.845</v>
      </c>
      <c r="G340" s="92">
        <v>1</v>
      </c>
      <c r="H340" s="135"/>
      <c r="J340" s="29"/>
      <c r="AQ340" s="115"/>
    </row>
    <row r="341" spans="1:43" s="114" customFormat="1" ht="13.8">
      <c r="A341" s="53" t="s">
        <v>454</v>
      </c>
      <c r="B341" s="39"/>
      <c r="C341" s="138" t="s">
        <v>373</v>
      </c>
      <c r="D341" s="139" t="s">
        <v>987</v>
      </c>
      <c r="E341" s="80"/>
      <c r="F341" s="81">
        <f>0.255*18*1</f>
        <v>4.59</v>
      </c>
      <c r="G341" s="92">
        <v>1</v>
      </c>
      <c r="H341" s="135"/>
      <c r="J341" s="29"/>
      <c r="AQ341" s="115"/>
    </row>
    <row r="342" spans="1:43" s="114" customFormat="1" ht="13.8">
      <c r="A342" s="53" t="s">
        <v>455</v>
      </c>
      <c r="B342" s="39"/>
      <c r="C342" s="138" t="s">
        <v>374</v>
      </c>
      <c r="D342" s="89" t="s">
        <v>265</v>
      </c>
      <c r="E342" s="80"/>
      <c r="F342" s="81">
        <f>0.255*20*2</f>
        <v>10.2</v>
      </c>
      <c r="G342" s="92">
        <v>2</v>
      </c>
      <c r="H342" s="135"/>
      <c r="J342" s="29"/>
      <c r="AQ342" s="115"/>
    </row>
    <row r="343" spans="1:43" s="114" customFormat="1" ht="13.8">
      <c r="A343" s="53" t="s">
        <v>456</v>
      </c>
      <c r="B343" s="39"/>
      <c r="C343" s="138"/>
      <c r="D343" s="89"/>
      <c r="E343" s="80"/>
      <c r="F343" s="81"/>
      <c r="G343" s="92"/>
      <c r="H343" s="135"/>
      <c r="J343" s="29"/>
      <c r="AQ343" s="115"/>
    </row>
    <row r="344" spans="1:43" s="114" customFormat="1" ht="13.8">
      <c r="A344" s="53" t="s">
        <v>457</v>
      </c>
      <c r="B344" s="39"/>
      <c r="C344" s="132" t="s">
        <v>962</v>
      </c>
      <c r="D344" s="134" t="s">
        <v>1395</v>
      </c>
      <c r="E344" s="80"/>
      <c r="F344" s="81"/>
      <c r="G344" s="92"/>
      <c r="H344" s="135"/>
      <c r="J344" s="29"/>
      <c r="AQ344" s="115"/>
    </row>
    <row r="345" spans="1:43" s="114" customFormat="1" ht="13.8">
      <c r="A345" s="53" t="s">
        <v>458</v>
      </c>
      <c r="B345" s="39"/>
      <c r="C345" s="138" t="s">
        <v>506</v>
      </c>
      <c r="D345" s="89" t="s">
        <v>1026</v>
      </c>
      <c r="E345" s="80"/>
      <c r="F345" s="81">
        <f>0.255*25*1</f>
        <v>6.375</v>
      </c>
      <c r="G345" s="92">
        <v>1</v>
      </c>
      <c r="H345" s="135"/>
      <c r="J345" s="29"/>
      <c r="AQ345" s="115"/>
    </row>
    <row r="346" spans="1:43" s="114" customFormat="1" ht="13.8">
      <c r="A346" s="53" t="s">
        <v>460</v>
      </c>
      <c r="B346" s="39"/>
      <c r="C346" s="138" t="s">
        <v>507</v>
      </c>
      <c r="D346" s="89" t="s">
        <v>1026</v>
      </c>
      <c r="E346" s="80"/>
      <c r="F346" s="81">
        <f>0.255*25*1</f>
        <v>6.375</v>
      </c>
      <c r="G346" s="92">
        <v>1</v>
      </c>
      <c r="H346" s="135"/>
      <c r="J346" s="29"/>
      <c r="AQ346" s="115"/>
    </row>
    <row r="347" spans="1:43" s="114" customFormat="1" ht="13.8">
      <c r="A347" s="53" t="s">
        <v>461</v>
      </c>
      <c r="B347" s="39"/>
      <c r="C347" s="138" t="s">
        <v>508</v>
      </c>
      <c r="D347" s="89" t="s">
        <v>1026</v>
      </c>
      <c r="E347" s="80"/>
      <c r="F347" s="81">
        <f>0.255*25*1</f>
        <v>6.375</v>
      </c>
      <c r="G347" s="92">
        <v>1</v>
      </c>
      <c r="H347" s="135"/>
      <c r="J347" s="29"/>
      <c r="AQ347" s="115"/>
    </row>
    <row r="348" spans="1:43" s="114" customFormat="1" ht="13.8">
      <c r="A348" s="53" t="s">
        <v>463</v>
      </c>
      <c r="B348" s="39"/>
      <c r="C348" s="138" t="s">
        <v>508</v>
      </c>
      <c r="D348" s="89" t="s">
        <v>1027</v>
      </c>
      <c r="E348" s="80"/>
      <c r="F348" s="81">
        <f>0.255*23*1</f>
        <v>5.865</v>
      </c>
      <c r="G348" s="92">
        <v>1</v>
      </c>
      <c r="H348" s="135"/>
      <c r="J348" s="29"/>
      <c r="AQ348" s="115"/>
    </row>
    <row r="349" spans="1:43" s="114" customFormat="1" ht="13.8">
      <c r="A349" s="53" t="s">
        <v>464</v>
      </c>
      <c r="B349" s="39"/>
      <c r="C349" s="138" t="s">
        <v>509</v>
      </c>
      <c r="D349" s="89" t="s">
        <v>1029</v>
      </c>
      <c r="E349" s="80"/>
      <c r="F349" s="81">
        <f>0.255*23*2</f>
        <v>11.73</v>
      </c>
      <c r="G349" s="92">
        <v>2</v>
      </c>
      <c r="H349" s="135"/>
      <c r="J349" s="29"/>
      <c r="AQ349" s="115"/>
    </row>
    <row r="350" spans="1:43" s="114" customFormat="1" ht="13.8">
      <c r="A350" s="53" t="s">
        <v>466</v>
      </c>
      <c r="B350" s="39"/>
      <c r="C350" s="138" t="s">
        <v>510</v>
      </c>
      <c r="D350" s="89" t="s">
        <v>1028</v>
      </c>
      <c r="E350" s="80"/>
      <c r="F350" s="81">
        <f>0.255*26*2</f>
        <v>13.26</v>
      </c>
      <c r="G350" s="92">
        <v>2</v>
      </c>
      <c r="H350" s="135"/>
      <c r="J350" s="29"/>
      <c r="AQ350" s="115"/>
    </row>
    <row r="351" spans="1:43" s="114" customFormat="1" ht="13.8">
      <c r="A351" s="53" t="s">
        <v>468</v>
      </c>
      <c r="B351" s="39"/>
      <c r="C351" s="138" t="s">
        <v>511</v>
      </c>
      <c r="D351" s="89" t="s">
        <v>1029</v>
      </c>
      <c r="E351" s="80"/>
      <c r="F351" s="81">
        <f>0.255*23*2</f>
        <v>11.73</v>
      </c>
      <c r="G351" s="92">
        <v>2</v>
      </c>
      <c r="H351" s="135"/>
      <c r="J351" s="29"/>
      <c r="AQ351" s="115"/>
    </row>
    <row r="352" spans="1:43" s="114" customFormat="1" ht="13.8">
      <c r="A352" s="53" t="s">
        <v>470</v>
      </c>
      <c r="B352" s="39"/>
      <c r="C352" s="138" t="s">
        <v>512</v>
      </c>
      <c r="D352" s="89" t="s">
        <v>1106</v>
      </c>
      <c r="E352" s="80"/>
      <c r="F352" s="81">
        <f>0.255*28*1</f>
        <v>7.140000000000001</v>
      </c>
      <c r="G352" s="92">
        <v>1</v>
      </c>
      <c r="H352" s="135"/>
      <c r="J352" s="29"/>
      <c r="AQ352" s="115"/>
    </row>
    <row r="353" spans="1:43" s="114" customFormat="1" ht="13.8">
      <c r="A353" s="53" t="s">
        <v>472</v>
      </c>
      <c r="B353" s="39"/>
      <c r="C353" s="138" t="s">
        <v>512</v>
      </c>
      <c r="D353" s="89" t="s">
        <v>1107</v>
      </c>
      <c r="E353" s="80"/>
      <c r="F353" s="81">
        <f>0.255*11*1</f>
        <v>2.805</v>
      </c>
      <c r="G353" s="92">
        <v>1</v>
      </c>
      <c r="H353" s="135"/>
      <c r="J353" s="29"/>
      <c r="AQ353" s="115"/>
    </row>
    <row r="354" spans="1:43" s="114" customFormat="1" ht="13.8">
      <c r="A354" s="53" t="s">
        <v>474</v>
      </c>
      <c r="B354" s="39"/>
      <c r="C354" s="138"/>
      <c r="D354" s="89"/>
      <c r="E354" s="80"/>
      <c r="F354" s="81"/>
      <c r="G354" s="92"/>
      <c r="H354" s="135"/>
      <c r="J354" s="29"/>
      <c r="AQ354" s="115"/>
    </row>
    <row r="355" spans="1:43" s="114" customFormat="1" ht="13.8">
      <c r="A355" s="53" t="s">
        <v>476</v>
      </c>
      <c r="B355" s="39"/>
      <c r="C355" s="136"/>
      <c r="D355" s="131" t="s">
        <v>1030</v>
      </c>
      <c r="E355" s="80"/>
      <c r="F355" s="81"/>
      <c r="G355" s="92"/>
      <c r="H355" s="135"/>
      <c r="J355" s="29"/>
      <c r="AQ355" s="115"/>
    </row>
    <row r="356" spans="1:43" s="114" customFormat="1" ht="13.8">
      <c r="A356" s="53" t="s">
        <v>478</v>
      </c>
      <c r="B356" s="39"/>
      <c r="C356" s="136"/>
      <c r="D356" s="100" t="s">
        <v>1396</v>
      </c>
      <c r="E356" s="42" t="s">
        <v>41</v>
      </c>
      <c r="F356" s="44">
        <f>SUM(F358:F386)</f>
        <v>174.25</v>
      </c>
      <c r="G356" s="92"/>
      <c r="H356" s="135"/>
      <c r="J356" s="29"/>
      <c r="AQ356" s="115"/>
    </row>
    <row r="357" spans="1:43" s="114" customFormat="1" ht="13.8">
      <c r="A357" s="53" t="s">
        <v>480</v>
      </c>
      <c r="B357" s="39"/>
      <c r="C357" s="132" t="s">
        <v>962</v>
      </c>
      <c r="D357" s="134" t="s">
        <v>1397</v>
      </c>
      <c r="E357" s="80"/>
      <c r="F357" s="81"/>
      <c r="G357" s="92"/>
      <c r="H357" s="135"/>
      <c r="J357" s="29"/>
      <c r="AQ357" s="115"/>
    </row>
    <row r="358" spans="1:43" s="114" customFormat="1" ht="13.8">
      <c r="A358" s="53" t="s">
        <v>482</v>
      </c>
      <c r="B358" s="39"/>
      <c r="C358" s="138" t="s">
        <v>237</v>
      </c>
      <c r="D358" s="89" t="s">
        <v>1032</v>
      </c>
      <c r="E358" s="80"/>
      <c r="F358" s="81">
        <f>0.205*13*1</f>
        <v>2.665</v>
      </c>
      <c r="G358" s="92">
        <v>1</v>
      </c>
      <c r="H358" s="135"/>
      <c r="J358" s="29"/>
      <c r="AQ358" s="115"/>
    </row>
    <row r="359" spans="1:43" s="114" customFormat="1" ht="13.8">
      <c r="A359" s="53" t="s">
        <v>484</v>
      </c>
      <c r="B359" s="39"/>
      <c r="C359" s="138" t="s">
        <v>239</v>
      </c>
      <c r="D359" s="89" t="s">
        <v>1033</v>
      </c>
      <c r="E359" s="80"/>
      <c r="F359" s="81">
        <f>0.205*12*1</f>
        <v>2.46</v>
      </c>
      <c r="G359" s="92">
        <v>1</v>
      </c>
      <c r="H359" s="135"/>
      <c r="J359" s="29"/>
      <c r="AQ359" s="115"/>
    </row>
    <row r="360" spans="1:43" s="114" customFormat="1" ht="13.8">
      <c r="A360" s="53" t="s">
        <v>486</v>
      </c>
      <c r="B360" s="39"/>
      <c r="C360" s="138" t="s">
        <v>1031</v>
      </c>
      <c r="D360" s="89" t="s">
        <v>1034</v>
      </c>
      <c r="E360" s="80"/>
      <c r="F360" s="81">
        <f>0.205*8*1</f>
        <v>1.64</v>
      </c>
      <c r="G360" s="92">
        <v>1</v>
      </c>
      <c r="H360" s="135"/>
      <c r="J360" s="29"/>
      <c r="AQ360" s="115"/>
    </row>
    <row r="361" spans="1:43" s="114" customFormat="1" ht="13.8">
      <c r="A361" s="53" t="s">
        <v>488</v>
      </c>
      <c r="B361" s="39"/>
      <c r="C361" s="138" t="s">
        <v>165</v>
      </c>
      <c r="D361" s="89" t="s">
        <v>1035</v>
      </c>
      <c r="E361" s="80"/>
      <c r="F361" s="81">
        <f>0.205*5*1</f>
        <v>1.025</v>
      </c>
      <c r="G361" s="92">
        <v>1</v>
      </c>
      <c r="H361" s="135"/>
      <c r="J361" s="29"/>
      <c r="AQ361" s="115"/>
    </row>
    <row r="362" spans="1:43" s="114" customFormat="1" ht="13.8">
      <c r="A362" s="53" t="s">
        <v>490</v>
      </c>
      <c r="B362" s="39"/>
      <c r="C362" s="138" t="s">
        <v>171</v>
      </c>
      <c r="D362" s="89" t="s">
        <v>1035</v>
      </c>
      <c r="E362" s="80"/>
      <c r="F362" s="81">
        <f>0.205*5*1</f>
        <v>1.025</v>
      </c>
      <c r="G362" s="92">
        <v>1</v>
      </c>
      <c r="H362" s="135"/>
      <c r="J362" s="29"/>
      <c r="AQ362" s="115"/>
    </row>
    <row r="363" spans="1:43" s="114" customFormat="1" ht="13.8">
      <c r="A363" s="53" t="s">
        <v>492</v>
      </c>
      <c r="B363" s="39"/>
      <c r="C363" s="138" t="s">
        <v>235</v>
      </c>
      <c r="D363" s="89" t="s">
        <v>1034</v>
      </c>
      <c r="E363" s="80"/>
      <c r="F363" s="81">
        <f>0.205*8*1</f>
        <v>1.64</v>
      </c>
      <c r="G363" s="92">
        <v>1</v>
      </c>
      <c r="H363" s="135"/>
      <c r="J363" s="29"/>
      <c r="AQ363" s="115"/>
    </row>
    <row r="364" spans="1:43" s="114" customFormat="1" ht="13.8">
      <c r="A364" s="53" t="s">
        <v>493</v>
      </c>
      <c r="B364" s="39"/>
      <c r="C364" s="138"/>
      <c r="D364" s="89"/>
      <c r="E364" s="80"/>
      <c r="F364" s="81"/>
      <c r="G364" s="92"/>
      <c r="H364" s="135"/>
      <c r="J364" s="29"/>
      <c r="AQ364" s="115"/>
    </row>
    <row r="365" spans="1:43" s="114" customFormat="1" ht="13.8">
      <c r="A365" s="53" t="s">
        <v>494</v>
      </c>
      <c r="B365" s="39"/>
      <c r="C365" s="132" t="s">
        <v>962</v>
      </c>
      <c r="D365" s="134" t="s">
        <v>1398</v>
      </c>
      <c r="E365" s="80"/>
      <c r="F365" s="81"/>
      <c r="G365" s="92"/>
      <c r="H365" s="135"/>
      <c r="J365" s="29"/>
      <c r="AQ365" s="115"/>
    </row>
    <row r="366" spans="1:43" s="114" customFormat="1" ht="13.8">
      <c r="A366" s="53" t="s">
        <v>495</v>
      </c>
      <c r="B366" s="39"/>
      <c r="C366" s="138" t="s">
        <v>984</v>
      </c>
      <c r="D366" s="121" t="s">
        <v>1036</v>
      </c>
      <c r="E366" s="80"/>
      <c r="F366" s="81">
        <f>0.44*18*1</f>
        <v>7.92</v>
      </c>
      <c r="G366" s="92">
        <v>1</v>
      </c>
      <c r="H366" s="135"/>
      <c r="J366" s="29"/>
      <c r="AQ366" s="115"/>
    </row>
    <row r="367" spans="1:43" s="114" customFormat="1" ht="13.8">
      <c r="A367" s="53" t="s">
        <v>496</v>
      </c>
      <c r="B367" s="39"/>
      <c r="C367" s="138" t="s">
        <v>1037</v>
      </c>
      <c r="D367" s="121" t="s">
        <v>1038</v>
      </c>
      <c r="E367" s="80"/>
      <c r="F367" s="81">
        <f>0.44*19*1</f>
        <v>8.36</v>
      </c>
      <c r="G367" s="92">
        <v>1</v>
      </c>
      <c r="H367" s="135"/>
      <c r="J367" s="29"/>
      <c r="AQ367" s="115"/>
    </row>
    <row r="368" spans="1:43" s="114" customFormat="1" ht="13.8">
      <c r="A368" s="53" t="s">
        <v>497</v>
      </c>
      <c r="B368" s="39"/>
      <c r="C368" s="138" t="s">
        <v>275</v>
      </c>
      <c r="D368" s="89" t="s">
        <v>1002</v>
      </c>
      <c r="E368" s="80"/>
      <c r="F368" s="81">
        <f>0.255*20*1</f>
        <v>5.1</v>
      </c>
      <c r="G368" s="92">
        <v>1</v>
      </c>
      <c r="H368" s="135"/>
      <c r="J368" s="29"/>
      <c r="AQ368" s="115"/>
    </row>
    <row r="369" spans="1:43" s="114" customFormat="1" ht="13.8">
      <c r="A369" s="53" t="s">
        <v>498</v>
      </c>
      <c r="B369" s="39"/>
      <c r="C369" s="138" t="s">
        <v>275</v>
      </c>
      <c r="D369" s="89" t="s">
        <v>1039</v>
      </c>
      <c r="E369" s="80"/>
      <c r="F369" s="81"/>
      <c r="G369" s="92"/>
      <c r="H369" s="135"/>
      <c r="J369" s="29"/>
      <c r="AQ369" s="115"/>
    </row>
    <row r="370" spans="1:43" s="114" customFormat="1" ht="13.8">
      <c r="A370" s="53" t="s">
        <v>499</v>
      </c>
      <c r="B370" s="39"/>
      <c r="C370" s="138"/>
      <c r="D370" s="89"/>
      <c r="E370" s="80"/>
      <c r="F370" s="81"/>
      <c r="G370" s="92"/>
      <c r="H370" s="135"/>
      <c r="J370" s="29"/>
      <c r="AQ370" s="115"/>
    </row>
    <row r="371" spans="1:43" s="114" customFormat="1" ht="13.8">
      <c r="A371" s="53" t="s">
        <v>500</v>
      </c>
      <c r="B371" s="39"/>
      <c r="C371" s="132" t="s">
        <v>962</v>
      </c>
      <c r="D371" s="134" t="s">
        <v>1399</v>
      </c>
      <c r="E371" s="80"/>
      <c r="F371" s="81"/>
      <c r="G371" s="92"/>
      <c r="H371" s="135"/>
      <c r="J371" s="29"/>
      <c r="AQ371" s="115"/>
    </row>
    <row r="372" spans="1:43" s="114" customFormat="1" ht="13.8">
      <c r="A372" s="53" t="s">
        <v>501</v>
      </c>
      <c r="B372" s="39"/>
      <c r="C372" s="138" t="s">
        <v>232</v>
      </c>
      <c r="D372" s="89" t="s">
        <v>997</v>
      </c>
      <c r="E372" s="80"/>
      <c r="F372" s="81">
        <f>0.255*22*1</f>
        <v>5.61</v>
      </c>
      <c r="G372" s="92">
        <v>1</v>
      </c>
      <c r="H372" s="135"/>
      <c r="J372" s="29"/>
      <c r="AQ372" s="115"/>
    </row>
    <row r="373" spans="1:43" s="114" customFormat="1" ht="13.8">
      <c r="A373" s="53" t="s">
        <v>502</v>
      </c>
      <c r="B373" s="39"/>
      <c r="C373" s="138"/>
      <c r="D373" s="121" t="s">
        <v>1040</v>
      </c>
      <c r="E373" s="80"/>
      <c r="F373" s="81">
        <f>0.44*25*1</f>
        <v>11</v>
      </c>
      <c r="G373" s="92">
        <v>1</v>
      </c>
      <c r="H373" s="135"/>
      <c r="J373" s="29"/>
      <c r="AQ373" s="115"/>
    </row>
    <row r="374" spans="1:43" s="114" customFormat="1" ht="13.8">
      <c r="A374" s="53" t="s">
        <v>503</v>
      </c>
      <c r="B374" s="39"/>
      <c r="C374" s="138"/>
      <c r="D374" s="121" t="s">
        <v>1041</v>
      </c>
      <c r="E374" s="80"/>
      <c r="F374" s="81">
        <f>0.44*20*4</f>
        <v>35.2</v>
      </c>
      <c r="G374" s="92">
        <v>4</v>
      </c>
      <c r="H374" s="135"/>
      <c r="J374" s="29"/>
      <c r="AQ374" s="115"/>
    </row>
    <row r="375" spans="1:43" s="114" customFormat="1" ht="13.8">
      <c r="A375" s="53" t="s">
        <v>504</v>
      </c>
      <c r="B375" s="39"/>
      <c r="C375" s="138"/>
      <c r="D375" s="89"/>
      <c r="E375" s="80"/>
      <c r="F375" s="81"/>
      <c r="G375" s="92"/>
      <c r="H375" s="135"/>
      <c r="J375" s="29"/>
      <c r="AQ375" s="115"/>
    </row>
    <row r="376" spans="1:43" s="114" customFormat="1" ht="13.8">
      <c r="A376" s="53" t="s">
        <v>505</v>
      </c>
      <c r="B376" s="39"/>
      <c r="C376" s="132" t="s">
        <v>962</v>
      </c>
      <c r="D376" s="134" t="s">
        <v>1400</v>
      </c>
      <c r="E376" s="80"/>
      <c r="F376" s="81"/>
      <c r="G376" s="92"/>
      <c r="H376" s="135"/>
      <c r="J376" s="29"/>
      <c r="AQ376" s="115"/>
    </row>
    <row r="377" spans="1:43" s="114" customFormat="1" ht="13.8">
      <c r="A377" s="53" t="s">
        <v>506</v>
      </c>
      <c r="B377" s="39"/>
      <c r="C377" s="138" t="s">
        <v>1042</v>
      </c>
      <c r="D377" s="89" t="s">
        <v>1043</v>
      </c>
      <c r="E377" s="80"/>
      <c r="F377" s="81">
        <f>0.255*14*1</f>
        <v>3.5700000000000003</v>
      </c>
      <c r="G377" s="92">
        <v>1</v>
      </c>
      <c r="H377" s="135"/>
      <c r="J377" s="29"/>
      <c r="AQ377" s="115"/>
    </row>
    <row r="378" spans="1:43" s="114" customFormat="1" ht="13.8">
      <c r="A378" s="53" t="s">
        <v>507</v>
      </c>
      <c r="B378" s="39"/>
      <c r="C378" s="138" t="s">
        <v>1042</v>
      </c>
      <c r="D378" s="121" t="s">
        <v>243</v>
      </c>
      <c r="E378" s="80"/>
      <c r="F378" s="81">
        <f>0.44*10*1</f>
        <v>4.4</v>
      </c>
      <c r="G378" s="92">
        <v>1</v>
      </c>
      <c r="H378" s="135"/>
      <c r="J378" s="29"/>
      <c r="AQ378" s="115"/>
    </row>
    <row r="379" spans="1:43" s="114" customFormat="1" ht="13.8">
      <c r="A379" s="53" t="s">
        <v>508</v>
      </c>
      <c r="B379" s="39"/>
      <c r="C379" s="138"/>
      <c r="D379" s="89"/>
      <c r="E379" s="80"/>
      <c r="F379" s="81"/>
      <c r="G379" s="92"/>
      <c r="H379" s="135"/>
      <c r="J379" s="29"/>
      <c r="AQ379" s="115"/>
    </row>
    <row r="380" spans="1:43" s="114" customFormat="1" ht="13.8">
      <c r="A380" s="53" t="s">
        <v>509</v>
      </c>
      <c r="B380" s="39"/>
      <c r="C380" s="132" t="s">
        <v>962</v>
      </c>
      <c r="D380" s="134" t="s">
        <v>1401</v>
      </c>
      <c r="E380" s="80"/>
      <c r="F380" s="81"/>
      <c r="G380" s="92"/>
      <c r="H380" s="135"/>
      <c r="J380" s="29"/>
      <c r="AQ380" s="115"/>
    </row>
    <row r="381" spans="1:43" s="114" customFormat="1" ht="13.8">
      <c r="A381" s="53" t="s">
        <v>510</v>
      </c>
      <c r="B381" s="39"/>
      <c r="C381" s="138" t="s">
        <v>526</v>
      </c>
      <c r="D381" s="89" t="s">
        <v>1002</v>
      </c>
      <c r="E381" s="80"/>
      <c r="F381" s="81">
        <f>0.255*20*1</f>
        <v>5.1</v>
      </c>
      <c r="G381" s="92">
        <v>1</v>
      </c>
      <c r="H381" s="135"/>
      <c r="J381" s="29"/>
      <c r="AQ381" s="115"/>
    </row>
    <row r="382" spans="1:43" s="114" customFormat="1" ht="13.8">
      <c r="A382" s="53" t="s">
        <v>511</v>
      </c>
      <c r="B382" s="39"/>
      <c r="C382" s="138" t="s">
        <v>448</v>
      </c>
      <c r="D382" s="89" t="s">
        <v>990</v>
      </c>
      <c r="E382" s="80"/>
      <c r="F382" s="81">
        <f>0.255*17*1</f>
        <v>4.335</v>
      </c>
      <c r="G382" s="92">
        <v>1</v>
      </c>
      <c r="H382" s="135"/>
      <c r="J382" s="29"/>
      <c r="AQ382" s="115"/>
    </row>
    <row r="383" spans="1:43" s="114" customFormat="1" ht="13.8">
      <c r="A383" s="53" t="s">
        <v>512</v>
      </c>
      <c r="B383" s="39"/>
      <c r="C383" s="138" t="s">
        <v>449</v>
      </c>
      <c r="D383" s="89" t="s">
        <v>1002</v>
      </c>
      <c r="E383" s="80"/>
      <c r="F383" s="81">
        <f>0.255*20*1</f>
        <v>5.1</v>
      </c>
      <c r="G383" s="92">
        <v>1</v>
      </c>
      <c r="H383" s="135"/>
      <c r="J383" s="29"/>
      <c r="AQ383" s="115"/>
    </row>
    <row r="384" spans="1:43" s="114" customFormat="1" ht="13.8">
      <c r="A384" s="53" t="s">
        <v>513</v>
      </c>
      <c r="B384" s="39"/>
      <c r="C384" s="138" t="s">
        <v>447</v>
      </c>
      <c r="D384" s="121" t="s">
        <v>1045</v>
      </c>
      <c r="E384" s="80"/>
      <c r="F384" s="81">
        <f>0.44*20*3</f>
        <v>26.400000000000002</v>
      </c>
      <c r="G384" s="92">
        <v>3</v>
      </c>
      <c r="H384" s="135"/>
      <c r="J384" s="29"/>
      <c r="AQ384" s="115"/>
    </row>
    <row r="385" spans="1:43" s="114" customFormat="1" ht="13.8">
      <c r="A385" s="53" t="s">
        <v>514</v>
      </c>
      <c r="B385" s="39"/>
      <c r="C385" s="138" t="s">
        <v>449</v>
      </c>
      <c r="D385" s="89" t="s">
        <v>1046</v>
      </c>
      <c r="E385" s="80"/>
      <c r="F385" s="81">
        <f>0.255*20*3</f>
        <v>15.299999999999999</v>
      </c>
      <c r="G385" s="92">
        <v>3</v>
      </c>
      <c r="H385" s="135"/>
      <c r="J385" s="29"/>
      <c r="AQ385" s="115"/>
    </row>
    <row r="386" spans="1:43" s="114" customFormat="1" ht="13.8">
      <c r="A386" s="53" t="s">
        <v>515</v>
      </c>
      <c r="B386" s="39"/>
      <c r="C386" s="138" t="s">
        <v>449</v>
      </c>
      <c r="D386" s="89" t="s">
        <v>1322</v>
      </c>
      <c r="E386" s="80"/>
      <c r="F386" s="81">
        <f>0.44*20*G386</f>
        <v>26.400000000000002</v>
      </c>
      <c r="G386" s="92">
        <v>3</v>
      </c>
      <c r="H386" s="135"/>
      <c r="J386" s="29"/>
      <c r="AQ386" s="115"/>
    </row>
    <row r="387" spans="1:43" s="114" customFormat="1" ht="13.8">
      <c r="A387" s="53" t="s">
        <v>516</v>
      </c>
      <c r="B387" s="39"/>
      <c r="C387" s="138"/>
      <c r="D387" s="89"/>
      <c r="E387" s="80"/>
      <c r="F387" s="81"/>
      <c r="G387" s="92"/>
      <c r="H387" s="135"/>
      <c r="J387" s="29"/>
      <c r="AQ387" s="115"/>
    </row>
    <row r="388" spans="1:43" s="114" customFormat="1" ht="13.8">
      <c r="A388" s="53" t="s">
        <v>517</v>
      </c>
      <c r="B388" s="39"/>
      <c r="C388" s="136"/>
      <c r="D388" s="131" t="s">
        <v>1047</v>
      </c>
      <c r="E388" s="80"/>
      <c r="F388" s="81"/>
      <c r="G388" s="92"/>
      <c r="H388" s="135"/>
      <c r="J388" s="29"/>
      <c r="AQ388" s="115"/>
    </row>
    <row r="389" spans="1:43" s="114" customFormat="1" ht="13.8">
      <c r="A389" s="53" t="s">
        <v>518</v>
      </c>
      <c r="B389" s="39"/>
      <c r="C389" s="136"/>
      <c r="D389" s="100" t="s">
        <v>1402</v>
      </c>
      <c r="E389" s="42" t="s">
        <v>41</v>
      </c>
      <c r="F389" s="44">
        <f>SUM(F391:F416)</f>
        <v>124.43000000000002</v>
      </c>
      <c r="G389" s="92"/>
      <c r="H389" s="135"/>
      <c r="J389" s="29"/>
      <c r="AQ389" s="115"/>
    </row>
    <row r="390" spans="1:43" s="114" customFormat="1" ht="13.8">
      <c r="A390" s="53" t="s">
        <v>519</v>
      </c>
      <c r="B390" s="39"/>
      <c r="C390" s="132" t="s">
        <v>962</v>
      </c>
      <c r="D390" s="134" t="s">
        <v>1403</v>
      </c>
      <c r="E390" s="80"/>
      <c r="F390" s="81"/>
      <c r="G390" s="92"/>
      <c r="H390" s="135"/>
      <c r="J390" s="29"/>
      <c r="AQ390" s="115"/>
    </row>
    <row r="391" spans="1:43" s="114" customFormat="1" ht="13.8">
      <c r="A391" s="53" t="s">
        <v>520</v>
      </c>
      <c r="B391" s="39"/>
      <c r="C391" s="138" t="s">
        <v>154</v>
      </c>
      <c r="D391" s="89" t="s">
        <v>259</v>
      </c>
      <c r="E391" s="80"/>
      <c r="F391" s="81">
        <f>0.255*15*1</f>
        <v>3.825</v>
      </c>
      <c r="G391" s="92">
        <v>1</v>
      </c>
      <c r="H391" s="135"/>
      <c r="J391" s="29"/>
      <c r="AQ391" s="115"/>
    </row>
    <row r="392" spans="1:43" s="114" customFormat="1" ht="13.8">
      <c r="A392" s="53" t="s">
        <v>521</v>
      </c>
      <c r="B392" s="39"/>
      <c r="C392" s="138" t="s">
        <v>154</v>
      </c>
      <c r="D392" s="121" t="s">
        <v>1036</v>
      </c>
      <c r="E392" s="80"/>
      <c r="F392" s="81">
        <f>0.44*18*1</f>
        <v>7.92</v>
      </c>
      <c r="G392" s="92">
        <v>1</v>
      </c>
      <c r="H392" s="135"/>
      <c r="J392" s="29"/>
      <c r="AQ392" s="115"/>
    </row>
    <row r="393" spans="1:43" s="114" customFormat="1" ht="13.8">
      <c r="A393" s="53" t="s">
        <v>522</v>
      </c>
      <c r="B393" s="39"/>
      <c r="C393" s="138" t="s">
        <v>163</v>
      </c>
      <c r="D393" s="89" t="s">
        <v>1035</v>
      </c>
      <c r="E393" s="80"/>
      <c r="F393" s="81">
        <f>0.205*5*1</f>
        <v>1.025</v>
      </c>
      <c r="G393" s="92">
        <v>1</v>
      </c>
      <c r="H393" s="135"/>
      <c r="J393" s="29"/>
      <c r="AQ393" s="115"/>
    </row>
    <row r="394" spans="1:43" s="114" customFormat="1" ht="13.8">
      <c r="A394" s="53" t="s">
        <v>523</v>
      </c>
      <c r="B394" s="39"/>
      <c r="C394" s="138" t="s">
        <v>162</v>
      </c>
      <c r="D394" s="89" t="s">
        <v>1035</v>
      </c>
      <c r="E394" s="80"/>
      <c r="F394" s="81">
        <f>0.205*5*1</f>
        <v>1.025</v>
      </c>
      <c r="G394" s="92">
        <v>1</v>
      </c>
      <c r="H394" s="135"/>
      <c r="J394" s="29"/>
      <c r="AQ394" s="115"/>
    </row>
    <row r="395" spans="1:43" s="114" customFormat="1" ht="13.8">
      <c r="A395" s="53" t="s">
        <v>524</v>
      </c>
      <c r="B395" s="39"/>
      <c r="C395" s="138" t="s">
        <v>318</v>
      </c>
      <c r="D395" s="89" t="s">
        <v>1051</v>
      </c>
      <c r="E395" s="80"/>
      <c r="F395" s="81">
        <f>0.255*10*1</f>
        <v>2.55</v>
      </c>
      <c r="G395" s="92">
        <v>1</v>
      </c>
      <c r="H395" s="135"/>
      <c r="J395" s="29"/>
      <c r="AQ395" s="115"/>
    </row>
    <row r="396" spans="1:43" s="114" customFormat="1" ht="13.8">
      <c r="A396" s="53" t="s">
        <v>525</v>
      </c>
      <c r="B396" s="39"/>
      <c r="C396" s="138" t="s">
        <v>230</v>
      </c>
      <c r="D396" s="89" t="s">
        <v>1039</v>
      </c>
      <c r="E396" s="80"/>
      <c r="F396" s="81"/>
      <c r="G396" s="92"/>
      <c r="H396" s="135"/>
      <c r="J396" s="29"/>
      <c r="AQ396" s="115"/>
    </row>
    <row r="397" spans="1:43" s="114" customFormat="1" ht="13.8">
      <c r="A397" s="53" t="s">
        <v>526</v>
      </c>
      <c r="B397" s="39"/>
      <c r="C397" s="138"/>
      <c r="D397" s="89"/>
      <c r="E397" s="80"/>
      <c r="F397" s="81"/>
      <c r="G397" s="92"/>
      <c r="H397" s="135"/>
      <c r="J397" s="29"/>
      <c r="AQ397" s="115"/>
    </row>
    <row r="398" spans="1:43" s="114" customFormat="1" ht="13.8">
      <c r="A398" s="53" t="s">
        <v>527</v>
      </c>
      <c r="B398" s="39"/>
      <c r="C398" s="140" t="s">
        <v>962</v>
      </c>
      <c r="D398" s="141" t="s">
        <v>1404</v>
      </c>
      <c r="E398" s="80"/>
      <c r="F398" s="81"/>
      <c r="G398" s="92"/>
      <c r="H398" s="135"/>
      <c r="J398" s="29"/>
      <c r="AQ398" s="115"/>
    </row>
    <row r="399" spans="1:43" s="114" customFormat="1" ht="13.8">
      <c r="A399" s="53" t="s">
        <v>529</v>
      </c>
      <c r="B399" s="39"/>
      <c r="C399" s="138" t="s">
        <v>228</v>
      </c>
      <c r="D399" s="121" t="s">
        <v>1048</v>
      </c>
      <c r="E399" s="80"/>
      <c r="F399" s="81">
        <f>0.44*18*3</f>
        <v>23.759999999999998</v>
      </c>
      <c r="G399" s="92">
        <v>3</v>
      </c>
      <c r="H399" s="135"/>
      <c r="J399" s="29"/>
      <c r="AQ399" s="115"/>
    </row>
    <row r="400" spans="1:43" s="114" customFormat="1" ht="13.8">
      <c r="A400" s="53" t="s">
        <v>531</v>
      </c>
      <c r="B400" s="39"/>
      <c r="C400" s="138" t="s">
        <v>410</v>
      </c>
      <c r="D400" s="121" t="s">
        <v>1038</v>
      </c>
      <c r="E400" s="80"/>
      <c r="F400" s="81">
        <f>0.44*19*1</f>
        <v>8.36</v>
      </c>
      <c r="G400" s="92">
        <v>1</v>
      </c>
      <c r="H400" s="135"/>
      <c r="J400" s="29"/>
      <c r="AQ400" s="115"/>
    </row>
    <row r="401" spans="1:43" s="114" customFormat="1" ht="13.8">
      <c r="A401" s="53" t="s">
        <v>533</v>
      </c>
      <c r="B401" s="39"/>
      <c r="C401" s="138" t="s">
        <v>228</v>
      </c>
      <c r="D401" s="121" t="s">
        <v>1036</v>
      </c>
      <c r="E401" s="80"/>
      <c r="F401" s="81">
        <f>0.44*18*1</f>
        <v>7.92</v>
      </c>
      <c r="G401" s="92">
        <v>1</v>
      </c>
      <c r="H401" s="135"/>
      <c r="J401" s="29"/>
      <c r="AQ401" s="115"/>
    </row>
    <row r="402" spans="1:43" s="114" customFormat="1" ht="13.8">
      <c r="A402" s="53" t="s">
        <v>534</v>
      </c>
      <c r="B402" s="39"/>
      <c r="C402" s="138" t="s">
        <v>226</v>
      </c>
      <c r="D402" s="121" t="s">
        <v>1036</v>
      </c>
      <c r="E402" s="80"/>
      <c r="F402" s="81">
        <f>0.44*18*1</f>
        <v>7.92</v>
      </c>
      <c r="G402" s="92">
        <v>1</v>
      </c>
      <c r="H402" s="135"/>
      <c r="J402" s="29"/>
      <c r="AQ402" s="115"/>
    </row>
    <row r="403" spans="1:43" s="114" customFormat="1" ht="13.8">
      <c r="A403" s="53" t="s">
        <v>535</v>
      </c>
      <c r="B403" s="39"/>
      <c r="C403" s="138" t="s">
        <v>1049</v>
      </c>
      <c r="D403" s="121" t="s">
        <v>1050</v>
      </c>
      <c r="E403" s="80"/>
      <c r="F403" s="81">
        <f>0.185*23*2</f>
        <v>8.51</v>
      </c>
      <c r="G403" s="92">
        <v>2</v>
      </c>
      <c r="H403" s="135"/>
      <c r="J403" s="29"/>
      <c r="AQ403" s="115"/>
    </row>
    <row r="404" spans="1:43" s="114" customFormat="1" ht="13.8">
      <c r="A404" s="53" t="s">
        <v>536</v>
      </c>
      <c r="B404" s="39"/>
      <c r="C404" s="138"/>
      <c r="D404" s="121"/>
      <c r="E404" s="80"/>
      <c r="F404" s="81"/>
      <c r="G404" s="92"/>
      <c r="H404" s="135"/>
      <c r="J404" s="29"/>
      <c r="AQ404" s="115"/>
    </row>
    <row r="405" spans="1:43" s="114" customFormat="1" ht="13.8">
      <c r="A405" s="53" t="s">
        <v>537</v>
      </c>
      <c r="B405" s="39"/>
      <c r="C405" s="140" t="s">
        <v>962</v>
      </c>
      <c r="D405" s="142" t="s">
        <v>1405</v>
      </c>
      <c r="E405" s="80"/>
      <c r="F405" s="81"/>
      <c r="G405" s="92"/>
      <c r="H405" s="135"/>
      <c r="J405" s="29"/>
      <c r="AQ405" s="115"/>
    </row>
    <row r="406" spans="1:43" s="114" customFormat="1" ht="13.8">
      <c r="A406" s="53" t="s">
        <v>538</v>
      </c>
      <c r="B406" s="39"/>
      <c r="C406" s="138" t="s">
        <v>234</v>
      </c>
      <c r="D406" s="89" t="s">
        <v>963</v>
      </c>
      <c r="E406" s="80"/>
      <c r="F406" s="81">
        <f>0.255*22*1</f>
        <v>5.61</v>
      </c>
      <c r="G406" s="92">
        <v>1</v>
      </c>
      <c r="H406" s="135"/>
      <c r="J406" s="29"/>
      <c r="AQ406" s="115"/>
    </row>
    <row r="407" spans="1:43" s="114" customFormat="1" ht="13.8">
      <c r="A407" s="53" t="s">
        <v>539</v>
      </c>
      <c r="B407" s="39"/>
      <c r="C407" s="138" t="s">
        <v>157</v>
      </c>
      <c r="D407" s="121" t="s">
        <v>1040</v>
      </c>
      <c r="E407" s="80"/>
      <c r="F407" s="81">
        <f>0.44*25*1</f>
        <v>11</v>
      </c>
      <c r="G407" s="92">
        <v>1</v>
      </c>
      <c r="H407" s="135"/>
      <c r="J407" s="29"/>
      <c r="AQ407" s="115"/>
    </row>
    <row r="408" spans="1:43" s="114" customFormat="1" ht="13.8">
      <c r="A408" s="53" t="s">
        <v>540</v>
      </c>
      <c r="B408" s="39"/>
      <c r="C408" s="138"/>
      <c r="D408" s="121"/>
      <c r="E408" s="80"/>
      <c r="F408" s="81"/>
      <c r="G408" s="92"/>
      <c r="H408" s="135"/>
      <c r="J408" s="29"/>
      <c r="AQ408" s="115"/>
    </row>
    <row r="409" spans="1:43" s="114" customFormat="1" ht="13.8">
      <c r="A409" s="53" t="s">
        <v>541</v>
      </c>
      <c r="B409" s="39"/>
      <c r="C409" s="140" t="s">
        <v>962</v>
      </c>
      <c r="D409" s="142" t="s">
        <v>1406</v>
      </c>
      <c r="E409" s="80"/>
      <c r="F409" s="81"/>
      <c r="G409" s="92"/>
      <c r="H409" s="135"/>
      <c r="J409" s="29"/>
      <c r="AQ409" s="115"/>
    </row>
    <row r="410" spans="1:43" s="114" customFormat="1" ht="13.8">
      <c r="A410" s="53" t="s">
        <v>542</v>
      </c>
      <c r="B410" s="39"/>
      <c r="C410" s="138" t="s">
        <v>1052</v>
      </c>
      <c r="D410" s="89" t="s">
        <v>1053</v>
      </c>
      <c r="E410" s="80"/>
      <c r="F410" s="81">
        <f>0.255*11*1</f>
        <v>2.805</v>
      </c>
      <c r="G410" s="92">
        <v>1</v>
      </c>
      <c r="H410" s="135"/>
      <c r="J410" s="29"/>
      <c r="AQ410" s="115"/>
    </row>
    <row r="411" spans="1:43" s="114" customFormat="1" ht="13.8">
      <c r="A411" s="53" t="s">
        <v>544</v>
      </c>
      <c r="B411" s="39"/>
      <c r="C411" s="138" t="s">
        <v>1052</v>
      </c>
      <c r="D411" s="121" t="s">
        <v>243</v>
      </c>
      <c r="E411" s="80"/>
      <c r="F411" s="81">
        <f>0.44*10*1</f>
        <v>4.4</v>
      </c>
      <c r="G411" s="92">
        <v>1</v>
      </c>
      <c r="H411" s="135"/>
      <c r="J411" s="29"/>
      <c r="AQ411" s="115"/>
    </row>
    <row r="412" spans="1:43" s="114" customFormat="1" ht="13.8">
      <c r="A412" s="53" t="s">
        <v>546</v>
      </c>
      <c r="B412" s="39"/>
      <c r="C412" s="138"/>
      <c r="D412" s="121"/>
      <c r="E412" s="80"/>
      <c r="F412" s="81"/>
      <c r="G412" s="92"/>
      <c r="H412" s="135"/>
      <c r="J412" s="29"/>
      <c r="AQ412" s="115"/>
    </row>
    <row r="413" spans="1:43" s="114" customFormat="1" ht="13.8">
      <c r="A413" s="53" t="s">
        <v>547</v>
      </c>
      <c r="B413" s="39"/>
      <c r="C413" s="140" t="s">
        <v>962</v>
      </c>
      <c r="D413" s="142" t="s">
        <v>1407</v>
      </c>
      <c r="E413" s="80"/>
      <c r="F413" s="81"/>
      <c r="G413" s="92"/>
      <c r="H413" s="135"/>
      <c r="J413" s="29"/>
      <c r="AQ413" s="115"/>
    </row>
    <row r="414" spans="1:43" s="114" customFormat="1" ht="13.8">
      <c r="A414" s="53" t="s">
        <v>549</v>
      </c>
      <c r="B414" s="39"/>
      <c r="C414" s="138" t="s">
        <v>447</v>
      </c>
      <c r="D414" s="121" t="s">
        <v>1044</v>
      </c>
      <c r="E414" s="80"/>
      <c r="F414" s="81">
        <f>0.44*20*2</f>
        <v>17.6</v>
      </c>
      <c r="G414" s="92">
        <v>2</v>
      </c>
      <c r="H414" s="135"/>
      <c r="J414" s="29"/>
      <c r="AQ414" s="115"/>
    </row>
    <row r="415" spans="1:43" s="114" customFormat="1" ht="13.8">
      <c r="A415" s="53" t="s">
        <v>551</v>
      </c>
      <c r="B415" s="39"/>
      <c r="C415" s="138" t="s">
        <v>513</v>
      </c>
      <c r="D415" s="89" t="s">
        <v>259</v>
      </c>
      <c r="E415" s="80"/>
      <c r="F415" s="81">
        <f>0.255*15*1</f>
        <v>3.825</v>
      </c>
      <c r="G415" s="92">
        <v>1</v>
      </c>
      <c r="H415" s="135"/>
      <c r="J415" s="29"/>
      <c r="AQ415" s="115"/>
    </row>
    <row r="416" spans="1:43" s="114" customFormat="1" ht="13.8">
      <c r="A416" s="53" t="s">
        <v>553</v>
      </c>
      <c r="B416" s="39"/>
      <c r="C416" s="138" t="s">
        <v>447</v>
      </c>
      <c r="D416" s="89" t="s">
        <v>1019</v>
      </c>
      <c r="E416" s="80"/>
      <c r="F416" s="81">
        <f>0.255*25*1</f>
        <v>6.375</v>
      </c>
      <c r="G416" s="92">
        <v>1</v>
      </c>
      <c r="H416" s="135"/>
      <c r="J416" s="29"/>
      <c r="AQ416" s="115"/>
    </row>
    <row r="417" spans="1:43" s="114" customFormat="1" ht="13.8">
      <c r="A417" s="53" t="s">
        <v>555</v>
      </c>
      <c r="B417" s="39"/>
      <c r="C417" s="138"/>
      <c r="D417" s="89"/>
      <c r="E417" s="80"/>
      <c r="F417" s="81"/>
      <c r="G417" s="92"/>
      <c r="H417" s="135"/>
      <c r="J417" s="29"/>
      <c r="AQ417" s="115"/>
    </row>
    <row r="418" spans="1:43" s="114" customFormat="1" ht="13.8">
      <c r="A418" s="53" t="s">
        <v>557</v>
      </c>
      <c r="B418" s="39"/>
      <c r="C418" s="136"/>
      <c r="D418" s="131" t="s">
        <v>1054</v>
      </c>
      <c r="E418" s="80"/>
      <c r="F418" s="81"/>
      <c r="G418" s="92"/>
      <c r="H418" s="135"/>
      <c r="J418" s="29"/>
      <c r="AQ418" s="115"/>
    </row>
    <row r="419" spans="1:43" s="114" customFormat="1" ht="13.8">
      <c r="A419" s="53" t="s">
        <v>559</v>
      </c>
      <c r="B419" s="39"/>
      <c r="C419" s="136"/>
      <c r="D419" s="100" t="s">
        <v>1408</v>
      </c>
      <c r="E419" s="42" t="s">
        <v>41</v>
      </c>
      <c r="F419" s="44">
        <f>SUM(F421:F462)</f>
        <v>223.32500000000005</v>
      </c>
      <c r="G419" s="92"/>
      <c r="H419" s="135"/>
      <c r="J419" s="29"/>
      <c r="AQ419" s="115"/>
    </row>
    <row r="420" spans="1:43" s="114" customFormat="1" ht="13.8">
      <c r="A420" s="53" t="s">
        <v>561</v>
      </c>
      <c r="B420" s="39"/>
      <c r="C420" s="132" t="s">
        <v>962</v>
      </c>
      <c r="D420" s="134" t="s">
        <v>1409</v>
      </c>
      <c r="E420" s="80"/>
      <c r="F420" s="81"/>
      <c r="G420" s="92"/>
      <c r="H420" s="135"/>
      <c r="J420" s="29"/>
      <c r="AQ420" s="115"/>
    </row>
    <row r="421" spans="1:43" s="114" customFormat="1" ht="13.8">
      <c r="A421" s="53" t="s">
        <v>563</v>
      </c>
      <c r="B421" s="39"/>
      <c r="C421" s="143" t="s">
        <v>216</v>
      </c>
      <c r="D421" s="89" t="s">
        <v>250</v>
      </c>
      <c r="E421" s="80"/>
      <c r="F421" s="81">
        <f>0.255*14*1</f>
        <v>3.5700000000000003</v>
      </c>
      <c r="G421" s="92">
        <v>1</v>
      </c>
      <c r="H421" s="135"/>
      <c r="J421" s="29"/>
      <c r="AQ421" s="115"/>
    </row>
    <row r="422" spans="1:43" s="114" customFormat="1" ht="13.8">
      <c r="A422" s="53" t="s">
        <v>564</v>
      </c>
      <c r="B422" s="39"/>
      <c r="C422" s="143" t="s">
        <v>218</v>
      </c>
      <c r="D422" s="121" t="s">
        <v>243</v>
      </c>
      <c r="E422" s="80"/>
      <c r="F422" s="81">
        <f>0.44*10*1</f>
        <v>4.4</v>
      </c>
      <c r="G422" s="92">
        <v>1</v>
      </c>
      <c r="H422" s="135"/>
      <c r="J422" s="29"/>
      <c r="AQ422" s="115"/>
    </row>
    <row r="423" spans="1:43" s="114" customFormat="1" ht="13.8">
      <c r="A423" s="53" t="s">
        <v>566</v>
      </c>
      <c r="B423" s="39"/>
      <c r="C423" s="143" t="s">
        <v>220</v>
      </c>
      <c r="D423" s="121" t="s">
        <v>1055</v>
      </c>
      <c r="E423" s="80"/>
      <c r="F423" s="81">
        <f>0.44*9*1</f>
        <v>3.96</v>
      </c>
      <c r="G423" s="92">
        <v>1</v>
      </c>
      <c r="H423" s="135"/>
      <c r="J423" s="29"/>
      <c r="AQ423" s="115"/>
    </row>
    <row r="424" spans="1:43" s="114" customFormat="1" ht="13.8">
      <c r="A424" s="53" t="s">
        <v>568</v>
      </c>
      <c r="B424" s="39"/>
      <c r="C424" s="138"/>
      <c r="D424" s="89"/>
      <c r="E424" s="80"/>
      <c r="F424" s="81"/>
      <c r="G424" s="92"/>
      <c r="H424" s="135"/>
      <c r="J424" s="29"/>
      <c r="AQ424" s="115"/>
    </row>
    <row r="425" spans="1:43" s="114" customFormat="1" ht="13.8">
      <c r="A425" s="53" t="s">
        <v>569</v>
      </c>
      <c r="B425" s="39"/>
      <c r="C425" s="132" t="s">
        <v>962</v>
      </c>
      <c r="D425" s="134" t="s">
        <v>1410</v>
      </c>
      <c r="E425" s="80"/>
      <c r="F425" s="81"/>
      <c r="G425" s="92"/>
      <c r="H425" s="135"/>
      <c r="J425" s="29"/>
      <c r="AQ425" s="115"/>
    </row>
    <row r="426" spans="1:43" s="114" customFormat="1" ht="13.8">
      <c r="A426" s="53" t="s">
        <v>570</v>
      </c>
      <c r="B426" s="39"/>
      <c r="C426" s="143" t="s">
        <v>285</v>
      </c>
      <c r="D426" s="89" t="s">
        <v>273</v>
      </c>
      <c r="E426" s="80"/>
      <c r="F426" s="81">
        <f>0.255*18*2</f>
        <v>9.18</v>
      </c>
      <c r="G426" s="92">
        <v>2</v>
      </c>
      <c r="H426" s="135"/>
      <c r="J426" s="29"/>
      <c r="AQ426" s="115"/>
    </row>
    <row r="427" spans="1:43" s="114" customFormat="1" ht="13.8">
      <c r="A427" s="53" t="s">
        <v>571</v>
      </c>
      <c r="B427" s="39"/>
      <c r="C427" s="143" t="s">
        <v>287</v>
      </c>
      <c r="D427" s="89" t="s">
        <v>1016</v>
      </c>
      <c r="E427" s="80"/>
      <c r="F427" s="81">
        <f>0.255*19*2</f>
        <v>9.69</v>
      </c>
      <c r="G427" s="92">
        <v>2</v>
      </c>
      <c r="H427" s="135"/>
      <c r="J427" s="29"/>
      <c r="AQ427" s="115"/>
    </row>
    <row r="428" spans="1:43" s="114" customFormat="1" ht="13.8">
      <c r="A428" s="53" t="s">
        <v>572</v>
      </c>
      <c r="B428" s="39"/>
      <c r="C428" s="143" t="s">
        <v>280</v>
      </c>
      <c r="D428" s="89" t="s">
        <v>250</v>
      </c>
      <c r="E428" s="80"/>
      <c r="F428" s="81">
        <f>0.255*14*1</f>
        <v>3.5700000000000003</v>
      </c>
      <c r="G428" s="92">
        <v>1</v>
      </c>
      <c r="H428" s="135"/>
      <c r="J428" s="29"/>
      <c r="AQ428" s="115"/>
    </row>
    <row r="429" spans="1:43" s="114" customFormat="1" ht="13.8">
      <c r="A429" s="53" t="s">
        <v>574</v>
      </c>
      <c r="B429" s="39"/>
      <c r="C429" s="143" t="s">
        <v>278</v>
      </c>
      <c r="D429" s="89" t="s">
        <v>974</v>
      </c>
      <c r="E429" s="80"/>
      <c r="F429" s="81">
        <f>0.255*17*1</f>
        <v>4.335</v>
      </c>
      <c r="G429" s="92">
        <v>1</v>
      </c>
      <c r="H429" s="135"/>
      <c r="J429" s="29"/>
      <c r="AQ429" s="115"/>
    </row>
    <row r="430" spans="1:43" s="114" customFormat="1" ht="13.8">
      <c r="A430" s="53" t="s">
        <v>575</v>
      </c>
      <c r="B430" s="39"/>
      <c r="C430" s="143" t="s">
        <v>275</v>
      </c>
      <c r="D430" s="89" t="s">
        <v>259</v>
      </c>
      <c r="E430" s="80"/>
      <c r="F430" s="81">
        <f>0.255*15*1</f>
        <v>3.825</v>
      </c>
      <c r="G430" s="92">
        <v>1</v>
      </c>
      <c r="H430" s="135"/>
      <c r="J430" s="29"/>
      <c r="AQ430" s="115"/>
    </row>
    <row r="431" spans="1:43" s="114" customFormat="1" ht="13.8">
      <c r="A431" s="53" t="s">
        <v>576</v>
      </c>
      <c r="B431" s="39"/>
      <c r="C431" s="143" t="s">
        <v>272</v>
      </c>
      <c r="D431" s="89" t="s">
        <v>273</v>
      </c>
      <c r="E431" s="80"/>
      <c r="F431" s="81">
        <f>0.255*18*2</f>
        <v>9.18</v>
      </c>
      <c r="G431" s="92">
        <v>2</v>
      </c>
      <c r="H431" s="135"/>
      <c r="J431" s="29"/>
      <c r="AQ431" s="115"/>
    </row>
    <row r="432" spans="1:43" s="114" customFormat="1" ht="13.8">
      <c r="A432" s="53" t="s">
        <v>577</v>
      </c>
      <c r="B432" s="39"/>
      <c r="C432" s="138"/>
      <c r="D432" s="89"/>
      <c r="E432" s="80"/>
      <c r="F432" s="81"/>
      <c r="G432" s="92"/>
      <c r="H432" s="135"/>
      <c r="J432" s="29"/>
      <c r="AQ432" s="115"/>
    </row>
    <row r="433" spans="1:43" s="114" customFormat="1" ht="13.8">
      <c r="A433" s="53" t="s">
        <v>578</v>
      </c>
      <c r="B433" s="39"/>
      <c r="C433" s="132" t="s">
        <v>962</v>
      </c>
      <c r="D433" s="134" t="s">
        <v>1411</v>
      </c>
      <c r="E433" s="80"/>
      <c r="F433" s="81"/>
      <c r="G433" s="92"/>
      <c r="H433" s="135"/>
      <c r="J433" s="29"/>
      <c r="AQ433" s="115"/>
    </row>
    <row r="434" spans="1:43" s="114" customFormat="1" ht="13.8">
      <c r="A434" s="53" t="s">
        <v>579</v>
      </c>
      <c r="B434" s="39"/>
      <c r="C434" s="143" t="s">
        <v>1056</v>
      </c>
      <c r="D434" s="89" t="s">
        <v>989</v>
      </c>
      <c r="E434" s="80"/>
      <c r="F434" s="81">
        <f>0.255*20*1</f>
        <v>5.1</v>
      </c>
      <c r="G434" s="92">
        <v>1</v>
      </c>
      <c r="H434" s="135"/>
      <c r="J434" s="29"/>
      <c r="AQ434" s="115"/>
    </row>
    <row r="435" spans="1:43" s="114" customFormat="1" ht="13.8">
      <c r="A435" s="53" t="s">
        <v>580</v>
      </c>
      <c r="B435" s="39"/>
      <c r="C435" s="143" t="s">
        <v>1057</v>
      </c>
      <c r="D435" s="89" t="s">
        <v>259</v>
      </c>
      <c r="E435" s="80"/>
      <c r="F435" s="81">
        <f>0.255*15*1</f>
        <v>3.825</v>
      </c>
      <c r="G435" s="92">
        <v>1</v>
      </c>
      <c r="H435" s="135"/>
      <c r="J435" s="29"/>
      <c r="AQ435" s="115"/>
    </row>
    <row r="436" spans="1:43" s="114" customFormat="1" ht="13.8">
      <c r="A436" s="53" t="s">
        <v>581</v>
      </c>
      <c r="B436" s="39"/>
      <c r="C436" s="143" t="s">
        <v>370</v>
      </c>
      <c r="D436" s="89" t="s">
        <v>1059</v>
      </c>
      <c r="E436" s="80"/>
      <c r="F436" s="81">
        <f>0.255*25*5</f>
        <v>31.875</v>
      </c>
      <c r="G436" s="92">
        <v>5</v>
      </c>
      <c r="H436" s="135"/>
      <c r="J436" s="29"/>
      <c r="AQ436" s="115"/>
    </row>
    <row r="437" spans="1:43" s="114" customFormat="1" ht="13.8">
      <c r="A437" s="53" t="s">
        <v>582</v>
      </c>
      <c r="B437" s="39"/>
      <c r="C437" s="143" t="s">
        <v>1060</v>
      </c>
      <c r="D437" s="89" t="s">
        <v>259</v>
      </c>
      <c r="E437" s="80"/>
      <c r="F437" s="81">
        <f>0.255*15*1</f>
        <v>3.825</v>
      </c>
      <c r="G437" s="92">
        <v>1</v>
      </c>
      <c r="H437" s="135"/>
      <c r="J437" s="29"/>
      <c r="AQ437" s="115"/>
    </row>
    <row r="438" spans="1:43" s="114" customFormat="1" ht="13.8">
      <c r="A438" s="53" t="s">
        <v>583</v>
      </c>
      <c r="B438" s="39"/>
      <c r="C438" s="143" t="s">
        <v>1060</v>
      </c>
      <c r="D438" s="89" t="s">
        <v>262</v>
      </c>
      <c r="E438" s="80"/>
      <c r="F438" s="81">
        <f>0.255*16*1</f>
        <v>4.08</v>
      </c>
      <c r="G438" s="92">
        <v>1</v>
      </c>
      <c r="H438" s="135"/>
      <c r="J438" s="29"/>
      <c r="AQ438" s="115"/>
    </row>
    <row r="439" spans="1:43" s="114" customFormat="1" ht="13.8">
      <c r="A439" s="53" t="s">
        <v>584</v>
      </c>
      <c r="B439" s="39"/>
      <c r="C439" s="138"/>
      <c r="D439" s="89"/>
      <c r="E439" s="80"/>
      <c r="F439" s="81"/>
      <c r="G439" s="92"/>
      <c r="H439" s="135"/>
      <c r="J439" s="29"/>
      <c r="AQ439" s="115"/>
    </row>
    <row r="440" spans="1:43" s="114" customFormat="1" ht="13.8">
      <c r="A440" s="53" t="s">
        <v>585</v>
      </c>
      <c r="B440" s="39"/>
      <c r="C440" s="132" t="s">
        <v>962</v>
      </c>
      <c r="D440" s="134" t="s">
        <v>1412</v>
      </c>
      <c r="E440" s="80"/>
      <c r="F440" s="81"/>
      <c r="G440" s="92"/>
      <c r="H440" s="135"/>
      <c r="J440" s="29"/>
      <c r="AQ440" s="115"/>
    </row>
    <row r="441" spans="1:43" s="114" customFormat="1" ht="13.8">
      <c r="A441" s="53" t="s">
        <v>586</v>
      </c>
      <c r="B441" s="39"/>
      <c r="C441" s="143" t="s">
        <v>450</v>
      </c>
      <c r="D441" s="89" t="s">
        <v>989</v>
      </c>
      <c r="E441" s="80"/>
      <c r="F441" s="81">
        <f>0.255*20*1</f>
        <v>5.1</v>
      </c>
      <c r="G441" s="92">
        <v>1</v>
      </c>
      <c r="H441" s="135"/>
      <c r="J441" s="29"/>
      <c r="AQ441" s="115"/>
    </row>
    <row r="442" spans="1:43" s="114" customFormat="1" ht="13.8">
      <c r="A442" s="53" t="s">
        <v>587</v>
      </c>
      <c r="B442" s="39"/>
      <c r="C442" s="143" t="s">
        <v>182</v>
      </c>
      <c r="D442" s="89" t="s">
        <v>259</v>
      </c>
      <c r="E442" s="80"/>
      <c r="F442" s="81">
        <f>0.255*15*1</f>
        <v>3.825</v>
      </c>
      <c r="G442" s="92">
        <v>1</v>
      </c>
      <c r="H442" s="135"/>
      <c r="J442" s="29"/>
      <c r="AQ442" s="115"/>
    </row>
    <row r="443" spans="1:43" s="114" customFormat="1" ht="13.8">
      <c r="A443" s="53" t="s">
        <v>588</v>
      </c>
      <c r="B443" s="39"/>
      <c r="C443" s="143" t="s">
        <v>184</v>
      </c>
      <c r="D443" s="89" t="s">
        <v>1059</v>
      </c>
      <c r="E443" s="80"/>
      <c r="F443" s="81">
        <f>0.255*25*5</f>
        <v>31.875</v>
      </c>
      <c r="G443" s="92">
        <v>5</v>
      </c>
      <c r="H443" s="135"/>
      <c r="J443" s="29"/>
      <c r="AQ443" s="115"/>
    </row>
    <row r="444" spans="1:43" s="114" customFormat="1" ht="13.8">
      <c r="A444" s="53" t="s">
        <v>589</v>
      </c>
      <c r="B444" s="39"/>
      <c r="C444" s="143" t="s">
        <v>1061</v>
      </c>
      <c r="D444" s="89" t="s">
        <v>294</v>
      </c>
      <c r="E444" s="80"/>
      <c r="F444" s="81">
        <f>0.255*18*1</f>
        <v>4.59</v>
      </c>
      <c r="G444" s="92">
        <v>1</v>
      </c>
      <c r="H444" s="135"/>
      <c r="J444" s="29"/>
      <c r="AQ444" s="115"/>
    </row>
    <row r="445" spans="1:43" s="114" customFormat="1" ht="13.8">
      <c r="A445" s="53" t="s">
        <v>590</v>
      </c>
      <c r="B445" s="39"/>
      <c r="C445" s="143" t="s">
        <v>182</v>
      </c>
      <c r="D445" s="89" t="s">
        <v>333</v>
      </c>
      <c r="E445" s="80"/>
      <c r="F445" s="81">
        <f>0.255*16*1</f>
        <v>4.08</v>
      </c>
      <c r="G445" s="92">
        <v>1</v>
      </c>
      <c r="H445" s="135"/>
      <c r="J445" s="29"/>
      <c r="AQ445" s="115"/>
    </row>
    <row r="446" spans="1:43" s="114" customFormat="1" ht="13.8">
      <c r="A446" s="53" t="s">
        <v>591</v>
      </c>
      <c r="B446" s="39"/>
      <c r="C446" s="138"/>
      <c r="D446" s="89"/>
      <c r="E446" s="80"/>
      <c r="F446" s="81"/>
      <c r="G446" s="92"/>
      <c r="H446" s="135"/>
      <c r="J446" s="29"/>
      <c r="AQ446" s="115"/>
    </row>
    <row r="447" spans="1:43" s="114" customFormat="1" ht="13.8">
      <c r="A447" s="53" t="s">
        <v>592</v>
      </c>
      <c r="B447" s="39"/>
      <c r="C447" s="132" t="s">
        <v>962</v>
      </c>
      <c r="D447" s="134" t="s">
        <v>1413</v>
      </c>
      <c r="E447" s="80"/>
      <c r="F447" s="81"/>
      <c r="G447" s="92"/>
      <c r="H447" s="135"/>
      <c r="J447" s="29"/>
      <c r="AQ447" s="115"/>
    </row>
    <row r="448" spans="1:43" s="114" customFormat="1" ht="13.8">
      <c r="A448" s="53" t="s">
        <v>593</v>
      </c>
      <c r="B448" s="39"/>
      <c r="C448" s="143" t="s">
        <v>351</v>
      </c>
      <c r="D448" s="89" t="s">
        <v>333</v>
      </c>
      <c r="E448" s="80"/>
      <c r="F448" s="81">
        <f>0.255*16*1</f>
        <v>4.08</v>
      </c>
      <c r="G448" s="92">
        <v>1</v>
      </c>
      <c r="H448" s="135"/>
      <c r="J448" s="29"/>
      <c r="AQ448" s="115"/>
    </row>
    <row r="449" spans="1:43" s="114" customFormat="1" ht="13.8">
      <c r="A449" s="53" t="s">
        <v>594</v>
      </c>
      <c r="B449" s="39"/>
      <c r="C449" s="143" t="s">
        <v>352</v>
      </c>
      <c r="D449" s="89" t="s">
        <v>333</v>
      </c>
      <c r="E449" s="80"/>
      <c r="F449" s="81">
        <f>0.255*16*1</f>
        <v>4.08</v>
      </c>
      <c r="G449" s="92">
        <v>1</v>
      </c>
      <c r="H449" s="135"/>
      <c r="J449" s="29"/>
      <c r="AQ449" s="115"/>
    </row>
    <row r="450" spans="1:43" s="114" customFormat="1" ht="13.8">
      <c r="A450" s="53" t="s">
        <v>595</v>
      </c>
      <c r="B450" s="39"/>
      <c r="C450" s="143" t="s">
        <v>347</v>
      </c>
      <c r="D450" s="89" t="s">
        <v>333</v>
      </c>
      <c r="E450" s="80"/>
      <c r="F450" s="81">
        <f>0.255*16*1</f>
        <v>4.08</v>
      </c>
      <c r="G450" s="92">
        <v>1</v>
      </c>
      <c r="H450" s="135"/>
      <c r="J450" s="29"/>
      <c r="AQ450" s="115"/>
    </row>
    <row r="451" spans="1:43" s="114" customFormat="1" ht="13.8">
      <c r="A451" s="53" t="s">
        <v>596</v>
      </c>
      <c r="B451" s="39"/>
      <c r="C451" s="143" t="s">
        <v>346</v>
      </c>
      <c r="D451" s="89" t="s">
        <v>276</v>
      </c>
      <c r="E451" s="80"/>
      <c r="F451" s="81">
        <f>0.255*15*1</f>
        <v>3.825</v>
      </c>
      <c r="G451" s="92">
        <v>1</v>
      </c>
      <c r="H451" s="135"/>
      <c r="J451" s="29"/>
      <c r="AQ451" s="115"/>
    </row>
    <row r="452" spans="1:43" s="114" customFormat="1" ht="13.8">
      <c r="A452" s="53" t="s">
        <v>597</v>
      </c>
      <c r="B452" s="39"/>
      <c r="C452" s="138"/>
      <c r="D452" s="89"/>
      <c r="E452" s="80"/>
      <c r="F452" s="81"/>
      <c r="G452" s="92"/>
      <c r="H452" s="135"/>
      <c r="J452" s="29"/>
      <c r="AQ452" s="115"/>
    </row>
    <row r="453" spans="1:43" s="114" customFormat="1" ht="13.8">
      <c r="A453" s="53" t="s">
        <v>598</v>
      </c>
      <c r="B453" s="39"/>
      <c r="C453" s="132" t="s">
        <v>962</v>
      </c>
      <c r="D453" s="134" t="s">
        <v>1414</v>
      </c>
      <c r="E453" s="80"/>
      <c r="F453" s="81"/>
      <c r="G453" s="92"/>
      <c r="H453" s="135"/>
      <c r="J453" s="29"/>
      <c r="AQ453" s="115"/>
    </row>
    <row r="454" spans="1:43" s="114" customFormat="1" ht="13.8">
      <c r="A454" s="53" t="s">
        <v>600</v>
      </c>
      <c r="B454" s="39"/>
      <c r="C454" s="143" t="s">
        <v>1062</v>
      </c>
      <c r="D454" s="89" t="s">
        <v>1019</v>
      </c>
      <c r="E454" s="80"/>
      <c r="F454" s="81">
        <f>0.255*25*1</f>
        <v>6.375</v>
      </c>
      <c r="G454" s="92">
        <v>1</v>
      </c>
      <c r="H454" s="135"/>
      <c r="J454" s="29"/>
      <c r="AQ454" s="115"/>
    </row>
    <row r="455" spans="1:43" s="114" customFormat="1" ht="13.8">
      <c r="A455" s="53" t="s">
        <v>602</v>
      </c>
      <c r="B455" s="39"/>
      <c r="C455" s="143" t="s">
        <v>502</v>
      </c>
      <c r="D455" s="89" t="s">
        <v>1019</v>
      </c>
      <c r="E455" s="80"/>
      <c r="F455" s="81">
        <f>0.255*25*1</f>
        <v>6.375</v>
      </c>
      <c r="G455" s="92">
        <v>1</v>
      </c>
      <c r="H455" s="135"/>
      <c r="J455" s="29"/>
      <c r="AQ455" s="115"/>
    </row>
    <row r="456" spans="1:43" s="114" customFormat="1" ht="13.8">
      <c r="A456" s="53" t="s">
        <v>604</v>
      </c>
      <c r="B456" s="39"/>
      <c r="C456" s="143" t="s">
        <v>488</v>
      </c>
      <c r="D456" s="89" t="s">
        <v>1019</v>
      </c>
      <c r="E456" s="80"/>
      <c r="F456" s="81">
        <f aca="true" t="shared" si="9" ref="F456:F462">0.255*25*1</f>
        <v>6.375</v>
      </c>
      <c r="G456" s="92">
        <v>1</v>
      </c>
      <c r="H456" s="135"/>
      <c r="J456" s="29"/>
      <c r="AQ456" s="115"/>
    </row>
    <row r="457" spans="1:43" s="114" customFormat="1" ht="13.8">
      <c r="A457" s="53" t="s">
        <v>606</v>
      </c>
      <c r="B457" s="39"/>
      <c r="C457" s="143" t="s">
        <v>486</v>
      </c>
      <c r="D457" s="89" t="s">
        <v>1019</v>
      </c>
      <c r="E457" s="80"/>
      <c r="F457" s="81">
        <f t="shared" si="9"/>
        <v>6.375</v>
      </c>
      <c r="G457" s="92">
        <v>1</v>
      </c>
      <c r="H457" s="135"/>
      <c r="J457" s="29"/>
      <c r="AQ457" s="115"/>
    </row>
    <row r="458" spans="1:43" s="114" customFormat="1" ht="13.8">
      <c r="A458" s="53" t="s">
        <v>607</v>
      </c>
      <c r="B458" s="39"/>
      <c r="C458" s="143" t="s">
        <v>484</v>
      </c>
      <c r="D458" s="89" t="s">
        <v>1019</v>
      </c>
      <c r="E458" s="80"/>
      <c r="F458" s="81">
        <f t="shared" si="9"/>
        <v>6.375</v>
      </c>
      <c r="G458" s="92">
        <v>1</v>
      </c>
      <c r="H458" s="135"/>
      <c r="J458" s="29"/>
      <c r="AQ458" s="115"/>
    </row>
    <row r="459" spans="1:43" s="114" customFormat="1" ht="13.8">
      <c r="A459" s="53" t="s">
        <v>609</v>
      </c>
      <c r="B459" s="39"/>
      <c r="C459" s="143" t="s">
        <v>482</v>
      </c>
      <c r="D459" s="89" t="s">
        <v>1019</v>
      </c>
      <c r="E459" s="80"/>
      <c r="F459" s="81">
        <f t="shared" si="9"/>
        <v>6.375</v>
      </c>
      <c r="G459" s="92">
        <v>1</v>
      </c>
      <c r="H459" s="135"/>
      <c r="J459" s="29"/>
      <c r="AQ459" s="115"/>
    </row>
    <row r="460" spans="1:43" s="114" customFormat="1" ht="13.8">
      <c r="A460" s="53" t="s">
        <v>611</v>
      </c>
      <c r="B460" s="39"/>
      <c r="C460" s="143" t="s">
        <v>480</v>
      </c>
      <c r="D460" s="89" t="s">
        <v>1019</v>
      </c>
      <c r="E460" s="80"/>
      <c r="F460" s="81">
        <f t="shared" si="9"/>
        <v>6.375</v>
      </c>
      <c r="G460" s="92">
        <v>1</v>
      </c>
      <c r="H460" s="135"/>
      <c r="J460" s="29"/>
      <c r="AQ460" s="115"/>
    </row>
    <row r="461" spans="1:43" s="114" customFormat="1" ht="13.8">
      <c r="A461" s="53" t="s">
        <v>613</v>
      </c>
      <c r="B461" s="39"/>
      <c r="C461" s="143" t="s">
        <v>478</v>
      </c>
      <c r="D461" s="89" t="s">
        <v>1019</v>
      </c>
      <c r="E461" s="80"/>
      <c r="F461" s="81">
        <f t="shared" si="9"/>
        <v>6.375</v>
      </c>
      <c r="G461" s="92">
        <v>1</v>
      </c>
      <c r="H461" s="135"/>
      <c r="J461" s="29"/>
      <c r="AQ461" s="115"/>
    </row>
    <row r="462" spans="1:43" s="114" customFormat="1" ht="13.8">
      <c r="A462" s="53" t="s">
        <v>614</v>
      </c>
      <c r="B462" s="39"/>
      <c r="C462" s="143" t="s">
        <v>622</v>
      </c>
      <c r="D462" s="89" t="s">
        <v>1019</v>
      </c>
      <c r="E462" s="80"/>
      <c r="F462" s="81">
        <f t="shared" si="9"/>
        <v>6.375</v>
      </c>
      <c r="G462" s="92">
        <v>1</v>
      </c>
      <c r="H462" s="135"/>
      <c r="J462" s="29"/>
      <c r="AQ462" s="115"/>
    </row>
    <row r="463" spans="1:43" s="114" customFormat="1" ht="13.8">
      <c r="A463" s="53" t="s">
        <v>615</v>
      </c>
      <c r="B463" s="39"/>
      <c r="C463" s="138"/>
      <c r="D463" s="89"/>
      <c r="E463" s="80"/>
      <c r="F463" s="81"/>
      <c r="G463" s="92"/>
      <c r="H463" s="135"/>
      <c r="J463" s="29"/>
      <c r="AQ463" s="115"/>
    </row>
    <row r="464" spans="1:43" s="114" customFormat="1" ht="13.8">
      <c r="A464" s="53" t="s">
        <v>616</v>
      </c>
      <c r="B464" s="39"/>
      <c r="C464" s="136"/>
      <c r="D464" s="131" t="s">
        <v>1063</v>
      </c>
      <c r="E464" s="80"/>
      <c r="F464" s="81"/>
      <c r="G464" s="92"/>
      <c r="H464" s="135"/>
      <c r="J464" s="29"/>
      <c r="AQ464" s="115"/>
    </row>
    <row r="465" spans="1:43" s="114" customFormat="1" ht="13.8">
      <c r="A465" s="53" t="s">
        <v>617</v>
      </c>
      <c r="B465" s="39"/>
      <c r="C465" s="136"/>
      <c r="D465" s="100" t="s">
        <v>1415</v>
      </c>
      <c r="E465" s="42" t="s">
        <v>41</v>
      </c>
      <c r="F465" s="44">
        <f>SUM(F467:F526)</f>
        <v>174.63499999999996</v>
      </c>
      <c r="G465" s="92"/>
      <c r="H465" s="135"/>
      <c r="J465" s="29"/>
      <c r="AQ465" s="115"/>
    </row>
    <row r="466" spans="1:43" s="114" customFormat="1" ht="13.8">
      <c r="A466" s="53" t="s">
        <v>618</v>
      </c>
      <c r="B466" s="39"/>
      <c r="C466" s="132" t="s">
        <v>962</v>
      </c>
      <c r="D466" s="134" t="s">
        <v>1416</v>
      </c>
      <c r="E466" s="80"/>
      <c r="F466" s="81"/>
      <c r="G466" s="92"/>
      <c r="H466" s="135"/>
      <c r="J466" s="29"/>
      <c r="AQ466" s="115"/>
    </row>
    <row r="467" spans="1:43" s="114" customFormat="1" ht="13.8">
      <c r="A467" s="53" t="s">
        <v>619</v>
      </c>
      <c r="B467" s="39"/>
      <c r="C467" s="143" t="s">
        <v>228</v>
      </c>
      <c r="D467" s="89" t="s">
        <v>250</v>
      </c>
      <c r="E467" s="80"/>
      <c r="F467" s="81">
        <f>0.255*14*1</f>
        <v>3.5700000000000003</v>
      </c>
      <c r="G467" s="92">
        <v>1</v>
      </c>
      <c r="H467" s="135"/>
      <c r="J467" s="29"/>
      <c r="AQ467" s="115"/>
    </row>
    <row r="468" spans="1:43" s="114" customFormat="1" ht="13.8">
      <c r="A468" s="53" t="s">
        <v>620</v>
      </c>
      <c r="B468" s="39"/>
      <c r="C468" s="143" t="s">
        <v>226</v>
      </c>
      <c r="D468" s="121" t="s">
        <v>1064</v>
      </c>
      <c r="E468" s="80"/>
      <c r="F468" s="81">
        <f>0.44*10*1</f>
        <v>4.4</v>
      </c>
      <c r="G468" s="92">
        <v>1</v>
      </c>
      <c r="H468" s="135"/>
      <c r="J468" s="29"/>
      <c r="AQ468" s="115"/>
    </row>
    <row r="469" spans="1:43" s="114" customFormat="1" ht="13.8">
      <c r="A469" s="53" t="s">
        <v>621</v>
      </c>
      <c r="B469" s="39"/>
      <c r="C469" s="143" t="s">
        <v>224</v>
      </c>
      <c r="D469" s="89" t="s">
        <v>1051</v>
      </c>
      <c r="E469" s="80"/>
      <c r="F469" s="81">
        <f aca="true" t="shared" si="10" ref="F469">0.255*10*1</f>
        <v>2.55</v>
      </c>
      <c r="G469" s="92">
        <v>1</v>
      </c>
      <c r="H469" s="135"/>
      <c r="J469" s="29"/>
      <c r="AQ469" s="115"/>
    </row>
    <row r="470" spans="1:43" s="114" customFormat="1" ht="13.8">
      <c r="A470" s="53" t="s">
        <v>623</v>
      </c>
      <c r="B470" s="39"/>
      <c r="C470" s="143" t="s">
        <v>228</v>
      </c>
      <c r="D470" s="89" t="s">
        <v>259</v>
      </c>
      <c r="E470" s="80"/>
      <c r="F470" s="81">
        <f>0.255*15*1</f>
        <v>3.825</v>
      </c>
      <c r="G470" s="92">
        <v>1</v>
      </c>
      <c r="H470" s="135"/>
      <c r="J470" s="29"/>
      <c r="AQ470" s="115"/>
    </row>
    <row r="471" spans="1:43" s="114" customFormat="1" ht="13.8">
      <c r="A471" s="53" t="s">
        <v>624</v>
      </c>
      <c r="B471" s="39"/>
      <c r="C471" s="138"/>
      <c r="D471" s="89"/>
      <c r="E471" s="80"/>
      <c r="F471" s="81"/>
      <c r="G471" s="92"/>
      <c r="H471" s="135"/>
      <c r="J471" s="29"/>
      <c r="AQ471" s="115"/>
    </row>
    <row r="472" spans="1:43" s="114" customFormat="1" ht="13.8">
      <c r="A472" s="53" t="s">
        <v>625</v>
      </c>
      <c r="B472" s="39"/>
      <c r="C472" s="132" t="s">
        <v>962</v>
      </c>
      <c r="D472" s="134" t="s">
        <v>1417</v>
      </c>
      <c r="E472" s="80"/>
      <c r="F472" s="81"/>
      <c r="G472" s="92"/>
      <c r="H472" s="135"/>
      <c r="J472" s="29"/>
      <c r="AQ472" s="115"/>
    </row>
    <row r="473" spans="1:43" s="114" customFormat="1" ht="13.8">
      <c r="A473" s="53" t="s">
        <v>626</v>
      </c>
      <c r="B473" s="39"/>
      <c r="C473" s="143" t="s">
        <v>206</v>
      </c>
      <c r="D473" s="89" t="s">
        <v>259</v>
      </c>
      <c r="E473" s="80"/>
      <c r="F473" s="81">
        <f aca="true" t="shared" si="11" ref="F473">0.255*15*1</f>
        <v>3.825</v>
      </c>
      <c r="G473" s="92">
        <v>1</v>
      </c>
      <c r="H473" s="135"/>
      <c r="J473" s="29"/>
      <c r="AQ473" s="115"/>
    </row>
    <row r="474" spans="1:43" s="114" customFormat="1" ht="13.8">
      <c r="A474" s="53" t="s">
        <v>627</v>
      </c>
      <c r="B474" s="39"/>
      <c r="C474" s="143" t="s">
        <v>205</v>
      </c>
      <c r="D474" s="89" t="s">
        <v>989</v>
      </c>
      <c r="E474" s="80"/>
      <c r="F474" s="81">
        <f>0.255*20*1</f>
        <v>5.1</v>
      </c>
      <c r="G474" s="92">
        <v>1</v>
      </c>
      <c r="H474" s="135"/>
      <c r="J474" s="29"/>
      <c r="AQ474" s="115"/>
    </row>
    <row r="475" spans="1:43" s="114" customFormat="1" ht="13.8">
      <c r="A475" s="53" t="s">
        <v>628</v>
      </c>
      <c r="B475" s="39"/>
      <c r="C475" s="143" t="s">
        <v>201</v>
      </c>
      <c r="D475" s="89" t="s">
        <v>1051</v>
      </c>
      <c r="E475" s="80"/>
      <c r="F475" s="81">
        <f>0.255*10*1</f>
        <v>2.55</v>
      </c>
      <c r="G475" s="92">
        <v>1</v>
      </c>
      <c r="H475" s="135"/>
      <c r="J475" s="29"/>
      <c r="AQ475" s="115"/>
    </row>
    <row r="476" spans="1:43" s="114" customFormat="1" ht="13.8">
      <c r="A476" s="53" t="s">
        <v>629</v>
      </c>
      <c r="B476" s="39"/>
      <c r="C476" s="143" t="s">
        <v>203</v>
      </c>
      <c r="D476" s="121" t="s">
        <v>1065</v>
      </c>
      <c r="E476" s="80"/>
      <c r="F476" s="81">
        <f>0.44*6*1</f>
        <v>2.64</v>
      </c>
      <c r="G476" s="92">
        <v>1</v>
      </c>
      <c r="H476" s="135"/>
      <c r="J476" s="29"/>
      <c r="AQ476" s="115"/>
    </row>
    <row r="477" spans="1:43" s="114" customFormat="1" ht="13.8">
      <c r="A477" s="53" t="s">
        <v>630</v>
      </c>
      <c r="B477" s="39"/>
      <c r="C477" s="143" t="s">
        <v>203</v>
      </c>
      <c r="D477" s="89" t="s">
        <v>1066</v>
      </c>
      <c r="E477" s="80"/>
      <c r="F477" s="81">
        <f>0.255*8*1</f>
        <v>2.04</v>
      </c>
      <c r="G477" s="92">
        <v>1</v>
      </c>
      <c r="H477" s="135"/>
      <c r="J477" s="29"/>
      <c r="AQ477" s="115"/>
    </row>
    <row r="478" spans="1:43" s="114" customFormat="1" ht="13.8">
      <c r="A478" s="53" t="s">
        <v>631</v>
      </c>
      <c r="B478" s="39"/>
      <c r="C478" s="143" t="s">
        <v>197</v>
      </c>
      <c r="D478" s="89" t="s">
        <v>250</v>
      </c>
      <c r="E478" s="80"/>
      <c r="F478" s="81">
        <f>0.255*14*1</f>
        <v>3.5700000000000003</v>
      </c>
      <c r="G478" s="92">
        <v>1</v>
      </c>
      <c r="H478" s="135"/>
      <c r="J478" s="29"/>
      <c r="AQ478" s="115"/>
    </row>
    <row r="479" spans="1:43" s="114" customFormat="1" ht="13.8">
      <c r="A479" s="53" t="s">
        <v>632</v>
      </c>
      <c r="B479" s="39"/>
      <c r="C479" s="143" t="s">
        <v>195</v>
      </c>
      <c r="D479" s="89" t="s">
        <v>250</v>
      </c>
      <c r="E479" s="80"/>
      <c r="F479" s="81">
        <f>0.255*14*1</f>
        <v>3.5700000000000003</v>
      </c>
      <c r="G479" s="92">
        <v>1</v>
      </c>
      <c r="H479" s="135"/>
      <c r="J479" s="29"/>
      <c r="AQ479" s="115"/>
    </row>
    <row r="480" spans="1:43" s="114" customFormat="1" ht="13.8">
      <c r="A480" s="53" t="s">
        <v>633</v>
      </c>
      <c r="B480" s="39"/>
      <c r="C480" s="143" t="s">
        <v>193</v>
      </c>
      <c r="D480" s="89" t="s">
        <v>1058</v>
      </c>
      <c r="E480" s="80"/>
      <c r="F480" s="81">
        <f>0.255*21*1</f>
        <v>5.355</v>
      </c>
      <c r="G480" s="92">
        <v>1</v>
      </c>
      <c r="H480" s="135"/>
      <c r="J480" s="29"/>
      <c r="AQ480" s="115"/>
    </row>
    <row r="481" spans="1:43" s="114" customFormat="1" ht="13.8">
      <c r="A481" s="53" t="s">
        <v>634</v>
      </c>
      <c r="B481" s="39"/>
      <c r="C481" s="143" t="s">
        <v>190</v>
      </c>
      <c r="D481" s="89" t="s">
        <v>259</v>
      </c>
      <c r="E481" s="80"/>
      <c r="F481" s="81">
        <f aca="true" t="shared" si="12" ref="F481:F482">0.255*15*1</f>
        <v>3.825</v>
      </c>
      <c r="G481" s="92">
        <v>1</v>
      </c>
      <c r="H481" s="135"/>
      <c r="J481" s="29"/>
      <c r="AQ481" s="115"/>
    </row>
    <row r="482" spans="1:43" s="114" customFormat="1" ht="13.8">
      <c r="A482" s="53" t="s">
        <v>635</v>
      </c>
      <c r="B482" s="39"/>
      <c r="C482" s="143" t="s">
        <v>193</v>
      </c>
      <c r="D482" s="89" t="s">
        <v>259</v>
      </c>
      <c r="E482" s="80"/>
      <c r="F482" s="81">
        <f t="shared" si="12"/>
        <v>3.825</v>
      </c>
      <c r="G482" s="92">
        <v>1</v>
      </c>
      <c r="H482" s="135"/>
      <c r="J482" s="29"/>
      <c r="AQ482" s="115"/>
    </row>
    <row r="483" spans="1:43" s="114" customFormat="1" ht="13.8">
      <c r="A483" s="53" t="s">
        <v>636</v>
      </c>
      <c r="B483" s="39"/>
      <c r="C483" s="143" t="s">
        <v>188</v>
      </c>
      <c r="D483" s="121" t="s">
        <v>1067</v>
      </c>
      <c r="E483" s="80"/>
      <c r="F483" s="81">
        <f>0.44*5*1</f>
        <v>2.2</v>
      </c>
      <c r="G483" s="92">
        <v>1</v>
      </c>
      <c r="H483" s="135"/>
      <c r="J483" s="29"/>
      <c r="AQ483" s="115"/>
    </row>
    <row r="484" spans="1:43" s="114" customFormat="1" ht="13.8">
      <c r="A484" s="53" t="s">
        <v>637</v>
      </c>
      <c r="B484" s="39"/>
      <c r="C484" s="143" t="s">
        <v>186</v>
      </c>
      <c r="D484" s="89" t="s">
        <v>1068</v>
      </c>
      <c r="E484" s="80"/>
      <c r="F484" s="81">
        <f>0.205*9*1</f>
        <v>1.845</v>
      </c>
      <c r="G484" s="92">
        <v>1</v>
      </c>
      <c r="H484" s="135"/>
      <c r="J484" s="29"/>
      <c r="AQ484" s="115"/>
    </row>
    <row r="485" spans="1:43" s="114" customFormat="1" ht="13.8">
      <c r="A485" s="53" t="s">
        <v>638</v>
      </c>
      <c r="B485" s="39"/>
      <c r="C485" s="138"/>
      <c r="D485" s="89"/>
      <c r="E485" s="80"/>
      <c r="F485" s="81"/>
      <c r="G485" s="92"/>
      <c r="H485" s="135"/>
      <c r="J485" s="29"/>
      <c r="AQ485" s="115"/>
    </row>
    <row r="486" spans="1:43" s="114" customFormat="1" ht="13.8">
      <c r="A486" s="53" t="s">
        <v>639</v>
      </c>
      <c r="B486" s="39"/>
      <c r="C486" s="132" t="s">
        <v>962</v>
      </c>
      <c r="D486" s="134" t="s">
        <v>1418</v>
      </c>
      <c r="E486" s="80"/>
      <c r="F486" s="81"/>
      <c r="G486" s="92"/>
      <c r="H486" s="135"/>
      <c r="J486" s="29"/>
      <c r="AQ486" s="115"/>
    </row>
    <row r="487" spans="1:43" s="114" customFormat="1" ht="13.8">
      <c r="A487" s="53" t="s">
        <v>641</v>
      </c>
      <c r="B487" s="39"/>
      <c r="C487" s="132" t="s">
        <v>372</v>
      </c>
      <c r="D487" s="89" t="s">
        <v>1051</v>
      </c>
      <c r="E487" s="80"/>
      <c r="F487" s="81">
        <f>0.255*10*1</f>
        <v>2.55</v>
      </c>
      <c r="G487" s="92">
        <v>1</v>
      </c>
      <c r="H487" s="113"/>
      <c r="J487" s="29"/>
      <c r="AQ487" s="115"/>
    </row>
    <row r="488" spans="1:43" s="114" customFormat="1" ht="13.8">
      <c r="A488" s="53" t="s">
        <v>643</v>
      </c>
      <c r="B488" s="39"/>
      <c r="C488" s="132" t="s">
        <v>1069</v>
      </c>
      <c r="D488" s="89" t="s">
        <v>1051</v>
      </c>
      <c r="E488" s="80"/>
      <c r="F488" s="81">
        <f aca="true" t="shared" si="13" ref="F488:F490">0.255*10*1</f>
        <v>2.55</v>
      </c>
      <c r="G488" s="92">
        <v>1</v>
      </c>
      <c r="H488" s="113"/>
      <c r="J488" s="29"/>
      <c r="AQ488" s="115"/>
    </row>
    <row r="489" spans="1:43" s="114" customFormat="1" ht="13.8">
      <c r="A489" s="53" t="s">
        <v>644</v>
      </c>
      <c r="B489" s="39"/>
      <c r="C489" s="132" t="s">
        <v>1069</v>
      </c>
      <c r="D489" s="89" t="s">
        <v>1070</v>
      </c>
      <c r="E489" s="80"/>
      <c r="F489" s="81">
        <f t="shared" si="13"/>
        <v>2.55</v>
      </c>
      <c r="G489" s="92">
        <v>1</v>
      </c>
      <c r="H489" s="113"/>
      <c r="J489" s="29"/>
      <c r="AQ489" s="115"/>
    </row>
    <row r="490" spans="1:43" s="114" customFormat="1" ht="13.8">
      <c r="A490" s="53" t="s">
        <v>645</v>
      </c>
      <c r="B490" s="39"/>
      <c r="C490" s="132" t="s">
        <v>224</v>
      </c>
      <c r="D490" s="89" t="s">
        <v>1051</v>
      </c>
      <c r="E490" s="80"/>
      <c r="F490" s="81">
        <f t="shared" si="13"/>
        <v>2.55</v>
      </c>
      <c r="G490" s="92">
        <v>1</v>
      </c>
      <c r="H490" s="113"/>
      <c r="J490" s="29"/>
      <c r="AQ490" s="115"/>
    </row>
    <row r="491" spans="1:43" s="114" customFormat="1" ht="13.8">
      <c r="A491" s="53" t="s">
        <v>646</v>
      </c>
      <c r="B491" s="39"/>
      <c r="C491" s="132" t="s">
        <v>224</v>
      </c>
      <c r="D491" s="89" t="s">
        <v>250</v>
      </c>
      <c r="E491" s="80"/>
      <c r="F491" s="81">
        <f>0.255*14*1</f>
        <v>3.5700000000000003</v>
      </c>
      <c r="G491" s="92">
        <v>1</v>
      </c>
      <c r="H491" s="113"/>
      <c r="J491" s="29"/>
      <c r="AQ491" s="115"/>
    </row>
    <row r="492" spans="1:43" s="114" customFormat="1" ht="13.8">
      <c r="A492" s="53" t="s">
        <v>648</v>
      </c>
      <c r="B492" s="39"/>
      <c r="C492" s="132" t="s">
        <v>222</v>
      </c>
      <c r="D492" s="89" t="s">
        <v>250</v>
      </c>
      <c r="E492" s="80"/>
      <c r="F492" s="81">
        <f>0.255*14*1</f>
        <v>3.5700000000000003</v>
      </c>
      <c r="G492" s="92">
        <v>1</v>
      </c>
      <c r="H492" s="113"/>
      <c r="J492" s="29"/>
      <c r="AQ492" s="115"/>
    </row>
    <row r="493" spans="1:43" s="114" customFormat="1" ht="27.6">
      <c r="A493" s="53" t="s">
        <v>649</v>
      </c>
      <c r="B493" s="39"/>
      <c r="C493" s="132" t="s">
        <v>1071</v>
      </c>
      <c r="D493" s="89" t="s">
        <v>1419</v>
      </c>
      <c r="E493" s="42"/>
      <c r="F493" s="43"/>
      <c r="G493" s="92"/>
      <c r="H493" s="113"/>
      <c r="J493" s="29"/>
      <c r="AQ493" s="115"/>
    </row>
    <row r="494" spans="1:43" s="114" customFormat="1" ht="13.8">
      <c r="A494" s="53" t="s">
        <v>651</v>
      </c>
      <c r="B494" s="39"/>
      <c r="C494" s="132" t="s">
        <v>1071</v>
      </c>
      <c r="D494" s="89" t="s">
        <v>964</v>
      </c>
      <c r="E494" s="42"/>
      <c r="F494" s="81">
        <f>0.255*20*2</f>
        <v>10.2</v>
      </c>
      <c r="G494" s="92">
        <v>2</v>
      </c>
      <c r="H494" s="113"/>
      <c r="J494" s="29"/>
      <c r="AQ494" s="115"/>
    </row>
    <row r="495" spans="1:43" s="114" customFormat="1" ht="13.8">
      <c r="A495" s="53" t="s">
        <v>652</v>
      </c>
      <c r="B495" s="39"/>
      <c r="C495" s="132" t="s">
        <v>296</v>
      </c>
      <c r="D495" s="89" t="s">
        <v>250</v>
      </c>
      <c r="E495" s="42"/>
      <c r="F495" s="81">
        <f>0.255*14*1</f>
        <v>3.5700000000000003</v>
      </c>
      <c r="G495" s="92">
        <v>1</v>
      </c>
      <c r="H495" s="113"/>
      <c r="J495" s="29"/>
      <c r="AQ495" s="115"/>
    </row>
    <row r="496" spans="1:43" s="114" customFormat="1" ht="13.8">
      <c r="A496" s="53" t="s">
        <v>653</v>
      </c>
      <c r="B496" s="39"/>
      <c r="C496" s="132" t="s">
        <v>1072</v>
      </c>
      <c r="D496" s="89" t="s">
        <v>1073</v>
      </c>
      <c r="E496" s="80"/>
      <c r="F496" s="81">
        <f>0.205*10*1</f>
        <v>2.05</v>
      </c>
      <c r="G496" s="92">
        <v>1</v>
      </c>
      <c r="H496" s="113"/>
      <c r="J496" s="29"/>
      <c r="AQ496" s="115"/>
    </row>
    <row r="497" spans="1:43" s="114" customFormat="1" ht="13.8">
      <c r="A497" s="53" t="s">
        <v>654</v>
      </c>
      <c r="B497" s="39"/>
      <c r="C497" s="136" t="s">
        <v>296</v>
      </c>
      <c r="D497" s="144" t="s">
        <v>1108</v>
      </c>
      <c r="E497" s="42"/>
      <c r="F497" s="43"/>
      <c r="G497" s="44"/>
      <c r="H497" s="113"/>
      <c r="J497" s="29"/>
      <c r="AQ497" s="115"/>
    </row>
    <row r="498" spans="1:43" s="114" customFormat="1" ht="13.8">
      <c r="A498" s="53" t="s">
        <v>655</v>
      </c>
      <c r="B498" s="39"/>
      <c r="C498" s="136"/>
      <c r="D498" s="144"/>
      <c r="E498" s="42"/>
      <c r="F498" s="43"/>
      <c r="G498" s="44"/>
      <c r="H498" s="113"/>
      <c r="J498" s="29"/>
      <c r="AQ498" s="115"/>
    </row>
    <row r="499" spans="1:43" s="114" customFormat="1" ht="13.8">
      <c r="A499" s="53" t="s">
        <v>656</v>
      </c>
      <c r="B499" s="39"/>
      <c r="C499" s="132" t="s">
        <v>962</v>
      </c>
      <c r="D499" s="134" t="s">
        <v>1420</v>
      </c>
      <c r="E499" s="42"/>
      <c r="F499" s="43"/>
      <c r="G499" s="44"/>
      <c r="H499" s="113"/>
      <c r="J499" s="29"/>
      <c r="AQ499" s="115"/>
    </row>
    <row r="500" spans="1:43" s="114" customFormat="1" ht="13.8">
      <c r="A500" s="53" t="s">
        <v>657</v>
      </c>
      <c r="B500" s="39"/>
      <c r="C500" s="132" t="s">
        <v>234</v>
      </c>
      <c r="D500" s="89" t="s">
        <v>259</v>
      </c>
      <c r="E500" s="80"/>
      <c r="F500" s="81">
        <f>0.255*15*1</f>
        <v>3.825</v>
      </c>
      <c r="G500" s="92">
        <v>1</v>
      </c>
      <c r="H500" s="113"/>
      <c r="J500" s="29"/>
      <c r="AQ500" s="115"/>
    </row>
    <row r="501" spans="1:43" s="114" customFormat="1" ht="13.8">
      <c r="A501" s="53" t="s">
        <v>658</v>
      </c>
      <c r="B501" s="39"/>
      <c r="C501" s="132" t="s">
        <v>233</v>
      </c>
      <c r="D501" s="89" t="s">
        <v>259</v>
      </c>
      <c r="E501" s="80"/>
      <c r="F501" s="81">
        <f aca="true" t="shared" si="14" ref="F501:F502">0.255*15*1</f>
        <v>3.825</v>
      </c>
      <c r="G501" s="92">
        <v>1</v>
      </c>
      <c r="H501" s="113"/>
      <c r="J501" s="29"/>
      <c r="AQ501" s="115"/>
    </row>
    <row r="502" spans="1:43" s="114" customFormat="1" ht="13.8">
      <c r="A502" s="53" t="s">
        <v>659</v>
      </c>
      <c r="B502" s="39"/>
      <c r="C502" s="132" t="s">
        <v>244</v>
      </c>
      <c r="D502" s="89" t="s">
        <v>259</v>
      </c>
      <c r="E502" s="80"/>
      <c r="F502" s="81">
        <f t="shared" si="14"/>
        <v>3.825</v>
      </c>
      <c r="G502" s="92">
        <v>1</v>
      </c>
      <c r="H502" s="113"/>
      <c r="J502" s="29"/>
      <c r="AQ502" s="115"/>
    </row>
    <row r="503" spans="1:43" s="114" customFormat="1" ht="13.8">
      <c r="A503" s="53" t="s">
        <v>660</v>
      </c>
      <c r="B503" s="39"/>
      <c r="C503" s="132" t="s">
        <v>286</v>
      </c>
      <c r="D503" s="89" t="s">
        <v>262</v>
      </c>
      <c r="E503" s="80"/>
      <c r="F503" s="81">
        <f>0.255*16*1</f>
        <v>4.08</v>
      </c>
      <c r="G503" s="92">
        <v>1</v>
      </c>
      <c r="H503" s="113"/>
      <c r="J503" s="29"/>
      <c r="AQ503" s="115"/>
    </row>
    <row r="504" spans="1:43" s="114" customFormat="1" ht="13.8">
      <c r="A504" s="53" t="s">
        <v>661</v>
      </c>
      <c r="B504" s="39"/>
      <c r="C504" s="132" t="s">
        <v>199</v>
      </c>
      <c r="D504" s="121" t="s">
        <v>1074</v>
      </c>
      <c r="E504" s="80"/>
      <c r="F504" s="81">
        <f>0.44*15*1</f>
        <v>6.6</v>
      </c>
      <c r="G504" s="92">
        <v>1</v>
      </c>
      <c r="H504" s="113"/>
      <c r="J504" s="29"/>
      <c r="AQ504" s="115"/>
    </row>
    <row r="505" spans="1:43" s="114" customFormat="1" ht="13.8">
      <c r="A505" s="53" t="s">
        <v>662</v>
      </c>
      <c r="B505" s="39"/>
      <c r="C505" s="132" t="s">
        <v>246</v>
      </c>
      <c r="D505" s="89" t="s">
        <v>968</v>
      </c>
      <c r="E505" s="80"/>
      <c r="F505" s="81">
        <f>0.205*10*1</f>
        <v>2.05</v>
      </c>
      <c r="G505" s="92">
        <v>1</v>
      </c>
      <c r="H505" s="113"/>
      <c r="J505" s="29"/>
      <c r="AQ505" s="115"/>
    </row>
    <row r="506" spans="1:43" s="114" customFormat="1" ht="13.8">
      <c r="A506" s="53" t="s">
        <v>663</v>
      </c>
      <c r="B506" s="39"/>
      <c r="C506" s="132" t="s">
        <v>186</v>
      </c>
      <c r="D506" s="89" t="s">
        <v>259</v>
      </c>
      <c r="E506" s="80"/>
      <c r="F506" s="81">
        <f aca="true" t="shared" si="15" ref="F506">0.255*15*1</f>
        <v>3.825</v>
      </c>
      <c r="G506" s="92">
        <v>1</v>
      </c>
      <c r="H506" s="113"/>
      <c r="J506" s="29"/>
      <c r="AQ506" s="115"/>
    </row>
    <row r="507" spans="1:43" s="114" customFormat="1" ht="13.8">
      <c r="A507" s="53" t="s">
        <v>664</v>
      </c>
      <c r="B507" s="39"/>
      <c r="C507" s="132" t="s">
        <v>236</v>
      </c>
      <c r="D507" s="121" t="s">
        <v>1074</v>
      </c>
      <c r="E507" s="80"/>
      <c r="F507" s="81">
        <f>0.44*15*1</f>
        <v>6.6</v>
      </c>
      <c r="G507" s="92">
        <v>1</v>
      </c>
      <c r="H507" s="113"/>
      <c r="J507" s="29"/>
      <c r="AQ507" s="115"/>
    </row>
    <row r="508" spans="1:43" s="114" customFormat="1" ht="13.8">
      <c r="A508" s="53" t="s">
        <v>665</v>
      </c>
      <c r="B508" s="39"/>
      <c r="C508" s="136"/>
      <c r="D508" s="144"/>
      <c r="E508" s="42"/>
      <c r="F508" s="43"/>
      <c r="G508" s="44"/>
      <c r="H508" s="113"/>
      <c r="J508" s="29"/>
      <c r="AQ508" s="115"/>
    </row>
    <row r="509" spans="1:43" s="114" customFormat="1" ht="13.8">
      <c r="A509" s="53" t="s">
        <v>666</v>
      </c>
      <c r="B509" s="39"/>
      <c r="C509" s="132" t="s">
        <v>962</v>
      </c>
      <c r="D509" s="134" t="s">
        <v>1421</v>
      </c>
      <c r="E509" s="42"/>
      <c r="F509" s="43"/>
      <c r="G509" s="44"/>
      <c r="H509" s="113"/>
      <c r="J509" s="29"/>
      <c r="AQ509" s="115"/>
    </row>
    <row r="510" spans="1:43" s="114" customFormat="1" ht="13.8">
      <c r="A510" s="53" t="s">
        <v>667</v>
      </c>
      <c r="B510" s="39"/>
      <c r="C510" s="132" t="s">
        <v>350</v>
      </c>
      <c r="D510" s="89" t="s">
        <v>1051</v>
      </c>
      <c r="E510" s="42"/>
      <c r="F510" s="81">
        <f>0.255*10*1</f>
        <v>2.55</v>
      </c>
      <c r="G510" s="92">
        <v>1</v>
      </c>
      <c r="H510" s="113"/>
      <c r="J510" s="29"/>
      <c r="AQ510" s="115"/>
    </row>
    <row r="511" spans="1:43" s="114" customFormat="1" ht="13.8">
      <c r="A511" s="53" t="s">
        <v>668</v>
      </c>
      <c r="B511" s="39"/>
      <c r="C511" s="132" t="s">
        <v>573</v>
      </c>
      <c r="D511" s="89" t="s">
        <v>248</v>
      </c>
      <c r="E511" s="42"/>
      <c r="F511" s="81">
        <f>0.255*12*1</f>
        <v>3.06</v>
      </c>
      <c r="G511" s="92">
        <v>1</v>
      </c>
      <c r="H511" s="113"/>
      <c r="J511" s="29"/>
      <c r="AQ511" s="115"/>
    </row>
    <row r="512" spans="1:43" s="114" customFormat="1" ht="13.8">
      <c r="A512" s="53" t="s">
        <v>669</v>
      </c>
      <c r="B512" s="39"/>
      <c r="C512" s="132" t="s">
        <v>573</v>
      </c>
      <c r="D512" s="89" t="s">
        <v>1022</v>
      </c>
      <c r="E512" s="42"/>
      <c r="F512" s="81">
        <f>0.255*23*1</f>
        <v>5.865</v>
      </c>
      <c r="G512" s="92">
        <v>1</v>
      </c>
      <c r="H512" s="113"/>
      <c r="J512" s="29"/>
      <c r="AQ512" s="115"/>
    </row>
    <row r="513" spans="1:43" s="114" customFormat="1" ht="13.8">
      <c r="A513" s="53" t="s">
        <v>673</v>
      </c>
      <c r="B513" s="39"/>
      <c r="C513" s="143" t="s">
        <v>396</v>
      </c>
      <c r="D513" s="89" t="s">
        <v>1066</v>
      </c>
      <c r="E513" s="42"/>
      <c r="F513" s="81">
        <f>0.255*8*1</f>
        <v>2.04</v>
      </c>
      <c r="G513" s="92">
        <v>1</v>
      </c>
      <c r="H513" s="113"/>
      <c r="J513" s="29"/>
      <c r="AQ513" s="115"/>
    </row>
    <row r="514" spans="1:43" s="114" customFormat="1" ht="13.8">
      <c r="A514" s="53" t="s">
        <v>674</v>
      </c>
      <c r="B514" s="39"/>
      <c r="C514" s="143" t="s">
        <v>396</v>
      </c>
      <c r="D514" s="89" t="s">
        <v>1051</v>
      </c>
      <c r="E514" s="42"/>
      <c r="F514" s="81">
        <f>0.255*10*1</f>
        <v>2.55</v>
      </c>
      <c r="G514" s="92">
        <v>1</v>
      </c>
      <c r="H514" s="113"/>
      <c r="J514" s="29"/>
      <c r="AQ514" s="115"/>
    </row>
    <row r="515" spans="1:43" s="114" customFormat="1" ht="13.8">
      <c r="A515" s="53" t="s">
        <v>677</v>
      </c>
      <c r="B515" s="39"/>
      <c r="C515" s="143" t="s">
        <v>398</v>
      </c>
      <c r="D515" s="89" t="s">
        <v>1075</v>
      </c>
      <c r="E515" s="80"/>
      <c r="F515" s="81">
        <f>0.205*11*1</f>
        <v>2.255</v>
      </c>
      <c r="G515" s="92">
        <v>1</v>
      </c>
      <c r="H515" s="113"/>
      <c r="J515" s="29"/>
      <c r="AQ515" s="115"/>
    </row>
    <row r="516" spans="1:43" s="114" customFormat="1" ht="13.8">
      <c r="A516" s="53" t="s">
        <v>680</v>
      </c>
      <c r="B516" s="39"/>
      <c r="C516" s="143" t="s">
        <v>394</v>
      </c>
      <c r="D516" s="121" t="s">
        <v>1076</v>
      </c>
      <c r="E516" s="80"/>
      <c r="F516" s="81">
        <f>0.44*21*1</f>
        <v>9.24</v>
      </c>
      <c r="G516" s="92">
        <v>1</v>
      </c>
      <c r="H516" s="135"/>
      <c r="J516" s="29"/>
      <c r="AQ516" s="115"/>
    </row>
    <row r="517" spans="1:43" s="114" customFormat="1" ht="13.8">
      <c r="A517" s="53" t="s">
        <v>681</v>
      </c>
      <c r="B517" s="39"/>
      <c r="C517" s="143" t="s">
        <v>393</v>
      </c>
      <c r="D517" s="89" t="s">
        <v>1077</v>
      </c>
      <c r="E517" s="80"/>
      <c r="F517" s="81">
        <f>0.205*6*1</f>
        <v>1.23</v>
      </c>
      <c r="G517" s="92">
        <v>1</v>
      </c>
      <c r="H517" s="135"/>
      <c r="J517" s="29"/>
      <c r="AQ517" s="115"/>
    </row>
    <row r="518" spans="1:43" s="114" customFormat="1" ht="13.8">
      <c r="A518" s="53" t="s">
        <v>683</v>
      </c>
      <c r="B518" s="39"/>
      <c r="C518" s="143" t="s">
        <v>393</v>
      </c>
      <c r="D518" s="89" t="s">
        <v>1078</v>
      </c>
      <c r="E518" s="80"/>
      <c r="F518" s="81">
        <f>0.205*7*1</f>
        <v>1.4349999999999998</v>
      </c>
      <c r="G518" s="92">
        <v>1</v>
      </c>
      <c r="H518" s="135"/>
      <c r="J518" s="29"/>
      <c r="AQ518" s="115"/>
    </row>
    <row r="519" spans="1:43" s="114" customFormat="1" ht="13.8">
      <c r="A519" s="53" t="s">
        <v>684</v>
      </c>
      <c r="B519" s="39"/>
      <c r="C519" s="138"/>
      <c r="D519" s="89"/>
      <c r="E519" s="80"/>
      <c r="F519" s="81"/>
      <c r="G519" s="92"/>
      <c r="H519" s="135"/>
      <c r="J519" s="29"/>
      <c r="AQ519" s="115"/>
    </row>
    <row r="520" spans="1:43" s="114" customFormat="1" ht="13.8">
      <c r="A520" s="53" t="s">
        <v>685</v>
      </c>
      <c r="B520" s="39"/>
      <c r="C520" s="132" t="s">
        <v>962</v>
      </c>
      <c r="D520" s="134" t="s">
        <v>1422</v>
      </c>
      <c r="E520" s="80"/>
      <c r="F520" s="81"/>
      <c r="G520" s="92"/>
      <c r="H520" s="135"/>
      <c r="J520" s="29"/>
      <c r="AQ520" s="115"/>
    </row>
    <row r="521" spans="1:43" s="114" customFormat="1" ht="13.8">
      <c r="A521" s="53" t="s">
        <v>687</v>
      </c>
      <c r="B521" s="39"/>
      <c r="C521" s="143" t="s">
        <v>496</v>
      </c>
      <c r="D521" s="89" t="s">
        <v>973</v>
      </c>
      <c r="E521" s="42"/>
      <c r="F521" s="81">
        <f>0.255*18*1</f>
        <v>4.59</v>
      </c>
      <c r="G521" s="92">
        <v>1</v>
      </c>
      <c r="H521" s="135"/>
      <c r="J521" s="29"/>
      <c r="AQ521" s="115"/>
    </row>
    <row r="522" spans="1:43" s="114" customFormat="1" ht="13.8">
      <c r="A522" s="53" t="s">
        <v>688</v>
      </c>
      <c r="B522" s="39"/>
      <c r="C522" s="143" t="s">
        <v>526</v>
      </c>
      <c r="D522" s="89" t="s">
        <v>248</v>
      </c>
      <c r="E522" s="42"/>
      <c r="F522" s="81">
        <f>0.255*12*1</f>
        <v>3.06</v>
      </c>
      <c r="G522" s="92">
        <v>1</v>
      </c>
      <c r="H522" s="135"/>
      <c r="J522" s="29"/>
      <c r="AQ522" s="115"/>
    </row>
    <row r="523" spans="1:43" s="114" customFormat="1" ht="13.8">
      <c r="A523" s="53" t="s">
        <v>689</v>
      </c>
      <c r="B523" s="39"/>
      <c r="C523" s="143" t="s">
        <v>526</v>
      </c>
      <c r="D523" s="89" t="s">
        <v>250</v>
      </c>
      <c r="E523" s="42"/>
      <c r="F523" s="81">
        <f>0.255*14*1</f>
        <v>3.5700000000000003</v>
      </c>
      <c r="G523" s="92">
        <v>1</v>
      </c>
      <c r="H523" s="135"/>
      <c r="J523" s="29"/>
      <c r="AQ523" s="115"/>
    </row>
    <row r="524" spans="1:43" s="114" customFormat="1" ht="13.8">
      <c r="A524" s="53" t="s">
        <v>690</v>
      </c>
      <c r="B524" s="39"/>
      <c r="C524" s="143" t="s">
        <v>527</v>
      </c>
      <c r="D524" s="89" t="s">
        <v>1079</v>
      </c>
      <c r="E524" s="42"/>
      <c r="F524" s="81">
        <f>0.255*9*1</f>
        <v>2.295</v>
      </c>
      <c r="G524" s="92">
        <v>1</v>
      </c>
      <c r="H524" s="135"/>
      <c r="J524" s="29"/>
      <c r="AQ524" s="115"/>
    </row>
    <row r="525" spans="1:43" s="114" customFormat="1" ht="13.8">
      <c r="A525" s="53" t="s">
        <v>691</v>
      </c>
      <c r="B525" s="39"/>
      <c r="C525" s="143" t="s">
        <v>527</v>
      </c>
      <c r="D525" s="89" t="s">
        <v>978</v>
      </c>
      <c r="E525" s="42"/>
      <c r="F525" s="81">
        <f>0.255*19*1</f>
        <v>4.845</v>
      </c>
      <c r="G525" s="92">
        <v>1</v>
      </c>
      <c r="H525" s="135"/>
      <c r="J525" s="29"/>
      <c r="AQ525" s="115"/>
    </row>
    <row r="526" spans="1:43" s="114" customFormat="1" ht="13.8">
      <c r="A526" s="53" t="s">
        <v>693</v>
      </c>
      <c r="B526" s="39"/>
      <c r="C526" s="143" t="s">
        <v>455</v>
      </c>
      <c r="D526" s="89" t="s">
        <v>250</v>
      </c>
      <c r="E526" s="42"/>
      <c r="F526" s="81">
        <f>0.255*14*1</f>
        <v>3.5700000000000003</v>
      </c>
      <c r="G526" s="92">
        <v>1</v>
      </c>
      <c r="H526" s="135"/>
      <c r="J526" s="29"/>
      <c r="AQ526" s="115"/>
    </row>
    <row r="527" spans="1:43" s="114" customFormat="1" ht="13.8">
      <c r="A527" s="53" t="s">
        <v>695</v>
      </c>
      <c r="B527" s="39"/>
      <c r="C527" s="138"/>
      <c r="D527" s="89"/>
      <c r="E527" s="80"/>
      <c r="F527" s="81"/>
      <c r="G527" s="92"/>
      <c r="H527" s="135"/>
      <c r="J527" s="29"/>
      <c r="AQ527" s="115"/>
    </row>
    <row r="528" spans="1:43" s="114" customFormat="1" ht="13.8">
      <c r="A528" s="53" t="s">
        <v>696</v>
      </c>
      <c r="B528" s="39"/>
      <c r="C528" s="136"/>
      <c r="D528" s="131" t="s">
        <v>1080</v>
      </c>
      <c r="E528" s="80"/>
      <c r="F528" s="81"/>
      <c r="G528" s="92"/>
      <c r="H528" s="135"/>
      <c r="J528" s="29"/>
      <c r="AQ528" s="115"/>
    </row>
    <row r="529" spans="1:43" s="114" customFormat="1" ht="13.8">
      <c r="A529" s="53" t="s">
        <v>697</v>
      </c>
      <c r="B529" s="39"/>
      <c r="C529" s="136"/>
      <c r="D529" s="100" t="s">
        <v>1423</v>
      </c>
      <c r="E529" s="42" t="s">
        <v>41</v>
      </c>
      <c r="F529" s="44">
        <f>SUM(F531:F563)</f>
        <v>135.53500000000003</v>
      </c>
      <c r="G529" s="92"/>
      <c r="H529" s="135"/>
      <c r="J529" s="29"/>
      <c r="AQ529" s="115"/>
    </row>
    <row r="530" spans="1:43" s="114" customFormat="1" ht="13.8">
      <c r="A530" s="53" t="s">
        <v>700</v>
      </c>
      <c r="B530" s="39"/>
      <c r="C530" s="132" t="s">
        <v>962</v>
      </c>
      <c r="D530" s="134" t="s">
        <v>1084</v>
      </c>
      <c r="E530" s="80"/>
      <c r="F530" s="81"/>
      <c r="G530" s="92"/>
      <c r="H530" s="135"/>
      <c r="J530" s="29"/>
      <c r="AQ530" s="115"/>
    </row>
    <row r="531" spans="1:43" s="114" customFormat="1" ht="13.8">
      <c r="A531" s="53" t="s">
        <v>703</v>
      </c>
      <c r="B531" s="39"/>
      <c r="C531" s="143" t="s">
        <v>1081</v>
      </c>
      <c r="D531" s="89" t="s">
        <v>259</v>
      </c>
      <c r="E531" s="80"/>
      <c r="F531" s="81">
        <f>0.255*15*1</f>
        <v>3.825</v>
      </c>
      <c r="G531" s="92">
        <v>1</v>
      </c>
      <c r="H531" s="135"/>
      <c r="J531" s="29"/>
      <c r="AQ531" s="115"/>
    </row>
    <row r="532" spans="1:43" s="114" customFormat="1" ht="13.8">
      <c r="A532" s="53" t="s">
        <v>705</v>
      </c>
      <c r="B532" s="39"/>
      <c r="C532" s="143" t="s">
        <v>1081</v>
      </c>
      <c r="D532" s="89" t="s">
        <v>1051</v>
      </c>
      <c r="E532" s="80"/>
      <c r="F532" s="81">
        <f>0.255*10*1</f>
        <v>2.55</v>
      </c>
      <c r="G532" s="92">
        <v>1</v>
      </c>
      <c r="H532" s="135"/>
      <c r="J532" s="29"/>
      <c r="AQ532" s="115"/>
    </row>
    <row r="533" spans="1:43" s="114" customFormat="1" ht="13.8">
      <c r="A533" s="53" t="s">
        <v>708</v>
      </c>
      <c r="B533" s="39"/>
      <c r="C533" s="143" t="s">
        <v>182</v>
      </c>
      <c r="D533" s="89" t="s">
        <v>1082</v>
      </c>
      <c r="E533" s="80"/>
      <c r="F533" s="81">
        <f>0.255*10*2</f>
        <v>5.1</v>
      </c>
      <c r="G533" s="92">
        <v>2</v>
      </c>
      <c r="H533" s="135"/>
      <c r="J533" s="29"/>
      <c r="AQ533" s="115"/>
    </row>
    <row r="534" spans="1:43" s="114" customFormat="1" ht="13.8">
      <c r="A534" s="53" t="s">
        <v>710</v>
      </c>
      <c r="B534" s="39"/>
      <c r="C534" s="143" t="s">
        <v>282</v>
      </c>
      <c r="D534" s="89" t="s">
        <v>1083</v>
      </c>
      <c r="E534" s="80"/>
      <c r="F534" s="81">
        <f>0.255*10*3</f>
        <v>7.6499999999999995</v>
      </c>
      <c r="G534" s="92">
        <v>3</v>
      </c>
      <c r="H534" s="135"/>
      <c r="J534" s="29"/>
      <c r="AQ534" s="115"/>
    </row>
    <row r="535" spans="1:43" s="114" customFormat="1" ht="13.8">
      <c r="A535" s="53" t="s">
        <v>712</v>
      </c>
      <c r="B535" s="39"/>
      <c r="C535" s="143" t="s">
        <v>282</v>
      </c>
      <c r="D535" s="89" t="s">
        <v>989</v>
      </c>
      <c r="E535" s="80"/>
      <c r="F535" s="81">
        <f>0.255*20*1</f>
        <v>5.1</v>
      </c>
      <c r="G535" s="92">
        <v>1</v>
      </c>
      <c r="H535" s="135"/>
      <c r="J535" s="29"/>
      <c r="AQ535" s="115"/>
    </row>
    <row r="536" spans="1:43" s="114" customFormat="1" ht="13.8">
      <c r="A536" s="53" t="s">
        <v>713</v>
      </c>
      <c r="B536" s="39"/>
      <c r="C536" s="138"/>
      <c r="D536" s="89"/>
      <c r="E536" s="80"/>
      <c r="F536" s="81"/>
      <c r="G536" s="92"/>
      <c r="H536" s="135"/>
      <c r="J536" s="29"/>
      <c r="AQ536" s="115"/>
    </row>
    <row r="537" spans="1:43" s="114" customFormat="1" ht="13.8">
      <c r="A537" s="53" t="s">
        <v>715</v>
      </c>
      <c r="B537" s="39"/>
      <c r="C537" s="132" t="s">
        <v>962</v>
      </c>
      <c r="D537" s="134" t="s">
        <v>1085</v>
      </c>
      <c r="E537" s="80"/>
      <c r="F537" s="81"/>
      <c r="G537" s="92"/>
      <c r="H537" s="135"/>
      <c r="J537" s="29"/>
      <c r="AQ537" s="115"/>
    </row>
    <row r="538" spans="1:43" s="114" customFormat="1" ht="13.8">
      <c r="A538" s="53" t="s">
        <v>717</v>
      </c>
      <c r="B538" s="39"/>
      <c r="C538" s="143" t="s">
        <v>301</v>
      </c>
      <c r="D538" s="89" t="s">
        <v>1082</v>
      </c>
      <c r="E538" s="80"/>
      <c r="F538" s="81">
        <f>0.255*10*2</f>
        <v>5.1</v>
      </c>
      <c r="G538" s="92">
        <v>2</v>
      </c>
      <c r="H538" s="135"/>
      <c r="J538" s="29"/>
      <c r="AQ538" s="115"/>
    </row>
    <row r="539" spans="1:43" s="114" customFormat="1" ht="13.8">
      <c r="A539" s="53" t="s">
        <v>719</v>
      </c>
      <c r="B539" s="39"/>
      <c r="C539" s="143" t="s">
        <v>1060</v>
      </c>
      <c r="D539" s="89" t="s">
        <v>1086</v>
      </c>
      <c r="E539" s="80"/>
      <c r="F539" s="81">
        <f>0.255*10*4</f>
        <v>10.2</v>
      </c>
      <c r="G539" s="92">
        <v>4</v>
      </c>
      <c r="H539" s="135"/>
      <c r="J539" s="29"/>
      <c r="AQ539" s="115"/>
    </row>
    <row r="540" spans="1:43" s="114" customFormat="1" ht="13.8">
      <c r="A540" s="53" t="s">
        <v>721</v>
      </c>
      <c r="B540" s="39"/>
      <c r="C540" s="143" t="s">
        <v>1060</v>
      </c>
      <c r="D540" s="89" t="s">
        <v>1053</v>
      </c>
      <c r="E540" s="80"/>
      <c r="F540" s="81">
        <f>0.255*11*1</f>
        <v>2.805</v>
      </c>
      <c r="G540" s="92">
        <v>1</v>
      </c>
      <c r="H540" s="135"/>
      <c r="J540" s="29"/>
      <c r="AQ540" s="115"/>
    </row>
    <row r="541" spans="1:43" s="114" customFormat="1" ht="13.8">
      <c r="A541" s="53" t="s">
        <v>723</v>
      </c>
      <c r="B541" s="39"/>
      <c r="C541" s="138"/>
      <c r="D541" s="89"/>
      <c r="E541" s="80"/>
      <c r="F541" s="81"/>
      <c r="G541" s="92"/>
      <c r="H541" s="135"/>
      <c r="J541" s="29"/>
      <c r="AQ541" s="115"/>
    </row>
    <row r="542" spans="1:43" s="114" customFormat="1" ht="13.8">
      <c r="A542" s="53" t="s">
        <v>725</v>
      </c>
      <c r="B542" s="39"/>
      <c r="C542" s="132" t="s">
        <v>962</v>
      </c>
      <c r="D542" s="134" t="s">
        <v>1087</v>
      </c>
      <c r="E542" s="80"/>
      <c r="F542" s="81"/>
      <c r="G542" s="92"/>
      <c r="H542" s="135"/>
      <c r="J542" s="29"/>
      <c r="AQ542" s="115"/>
    </row>
    <row r="543" spans="1:43" s="114" customFormat="1" ht="13.8">
      <c r="A543" s="53" t="s">
        <v>727</v>
      </c>
      <c r="B543" s="39"/>
      <c r="C543" s="143" t="s">
        <v>236</v>
      </c>
      <c r="D543" s="89" t="s">
        <v>989</v>
      </c>
      <c r="E543" s="80"/>
      <c r="F543" s="81">
        <f>0.255*20*1</f>
        <v>5.1</v>
      </c>
      <c r="G543" s="92">
        <v>1</v>
      </c>
      <c r="H543" s="135"/>
      <c r="J543" s="29"/>
      <c r="AQ543" s="115"/>
    </row>
    <row r="544" spans="1:43" s="114" customFormat="1" ht="13.8">
      <c r="A544" s="53" t="s">
        <v>729</v>
      </c>
      <c r="B544" s="39"/>
      <c r="C544" s="143" t="s">
        <v>236</v>
      </c>
      <c r="D544" s="89" t="s">
        <v>1079</v>
      </c>
      <c r="E544" s="80"/>
      <c r="F544" s="81">
        <f>0.255*9*1</f>
        <v>2.295</v>
      </c>
      <c r="G544" s="92">
        <v>1</v>
      </c>
      <c r="H544" s="135"/>
      <c r="J544" s="29"/>
      <c r="AQ544" s="115"/>
    </row>
    <row r="545" spans="1:43" s="114" customFormat="1" ht="13.8">
      <c r="A545" s="53" t="s">
        <v>730</v>
      </c>
      <c r="B545" s="39"/>
      <c r="C545" s="143" t="s">
        <v>234</v>
      </c>
      <c r="D545" s="89" t="s">
        <v>1086</v>
      </c>
      <c r="E545" s="80"/>
      <c r="F545" s="81">
        <f>0.255*10*4</f>
        <v>10.2</v>
      </c>
      <c r="G545" s="92">
        <v>4</v>
      </c>
      <c r="H545" s="135"/>
      <c r="J545" s="29"/>
      <c r="AQ545" s="115"/>
    </row>
    <row r="546" spans="1:43" s="114" customFormat="1" ht="13.8">
      <c r="A546" s="53" t="s">
        <v>732</v>
      </c>
      <c r="B546" s="39"/>
      <c r="C546" s="143" t="s">
        <v>184</v>
      </c>
      <c r="D546" s="89" t="s">
        <v>1017</v>
      </c>
      <c r="E546" s="80"/>
      <c r="F546" s="81">
        <f>0.255*25*2</f>
        <v>12.75</v>
      </c>
      <c r="G546" s="92">
        <v>2</v>
      </c>
      <c r="H546" s="135"/>
      <c r="J546" s="29"/>
      <c r="AQ546" s="115"/>
    </row>
    <row r="547" spans="1:43" s="114" customFormat="1" ht="13.8">
      <c r="A547" s="53" t="s">
        <v>734</v>
      </c>
      <c r="B547" s="39"/>
      <c r="C547" s="138"/>
      <c r="D547" s="89"/>
      <c r="E547" s="80"/>
      <c r="F547" s="81"/>
      <c r="G547" s="92"/>
      <c r="H547" s="135"/>
      <c r="J547" s="29"/>
      <c r="AQ547" s="115"/>
    </row>
    <row r="548" spans="1:43" s="114" customFormat="1" ht="13.8">
      <c r="A548" s="53" t="s">
        <v>736</v>
      </c>
      <c r="B548" s="39"/>
      <c r="C548" s="132" t="s">
        <v>962</v>
      </c>
      <c r="D548" s="134" t="s">
        <v>1088</v>
      </c>
      <c r="E548" s="80"/>
      <c r="F548" s="81"/>
      <c r="G548" s="92"/>
      <c r="H548" s="135"/>
      <c r="J548" s="29"/>
      <c r="AQ548" s="115"/>
    </row>
    <row r="549" spans="1:43" s="114" customFormat="1" ht="13.8">
      <c r="A549" s="53" t="s">
        <v>738</v>
      </c>
      <c r="B549" s="39"/>
      <c r="C549" s="143" t="s">
        <v>391</v>
      </c>
      <c r="D549" s="89" t="s">
        <v>1089</v>
      </c>
      <c r="E549" s="80"/>
      <c r="F549" s="81">
        <f>0.255*11*2</f>
        <v>5.61</v>
      </c>
      <c r="G549" s="92">
        <v>2</v>
      </c>
      <c r="H549" s="135"/>
      <c r="J549" s="29"/>
      <c r="AQ549" s="115"/>
    </row>
    <row r="550" spans="1:43" s="114" customFormat="1" ht="13.8">
      <c r="A550" s="53" t="s">
        <v>739</v>
      </c>
      <c r="B550" s="39"/>
      <c r="C550" s="143" t="s">
        <v>383</v>
      </c>
      <c r="D550" s="89" t="s">
        <v>1089</v>
      </c>
      <c r="E550" s="80"/>
      <c r="F550" s="81">
        <f>0.255*11*2</f>
        <v>5.61</v>
      </c>
      <c r="G550" s="92">
        <v>2</v>
      </c>
      <c r="H550" s="135"/>
      <c r="J550" s="29"/>
      <c r="AQ550" s="115"/>
    </row>
    <row r="551" spans="1:43" s="114" customFormat="1" ht="13.8">
      <c r="A551" s="53" t="s">
        <v>741</v>
      </c>
      <c r="B551" s="39"/>
      <c r="C551" s="143" t="s">
        <v>389</v>
      </c>
      <c r="D551" s="89" t="s">
        <v>1082</v>
      </c>
      <c r="E551" s="80"/>
      <c r="F551" s="81">
        <f>0.255*10*2</f>
        <v>5.1</v>
      </c>
      <c r="G551" s="92">
        <v>2</v>
      </c>
      <c r="H551" s="135"/>
      <c r="J551" s="29"/>
      <c r="AQ551" s="115"/>
    </row>
    <row r="552" spans="1:43" s="114" customFormat="1" ht="13.8">
      <c r="A552" s="53" t="s">
        <v>742</v>
      </c>
      <c r="B552" s="39"/>
      <c r="C552" s="143" t="s">
        <v>349</v>
      </c>
      <c r="D552" s="121" t="s">
        <v>1090</v>
      </c>
      <c r="E552" s="80"/>
      <c r="F552" s="81">
        <f>0.185*20*1</f>
        <v>3.7</v>
      </c>
      <c r="G552" s="92">
        <v>1</v>
      </c>
      <c r="H552" s="135"/>
      <c r="J552" s="29"/>
      <c r="AQ552" s="115"/>
    </row>
    <row r="553" spans="1:43" s="114" customFormat="1" ht="13.8">
      <c r="A553" s="53" t="s">
        <v>743</v>
      </c>
      <c r="B553" s="39"/>
      <c r="C553" s="138"/>
      <c r="D553" s="89"/>
      <c r="E553" s="80"/>
      <c r="F553" s="81"/>
      <c r="G553" s="92"/>
      <c r="H553" s="135"/>
      <c r="J553" s="29"/>
      <c r="AQ553" s="115"/>
    </row>
    <row r="554" spans="1:43" s="114" customFormat="1" ht="13.8">
      <c r="A554" s="53" t="s">
        <v>745</v>
      </c>
      <c r="B554" s="39"/>
      <c r="C554" s="132" t="s">
        <v>962</v>
      </c>
      <c r="D554" s="134" t="s">
        <v>1091</v>
      </c>
      <c r="E554" s="80"/>
      <c r="F554" s="81"/>
      <c r="G554" s="92"/>
      <c r="H554" s="135"/>
      <c r="J554" s="29"/>
      <c r="AQ554" s="115"/>
    </row>
    <row r="555" spans="1:43" s="114" customFormat="1" ht="13.8">
      <c r="A555" s="53" t="s">
        <v>747</v>
      </c>
      <c r="B555" s="39"/>
      <c r="C555" s="143" t="s">
        <v>527</v>
      </c>
      <c r="D555" s="89" t="s">
        <v>989</v>
      </c>
      <c r="E555" s="80"/>
      <c r="F555" s="81">
        <f>0.255*20*1</f>
        <v>5.1</v>
      </c>
      <c r="G555" s="92">
        <v>1</v>
      </c>
      <c r="H555" s="135"/>
      <c r="J555" s="29"/>
      <c r="AQ555" s="115"/>
    </row>
    <row r="556" spans="1:43" s="114" customFormat="1" ht="13.8">
      <c r="A556" s="53" t="s">
        <v>748</v>
      </c>
      <c r="B556" s="39"/>
      <c r="C556" s="143" t="s">
        <v>527</v>
      </c>
      <c r="D556" s="89" t="s">
        <v>259</v>
      </c>
      <c r="E556" s="80"/>
      <c r="F556" s="81">
        <f>0.255*15*1</f>
        <v>3.825</v>
      </c>
      <c r="G556" s="92">
        <v>1</v>
      </c>
      <c r="H556" s="135"/>
      <c r="J556" s="29"/>
      <c r="AQ556" s="115"/>
    </row>
    <row r="557" spans="1:43" s="114" customFormat="1" ht="13.8">
      <c r="A557" s="53" t="s">
        <v>750</v>
      </c>
      <c r="B557" s="39"/>
      <c r="C557" s="143" t="s">
        <v>526</v>
      </c>
      <c r="D557" s="89" t="s">
        <v>1051</v>
      </c>
      <c r="E557" s="80"/>
      <c r="F557" s="81">
        <f>0.255*10*1</f>
        <v>2.55</v>
      </c>
      <c r="G557" s="92">
        <v>1</v>
      </c>
      <c r="H557" s="135"/>
      <c r="J557" s="29"/>
      <c r="AQ557" s="115"/>
    </row>
    <row r="558" spans="1:43" s="114" customFormat="1" ht="13.8">
      <c r="A558" s="53" t="s">
        <v>752</v>
      </c>
      <c r="B558" s="39"/>
      <c r="C558" s="143" t="s">
        <v>526</v>
      </c>
      <c r="D558" s="89" t="s">
        <v>1092</v>
      </c>
      <c r="E558" s="80"/>
      <c r="F558" s="81">
        <f>0.255*14*3</f>
        <v>10.71</v>
      </c>
      <c r="G558" s="92">
        <v>3</v>
      </c>
      <c r="H558" s="135"/>
      <c r="J558" s="29"/>
      <c r="AQ558" s="115"/>
    </row>
    <row r="559" spans="1:43" s="114" customFormat="1" ht="13.8">
      <c r="A559" s="53" t="s">
        <v>753</v>
      </c>
      <c r="B559" s="39"/>
      <c r="C559" s="143" t="s">
        <v>495</v>
      </c>
      <c r="D559" s="89" t="s">
        <v>259</v>
      </c>
      <c r="E559" s="80"/>
      <c r="F559" s="81">
        <f>0.255*15*1</f>
        <v>3.825</v>
      </c>
      <c r="G559" s="92">
        <v>1</v>
      </c>
      <c r="H559" s="135"/>
      <c r="J559" s="29"/>
      <c r="AQ559" s="115"/>
    </row>
    <row r="560" spans="1:43" s="114" customFormat="1" ht="13.8">
      <c r="A560" s="53" t="s">
        <v>754</v>
      </c>
      <c r="B560" s="39"/>
      <c r="C560" s="143" t="s">
        <v>494</v>
      </c>
      <c r="D560" s="89" t="s">
        <v>973</v>
      </c>
      <c r="E560" s="80"/>
      <c r="F560" s="81">
        <f>0.255*18*1</f>
        <v>4.59</v>
      </c>
      <c r="G560" s="92">
        <v>1</v>
      </c>
      <c r="H560" s="135"/>
      <c r="J560" s="29"/>
      <c r="AQ560" s="115"/>
    </row>
    <row r="561" spans="1:43" s="114" customFormat="1" ht="13.8">
      <c r="A561" s="53" t="s">
        <v>755</v>
      </c>
      <c r="B561" s="39"/>
      <c r="C561" s="143" t="s">
        <v>493</v>
      </c>
      <c r="D561" s="89" t="s">
        <v>973</v>
      </c>
      <c r="E561" s="80"/>
      <c r="F561" s="81">
        <f>0.255*18*1</f>
        <v>4.59</v>
      </c>
      <c r="G561" s="92">
        <v>1</v>
      </c>
      <c r="H561" s="135"/>
      <c r="J561" s="29"/>
      <c r="AQ561" s="115"/>
    </row>
    <row r="562" spans="1:43" s="114" customFormat="1" ht="13.8">
      <c r="A562" s="53" t="s">
        <v>756</v>
      </c>
      <c r="B562" s="39"/>
      <c r="C562" s="143" t="s">
        <v>492</v>
      </c>
      <c r="D562" s="89" t="s">
        <v>1082</v>
      </c>
      <c r="E562" s="80"/>
      <c r="F562" s="81">
        <f>0.255*10*2</f>
        <v>5.1</v>
      </c>
      <c r="G562" s="92">
        <v>2</v>
      </c>
      <c r="H562" s="135"/>
      <c r="J562" s="29"/>
      <c r="AQ562" s="115"/>
    </row>
    <row r="563" spans="1:43" s="114" customFormat="1" ht="13.8">
      <c r="A563" s="53" t="s">
        <v>757</v>
      </c>
      <c r="B563" s="39"/>
      <c r="C563" s="143" t="s">
        <v>490</v>
      </c>
      <c r="D563" s="89" t="s">
        <v>1051</v>
      </c>
      <c r="E563" s="80"/>
      <c r="F563" s="81">
        <f>0.255*10*1</f>
        <v>2.55</v>
      </c>
      <c r="G563" s="92">
        <v>1</v>
      </c>
      <c r="H563" s="135"/>
      <c r="J563" s="29"/>
      <c r="AQ563" s="115"/>
    </row>
    <row r="564" spans="1:43" s="114" customFormat="1" ht="13.8">
      <c r="A564" s="53" t="s">
        <v>759</v>
      </c>
      <c r="B564" s="39"/>
      <c r="C564" s="138"/>
      <c r="D564" s="89"/>
      <c r="E564" s="80"/>
      <c r="F564" s="81"/>
      <c r="G564" s="92"/>
      <c r="H564" s="135"/>
      <c r="J564" s="29"/>
      <c r="AQ564" s="115"/>
    </row>
    <row r="565" spans="1:43" s="114" customFormat="1" ht="13.8">
      <c r="A565" s="53" t="s">
        <v>760</v>
      </c>
      <c r="B565" s="39"/>
      <c r="C565" s="136"/>
      <c r="D565" s="131" t="s">
        <v>1093</v>
      </c>
      <c r="E565" s="80"/>
      <c r="F565" s="81"/>
      <c r="G565" s="92"/>
      <c r="H565" s="135"/>
      <c r="J565" s="29"/>
      <c r="AQ565" s="115"/>
    </row>
    <row r="566" spans="1:43" s="114" customFormat="1" ht="13.8">
      <c r="A566" s="53" t="s">
        <v>761</v>
      </c>
      <c r="B566" s="39"/>
      <c r="C566" s="136"/>
      <c r="D566" s="100" t="s">
        <v>1424</v>
      </c>
      <c r="E566" s="42" t="s">
        <v>41</v>
      </c>
      <c r="F566" s="93">
        <f>SUM(F568:F594)</f>
        <v>70.655</v>
      </c>
      <c r="G566" s="92"/>
      <c r="H566" s="135"/>
      <c r="J566" s="29"/>
      <c r="AQ566" s="115"/>
    </row>
    <row r="567" spans="1:43" s="114" customFormat="1" ht="13.8">
      <c r="A567" s="53" t="s">
        <v>763</v>
      </c>
      <c r="B567" s="39"/>
      <c r="C567" s="138"/>
      <c r="D567" s="89"/>
      <c r="E567" s="80"/>
      <c r="F567" s="43"/>
      <c r="G567" s="92"/>
      <c r="H567" s="135"/>
      <c r="J567" s="29"/>
      <c r="AQ567" s="115"/>
    </row>
    <row r="568" spans="1:43" s="114" customFormat="1" ht="13.8">
      <c r="A568" s="53" t="s">
        <v>765</v>
      </c>
      <c r="B568" s="39"/>
      <c r="C568" s="132" t="s">
        <v>962</v>
      </c>
      <c r="D568" s="134" t="s">
        <v>1094</v>
      </c>
      <c r="E568" s="80"/>
      <c r="F568" s="43"/>
      <c r="G568" s="92"/>
      <c r="H568" s="135"/>
      <c r="J568" s="29"/>
      <c r="AQ568" s="115"/>
    </row>
    <row r="569" spans="1:43" s="114" customFormat="1" ht="13.8">
      <c r="A569" s="53" t="s">
        <v>766</v>
      </c>
      <c r="B569" s="39"/>
      <c r="C569" s="143" t="s">
        <v>289</v>
      </c>
      <c r="D569" s="121" t="s">
        <v>989</v>
      </c>
      <c r="E569" s="80"/>
      <c r="F569" s="81">
        <f>0.255*20*1</f>
        <v>5.1</v>
      </c>
      <c r="G569" s="92">
        <v>1</v>
      </c>
      <c r="H569" s="135"/>
      <c r="J569" s="29"/>
      <c r="AQ569" s="115"/>
    </row>
    <row r="570" spans="1:43" s="114" customFormat="1" ht="13.8">
      <c r="A570" s="53" t="s">
        <v>767</v>
      </c>
      <c r="B570" s="39"/>
      <c r="C570" s="143" t="s">
        <v>291</v>
      </c>
      <c r="D570" s="121" t="s">
        <v>250</v>
      </c>
      <c r="E570" s="80"/>
      <c r="F570" s="81">
        <f>0.255*14*1</f>
        <v>3.5700000000000003</v>
      </c>
      <c r="G570" s="92">
        <v>1</v>
      </c>
      <c r="H570" s="135"/>
      <c r="J570" s="29"/>
      <c r="AQ570" s="115"/>
    </row>
    <row r="571" spans="1:43" s="114" customFormat="1" ht="13.8">
      <c r="A571" s="53" t="s">
        <v>769</v>
      </c>
      <c r="B571" s="39"/>
      <c r="C571" s="143" t="s">
        <v>293</v>
      </c>
      <c r="D571" s="121" t="s">
        <v>973</v>
      </c>
      <c r="E571" s="80"/>
      <c r="F571" s="81">
        <f>0.255*18*1</f>
        <v>4.59</v>
      </c>
      <c r="G571" s="92">
        <v>1</v>
      </c>
      <c r="H571" s="135"/>
      <c r="J571" s="29"/>
      <c r="AQ571" s="115"/>
    </row>
    <row r="572" spans="1:43" s="114" customFormat="1" ht="13.8">
      <c r="A572" s="53" t="s">
        <v>771</v>
      </c>
      <c r="B572" s="39"/>
      <c r="C572" s="143" t="s">
        <v>296</v>
      </c>
      <c r="D572" s="121" t="s">
        <v>974</v>
      </c>
      <c r="E572" s="80"/>
      <c r="F572" s="81">
        <f>0.255*17*1</f>
        <v>4.335</v>
      </c>
      <c r="G572" s="92">
        <v>1</v>
      </c>
      <c r="H572" s="135"/>
      <c r="J572" s="29"/>
      <c r="AQ572" s="115"/>
    </row>
    <row r="573" spans="1:43" s="114" customFormat="1" ht="13.8">
      <c r="A573" s="53" t="s">
        <v>773</v>
      </c>
      <c r="B573" s="39"/>
      <c r="C573" s="143" t="s">
        <v>224</v>
      </c>
      <c r="D573" s="121" t="s">
        <v>974</v>
      </c>
      <c r="E573" s="80"/>
      <c r="F573" s="81">
        <f>0.255*17*1</f>
        <v>4.335</v>
      </c>
      <c r="G573" s="92">
        <v>1</v>
      </c>
      <c r="H573" s="135"/>
      <c r="J573" s="29"/>
      <c r="AQ573" s="115"/>
    </row>
    <row r="574" spans="1:43" s="114" customFormat="1" ht="13.8">
      <c r="A574" s="53" t="s">
        <v>774</v>
      </c>
      <c r="B574" s="39"/>
      <c r="C574" s="143" t="s">
        <v>301</v>
      </c>
      <c r="D574" s="121" t="s">
        <v>973</v>
      </c>
      <c r="E574" s="80"/>
      <c r="F574" s="81">
        <f>0.255*18*1</f>
        <v>4.59</v>
      </c>
      <c r="G574" s="92">
        <v>1</v>
      </c>
      <c r="H574" s="135"/>
      <c r="J574" s="29"/>
      <c r="AQ574" s="115"/>
    </row>
    <row r="575" spans="1:43" s="114" customFormat="1" ht="13.8">
      <c r="A575" s="53" t="s">
        <v>775</v>
      </c>
      <c r="B575" s="39"/>
      <c r="C575" s="138" t="s">
        <v>1096</v>
      </c>
      <c r="D575" s="89" t="s">
        <v>1095</v>
      </c>
      <c r="E575" s="80"/>
      <c r="F575" s="43"/>
      <c r="G575" s="92"/>
      <c r="H575" s="135"/>
      <c r="J575" s="29"/>
      <c r="AQ575" s="115"/>
    </row>
    <row r="576" spans="1:43" s="114" customFormat="1" ht="13.8">
      <c r="A576" s="53" t="s">
        <v>776</v>
      </c>
      <c r="B576" s="39"/>
      <c r="C576" s="138" t="s">
        <v>289</v>
      </c>
      <c r="D576" s="89" t="s">
        <v>1095</v>
      </c>
      <c r="E576" s="80"/>
      <c r="F576" s="43"/>
      <c r="G576" s="92"/>
      <c r="H576" s="135"/>
      <c r="J576" s="29"/>
      <c r="AQ576" s="115"/>
    </row>
    <row r="577" spans="1:43" s="114" customFormat="1" ht="13.8">
      <c r="A577" s="53" t="s">
        <v>777</v>
      </c>
      <c r="B577" s="39"/>
      <c r="C577" s="138"/>
      <c r="D577" s="89"/>
      <c r="E577" s="80"/>
      <c r="F577" s="81"/>
      <c r="G577" s="92"/>
      <c r="H577" s="135"/>
      <c r="J577" s="29"/>
      <c r="AQ577" s="115"/>
    </row>
    <row r="578" spans="1:43" s="114" customFormat="1" ht="13.8">
      <c r="A578" s="53" t="s">
        <v>778</v>
      </c>
      <c r="B578" s="39"/>
      <c r="C578" s="132" t="s">
        <v>962</v>
      </c>
      <c r="D578" s="145" t="s">
        <v>1425</v>
      </c>
      <c r="E578" s="42"/>
      <c r="F578" s="93"/>
      <c r="G578" s="92"/>
      <c r="H578" s="135"/>
      <c r="J578" s="29"/>
      <c r="AQ578" s="115"/>
    </row>
    <row r="579" spans="1:43" s="114" customFormat="1" ht="13.8">
      <c r="A579" s="53" t="s">
        <v>779</v>
      </c>
      <c r="B579" s="39"/>
      <c r="C579" s="132" t="s">
        <v>311</v>
      </c>
      <c r="D579" s="89" t="s">
        <v>968</v>
      </c>
      <c r="E579" s="80"/>
      <c r="F579" s="81">
        <f>0.205*10*1</f>
        <v>2.05</v>
      </c>
      <c r="G579" s="92">
        <v>1</v>
      </c>
      <c r="H579" s="135"/>
      <c r="J579" s="29"/>
      <c r="AQ579" s="115"/>
    </row>
    <row r="580" spans="1:43" s="114" customFormat="1" ht="13.8">
      <c r="A580" s="53" t="s">
        <v>780</v>
      </c>
      <c r="B580" s="39"/>
      <c r="C580" s="132" t="s">
        <v>313</v>
      </c>
      <c r="D580" s="89" t="s">
        <v>968</v>
      </c>
      <c r="E580" s="80"/>
      <c r="F580" s="81">
        <f>0.205*10*1</f>
        <v>2.05</v>
      </c>
      <c r="G580" s="92">
        <v>1</v>
      </c>
      <c r="H580" s="135"/>
      <c r="J580" s="29"/>
      <c r="AQ580" s="115"/>
    </row>
    <row r="581" spans="1:43" s="114" customFormat="1" ht="13.8">
      <c r="A581" s="53" t="s">
        <v>781</v>
      </c>
      <c r="B581" s="39"/>
      <c r="C581" s="143" t="s">
        <v>304</v>
      </c>
      <c r="D581" s="121" t="s">
        <v>248</v>
      </c>
      <c r="E581" s="80"/>
      <c r="F581" s="81">
        <f>0.255*12*1</f>
        <v>3.06</v>
      </c>
      <c r="G581" s="92">
        <v>1</v>
      </c>
      <c r="H581" s="135"/>
      <c r="J581" s="29"/>
      <c r="AQ581" s="115"/>
    </row>
    <row r="582" spans="1:43" s="114" customFormat="1" ht="13.8">
      <c r="A582" s="53" t="s">
        <v>783</v>
      </c>
      <c r="B582" s="39"/>
      <c r="C582" s="143" t="s">
        <v>304</v>
      </c>
      <c r="D582" s="121" t="s">
        <v>1097</v>
      </c>
      <c r="E582" s="80"/>
      <c r="F582" s="81">
        <f>0.255*17*2</f>
        <v>8.67</v>
      </c>
      <c r="G582" s="92">
        <v>2</v>
      </c>
      <c r="H582" s="135"/>
      <c r="J582" s="29"/>
      <c r="AQ582" s="115"/>
    </row>
    <row r="583" spans="1:43" s="114" customFormat="1" ht="13.8">
      <c r="A583" s="53" t="s">
        <v>786</v>
      </c>
      <c r="B583" s="39"/>
      <c r="C583" s="143" t="s">
        <v>304</v>
      </c>
      <c r="D583" s="121" t="s">
        <v>1098</v>
      </c>
      <c r="E583" s="80"/>
      <c r="F583" s="81">
        <f>0.255*12*1</f>
        <v>3.06</v>
      </c>
      <c r="G583" s="92">
        <v>1</v>
      </c>
      <c r="H583" s="135"/>
      <c r="J583" s="29"/>
      <c r="AQ583" s="115"/>
    </row>
    <row r="584" spans="1:43" s="114" customFormat="1" ht="13.8">
      <c r="A584" s="53" t="s">
        <v>788</v>
      </c>
      <c r="B584" s="39"/>
      <c r="C584" s="143" t="s">
        <v>307</v>
      </c>
      <c r="D584" s="121" t="s">
        <v>1098</v>
      </c>
      <c r="E584" s="80"/>
      <c r="F584" s="81">
        <f>0.255*12*1</f>
        <v>3.06</v>
      </c>
      <c r="G584" s="92">
        <v>1</v>
      </c>
      <c r="H584" s="135"/>
      <c r="J584" s="29"/>
      <c r="AQ584" s="115"/>
    </row>
    <row r="585" spans="1:43" s="114" customFormat="1" ht="13.8">
      <c r="A585" s="53" t="s">
        <v>790</v>
      </c>
      <c r="B585" s="39"/>
      <c r="C585" s="143" t="s">
        <v>309</v>
      </c>
      <c r="D585" s="121" t="s">
        <v>1098</v>
      </c>
      <c r="E585" s="80"/>
      <c r="F585" s="81">
        <f>0.255*12*1</f>
        <v>3.06</v>
      </c>
      <c r="G585" s="92">
        <v>1</v>
      </c>
      <c r="H585" s="135"/>
      <c r="J585" s="29"/>
      <c r="AQ585" s="115"/>
    </row>
    <row r="586" spans="1:43" s="114" customFormat="1" ht="13.8">
      <c r="A586" s="53" t="s">
        <v>792</v>
      </c>
      <c r="B586" s="39"/>
      <c r="C586" s="143" t="s">
        <v>304</v>
      </c>
      <c r="D586" s="121" t="s">
        <v>1098</v>
      </c>
      <c r="E586" s="80"/>
      <c r="F586" s="81">
        <f>0.255*12*1</f>
        <v>3.06</v>
      </c>
      <c r="G586" s="92">
        <v>1</v>
      </c>
      <c r="H586" s="135"/>
      <c r="J586" s="29"/>
      <c r="AQ586" s="115"/>
    </row>
    <row r="587" spans="1:43" s="114" customFormat="1" ht="13.8">
      <c r="A587" s="53" t="s">
        <v>944</v>
      </c>
      <c r="B587" s="39"/>
      <c r="C587" s="143" t="s">
        <v>1103</v>
      </c>
      <c r="D587" s="121" t="s">
        <v>1099</v>
      </c>
      <c r="E587" s="80"/>
      <c r="F587" s="81">
        <f>0.255*13*1</f>
        <v>3.315</v>
      </c>
      <c r="G587" s="92">
        <v>1</v>
      </c>
      <c r="H587" s="135"/>
      <c r="J587" s="29"/>
      <c r="AQ587" s="115"/>
    </row>
    <row r="588" spans="1:43" s="114" customFormat="1" ht="13.8">
      <c r="A588" s="53" t="s">
        <v>793</v>
      </c>
      <c r="B588" s="39"/>
      <c r="C588" s="143" t="s">
        <v>309</v>
      </c>
      <c r="D588" s="121" t="s">
        <v>1098</v>
      </c>
      <c r="E588" s="80"/>
      <c r="F588" s="81">
        <f aca="true" t="shared" si="16" ref="F588:F589">0.255*12*1</f>
        <v>3.06</v>
      </c>
      <c r="G588" s="92">
        <v>1</v>
      </c>
      <c r="H588" s="135"/>
      <c r="J588" s="29"/>
      <c r="AQ588" s="115"/>
    </row>
    <row r="589" spans="1:43" s="114" customFormat="1" ht="13.8">
      <c r="A589" s="53" t="s">
        <v>794</v>
      </c>
      <c r="B589" s="39"/>
      <c r="C589" s="143" t="s">
        <v>313</v>
      </c>
      <c r="D589" s="121" t="s">
        <v>1098</v>
      </c>
      <c r="E589" s="80"/>
      <c r="F589" s="81">
        <f t="shared" si="16"/>
        <v>3.06</v>
      </c>
      <c r="G589" s="92">
        <v>1</v>
      </c>
      <c r="H589" s="135"/>
      <c r="J589" s="29"/>
      <c r="AQ589" s="115"/>
    </row>
    <row r="590" spans="1:43" s="114" customFormat="1" ht="13.8">
      <c r="A590" s="53" t="s">
        <v>797</v>
      </c>
      <c r="B590" s="39"/>
      <c r="C590" s="143" t="s">
        <v>316</v>
      </c>
      <c r="D590" s="121" t="s">
        <v>1098</v>
      </c>
      <c r="E590" s="80"/>
      <c r="F590" s="81">
        <f>0.255*12*1</f>
        <v>3.06</v>
      </c>
      <c r="G590" s="92">
        <v>1</v>
      </c>
      <c r="H590" s="135"/>
      <c r="J590" s="29"/>
      <c r="AQ590" s="115"/>
    </row>
    <row r="591" spans="1:43" s="114" customFormat="1" ht="27.6">
      <c r="A591" s="53" t="s">
        <v>800</v>
      </c>
      <c r="B591" s="39"/>
      <c r="C591" s="138" t="s">
        <v>217</v>
      </c>
      <c r="D591" s="89" t="s">
        <v>1101</v>
      </c>
      <c r="E591" s="80"/>
      <c r="F591" s="81"/>
      <c r="G591" s="92"/>
      <c r="H591" s="135"/>
      <c r="J591" s="29"/>
      <c r="AQ591" s="115"/>
    </row>
    <row r="592" spans="1:43" s="114" customFormat="1" ht="27.6">
      <c r="A592" s="53" t="s">
        <v>801</v>
      </c>
      <c r="B592" s="39"/>
      <c r="C592" s="138" t="s">
        <v>289</v>
      </c>
      <c r="D592" s="89" t="s">
        <v>1101</v>
      </c>
      <c r="E592" s="80"/>
      <c r="F592" s="81"/>
      <c r="G592" s="92"/>
      <c r="H592" s="135"/>
      <c r="J592" s="29"/>
      <c r="AQ592" s="115"/>
    </row>
    <row r="593" spans="1:43" s="114" customFormat="1" ht="27.6">
      <c r="A593" s="53" t="s">
        <v>803</v>
      </c>
      <c r="B593" s="39"/>
      <c r="C593" s="138" t="s">
        <v>289</v>
      </c>
      <c r="D593" s="89" t="s">
        <v>1102</v>
      </c>
      <c r="E593" s="80"/>
      <c r="F593" s="81"/>
      <c r="G593" s="92"/>
      <c r="H593" s="135"/>
      <c r="J593" s="29"/>
      <c r="AQ593" s="115"/>
    </row>
    <row r="594" spans="1:43" s="114" customFormat="1" ht="13.8">
      <c r="A594" s="53" t="s">
        <v>805</v>
      </c>
      <c r="B594" s="39"/>
      <c r="C594" s="143" t="s">
        <v>318</v>
      </c>
      <c r="D594" s="121" t="s">
        <v>1100</v>
      </c>
      <c r="E594" s="80"/>
      <c r="F594" s="81">
        <f>0.255*14*1</f>
        <v>3.5700000000000003</v>
      </c>
      <c r="G594" s="92">
        <v>1</v>
      </c>
      <c r="H594" s="135"/>
      <c r="J594" s="29"/>
      <c r="AQ594" s="115"/>
    </row>
    <row r="595" spans="1:43" s="114" customFormat="1" ht="13.8">
      <c r="A595" s="53" t="s">
        <v>807</v>
      </c>
      <c r="B595" s="39"/>
      <c r="C595" s="143"/>
      <c r="D595" s="121"/>
      <c r="E595" s="80"/>
      <c r="F595" s="43"/>
      <c r="G595" s="92"/>
      <c r="H595" s="135"/>
      <c r="J595" s="29"/>
      <c r="AQ595" s="115"/>
    </row>
    <row r="596" spans="1:43" s="114" customFormat="1" ht="41.4">
      <c r="A596" s="53" t="s">
        <v>809</v>
      </c>
      <c r="B596" s="146" t="s">
        <v>1126</v>
      </c>
      <c r="C596" s="143"/>
      <c r="D596" s="121" t="s">
        <v>1426</v>
      </c>
      <c r="E596" s="147" t="s">
        <v>41</v>
      </c>
      <c r="F596" s="81">
        <f>0.255*10*1</f>
        <v>2.55</v>
      </c>
      <c r="G596" s="85"/>
      <c r="H596" s="45">
        <f aca="true" t="shared" si="17" ref="H596:H597">ROUND((F596*G596),2)</f>
        <v>0</v>
      </c>
      <c r="J596" s="29"/>
      <c r="AQ596" s="115"/>
    </row>
    <row r="597" spans="1:43" s="114" customFormat="1" ht="27.6">
      <c r="A597" s="53" t="s">
        <v>810</v>
      </c>
      <c r="B597" s="39" t="s">
        <v>1135</v>
      </c>
      <c r="C597" s="143"/>
      <c r="D597" s="121" t="s">
        <v>1136</v>
      </c>
      <c r="E597" s="147" t="s">
        <v>91</v>
      </c>
      <c r="F597" s="148">
        <v>2</v>
      </c>
      <c r="G597" s="85"/>
      <c r="H597" s="45">
        <f t="shared" si="17"/>
        <v>0</v>
      </c>
      <c r="J597" s="29"/>
      <c r="AQ597" s="115"/>
    </row>
    <row r="598" spans="1:43" s="114" customFormat="1" ht="13.8">
      <c r="A598" s="53" t="s">
        <v>812</v>
      </c>
      <c r="B598" s="39"/>
      <c r="C598" s="138"/>
      <c r="D598" s="89"/>
      <c r="E598" s="80"/>
      <c r="F598" s="81"/>
      <c r="G598" s="92"/>
      <c r="H598" s="135"/>
      <c r="J598" s="29"/>
      <c r="AQ598" s="115"/>
    </row>
    <row r="599" spans="1:43" ht="15">
      <c r="A599" s="53" t="s">
        <v>814</v>
      </c>
      <c r="B599" s="39"/>
      <c r="C599" s="40"/>
      <c r="D599" s="121"/>
      <c r="E599" s="42"/>
      <c r="F599" s="81"/>
      <c r="G599" s="92"/>
      <c r="H599" s="84"/>
      <c r="J599" s="149"/>
      <c r="AQ599" s="31"/>
    </row>
    <row r="600" spans="1:10" ht="13.8">
      <c r="A600" s="53" t="s">
        <v>815</v>
      </c>
      <c r="B600" s="21" t="s">
        <v>670</v>
      </c>
      <c r="D600" s="150" t="s">
        <v>671</v>
      </c>
      <c r="E600" s="151" t="s">
        <v>672</v>
      </c>
      <c r="F600" s="33" t="s">
        <v>38</v>
      </c>
      <c r="G600" s="26"/>
      <c r="H600" s="152">
        <f>SUM(H601:H760)</f>
        <v>0</v>
      </c>
      <c r="I600" s="30"/>
      <c r="J600" s="149"/>
    </row>
    <row r="601" spans="1:10" ht="12">
      <c r="A601" s="53" t="s">
        <v>817</v>
      </c>
      <c r="D601" s="32"/>
      <c r="E601" s="151"/>
      <c r="F601" s="33"/>
      <c r="G601" s="153"/>
      <c r="H601" s="152"/>
      <c r="I601" s="30"/>
      <c r="J601" s="149"/>
    </row>
    <row r="602" spans="1:10" ht="12">
      <c r="A602" s="53" t="s">
        <v>820</v>
      </c>
      <c r="B602" s="21" t="s">
        <v>675</v>
      </c>
      <c r="D602" s="32" t="s">
        <v>676</v>
      </c>
      <c r="E602" s="151"/>
      <c r="F602" s="154"/>
      <c r="G602" s="153"/>
      <c r="H602" s="152"/>
      <c r="I602" s="30"/>
      <c r="J602" s="149"/>
    </row>
    <row r="603" spans="1:10" ht="36">
      <c r="A603" s="53" t="s">
        <v>821</v>
      </c>
      <c r="B603" s="21" t="s">
        <v>678</v>
      </c>
      <c r="D603" s="155" t="s">
        <v>679</v>
      </c>
      <c r="E603" s="156" t="s">
        <v>91</v>
      </c>
      <c r="F603" s="26">
        <v>1</v>
      </c>
      <c r="G603" s="85"/>
      <c r="H603" s="45">
        <f aca="true" t="shared" si="18" ref="H603:H605">ROUND((F603*G603),2)</f>
        <v>0</v>
      </c>
      <c r="I603" s="30"/>
      <c r="J603" s="149"/>
    </row>
    <row r="604" spans="1:10" ht="24">
      <c r="A604" s="53" t="s">
        <v>822</v>
      </c>
      <c r="B604" s="21" t="s">
        <v>958</v>
      </c>
      <c r="D604" s="79" t="s">
        <v>1134</v>
      </c>
      <c r="E604" s="157" t="s">
        <v>91</v>
      </c>
      <c r="F604" s="26">
        <v>1</v>
      </c>
      <c r="G604" s="158"/>
      <c r="H604" s="45">
        <f t="shared" si="18"/>
        <v>0</v>
      </c>
      <c r="I604" s="30"/>
      <c r="J604" s="159"/>
    </row>
    <row r="605" spans="1:10" ht="24">
      <c r="A605" s="53" t="s">
        <v>823</v>
      </c>
      <c r="B605" s="21">
        <v>998735203</v>
      </c>
      <c r="D605" s="79" t="s">
        <v>682</v>
      </c>
      <c r="E605" s="157" t="s">
        <v>672</v>
      </c>
      <c r="F605" s="160">
        <v>0.0239</v>
      </c>
      <c r="G605" s="26">
        <f>H603+H604</f>
        <v>0</v>
      </c>
      <c r="H605" s="45">
        <f t="shared" si="18"/>
        <v>0</v>
      </c>
      <c r="I605" s="30"/>
      <c r="J605" s="159"/>
    </row>
    <row r="606" spans="1:10" ht="12">
      <c r="A606" s="53" t="s">
        <v>825</v>
      </c>
      <c r="D606" s="79"/>
      <c r="E606" s="157"/>
      <c r="F606" s="161"/>
      <c r="G606" s="162"/>
      <c r="H606" s="163"/>
      <c r="I606" s="30"/>
      <c r="J606" s="159"/>
    </row>
    <row r="607" spans="1:10" ht="12">
      <c r="A607" s="53" t="s">
        <v>828</v>
      </c>
      <c r="D607" s="79"/>
      <c r="E607" s="157"/>
      <c r="F607" s="161"/>
      <c r="G607" s="162"/>
      <c r="H607" s="163"/>
      <c r="I607" s="30"/>
      <c r="J607" s="159"/>
    </row>
    <row r="608" spans="1:10" ht="12">
      <c r="A608" s="53" t="s">
        <v>830</v>
      </c>
      <c r="D608" s="164" t="s">
        <v>686</v>
      </c>
      <c r="E608" s="151"/>
      <c r="F608" s="154"/>
      <c r="G608" s="153"/>
      <c r="H608" s="152"/>
      <c r="I608" s="30"/>
      <c r="J608" s="159"/>
    </row>
    <row r="609" spans="1:10" ht="24">
      <c r="A609" s="53" t="s">
        <v>832</v>
      </c>
      <c r="B609" s="21">
        <v>735110911</v>
      </c>
      <c r="D609" s="79" t="s">
        <v>1314</v>
      </c>
      <c r="E609" s="157" t="s">
        <v>91</v>
      </c>
      <c r="F609" s="161">
        <f>410*4</f>
        <v>1640</v>
      </c>
      <c r="G609" s="165"/>
      <c r="H609" s="45">
        <f aca="true" t="shared" si="19" ref="H609:H615">ROUND((F609*G609),2)</f>
        <v>0</v>
      </c>
      <c r="I609" s="30"/>
      <c r="J609" s="159"/>
    </row>
    <row r="610" spans="1:10" ht="24">
      <c r="A610" s="53" t="s">
        <v>833</v>
      </c>
      <c r="B610" s="21">
        <v>735110912</v>
      </c>
      <c r="D610" s="79" t="s">
        <v>1315</v>
      </c>
      <c r="E610" s="157" t="s">
        <v>91</v>
      </c>
      <c r="F610" s="25">
        <v>82</v>
      </c>
      <c r="G610" s="165"/>
      <c r="H610" s="45">
        <f t="shared" si="19"/>
        <v>0</v>
      </c>
      <c r="I610" s="30"/>
      <c r="J610" s="159"/>
    </row>
    <row r="611" spans="1:10" ht="12">
      <c r="A611" s="53" t="s">
        <v>835</v>
      </c>
      <c r="B611" s="21">
        <v>735110914</v>
      </c>
      <c r="D611" s="79" t="s">
        <v>1316</v>
      </c>
      <c r="E611" s="157" t="s">
        <v>91</v>
      </c>
      <c r="F611" s="25">
        <v>82</v>
      </c>
      <c r="G611" s="165"/>
      <c r="H611" s="45">
        <f t="shared" si="19"/>
        <v>0</v>
      </c>
      <c r="I611" s="30"/>
      <c r="J611" s="159"/>
    </row>
    <row r="612" spans="1:10" ht="24">
      <c r="A612" s="53" t="s">
        <v>837</v>
      </c>
      <c r="B612" s="21">
        <v>735191905</v>
      </c>
      <c r="D612" s="79" t="s">
        <v>1323</v>
      </c>
      <c r="E612" s="157" t="s">
        <v>91</v>
      </c>
      <c r="F612" s="154">
        <v>504</v>
      </c>
      <c r="G612" s="165"/>
      <c r="H612" s="45">
        <f t="shared" si="19"/>
        <v>0</v>
      </c>
      <c r="I612" s="30"/>
      <c r="J612" s="30"/>
    </row>
    <row r="613" spans="1:10" ht="36">
      <c r="A613" s="53" t="s">
        <v>839</v>
      </c>
      <c r="B613" s="21" t="s">
        <v>692</v>
      </c>
      <c r="D613" s="79" t="s">
        <v>1327</v>
      </c>
      <c r="E613" s="157" t="s">
        <v>168</v>
      </c>
      <c r="F613" s="25">
        <f>410*0.1*2</f>
        <v>82</v>
      </c>
      <c r="G613" s="165"/>
      <c r="H613" s="45">
        <f t="shared" si="19"/>
        <v>0</v>
      </c>
      <c r="I613" s="30"/>
      <c r="J613" s="30"/>
    </row>
    <row r="614" spans="1:10" ht="36">
      <c r="A614" s="53" t="s">
        <v>840</v>
      </c>
      <c r="B614" s="21" t="s">
        <v>694</v>
      </c>
      <c r="D614" s="79" t="s">
        <v>1151</v>
      </c>
      <c r="E614" s="157" t="s">
        <v>41</v>
      </c>
      <c r="F614" s="166">
        <v>3</v>
      </c>
      <c r="G614" s="158"/>
      <c r="H614" s="45">
        <f t="shared" si="19"/>
        <v>0</v>
      </c>
      <c r="I614" s="30"/>
      <c r="J614" s="159"/>
    </row>
    <row r="615" spans="1:10" ht="24">
      <c r="A615" s="53" t="s">
        <v>841</v>
      </c>
      <c r="B615" s="21">
        <v>998735203</v>
      </c>
      <c r="D615" s="79" t="s">
        <v>682</v>
      </c>
      <c r="E615" s="157" t="s">
        <v>672</v>
      </c>
      <c r="F615" s="161">
        <v>0.0239</v>
      </c>
      <c r="G615" s="26">
        <f>SUM(H609:H614)</f>
        <v>0</v>
      </c>
      <c r="H615" s="45">
        <f t="shared" si="19"/>
        <v>0</v>
      </c>
      <c r="I615" s="30"/>
      <c r="J615" s="159"/>
    </row>
    <row r="616" spans="1:10" ht="12">
      <c r="A616" s="53" t="s">
        <v>842</v>
      </c>
      <c r="B616" s="22"/>
      <c r="D616" s="167"/>
      <c r="E616" s="168"/>
      <c r="F616" s="154"/>
      <c r="G616" s="169"/>
      <c r="H616" s="170"/>
      <c r="I616" s="30"/>
      <c r="J616" s="159"/>
    </row>
    <row r="617" spans="1:10" ht="12">
      <c r="A617" s="53" t="s">
        <v>843</v>
      </c>
      <c r="B617" s="22" t="s">
        <v>698</v>
      </c>
      <c r="D617" s="171" t="s">
        <v>699</v>
      </c>
      <c r="E617" s="151"/>
      <c r="F617" s="154"/>
      <c r="G617" s="169"/>
      <c r="H617" s="170"/>
      <c r="I617" s="30"/>
      <c r="J617" s="159"/>
    </row>
    <row r="618" spans="1:10" ht="24">
      <c r="A618" s="53" t="s">
        <v>844</v>
      </c>
      <c r="B618" s="22" t="s">
        <v>701</v>
      </c>
      <c r="D618" s="172" t="s">
        <v>702</v>
      </c>
      <c r="E618" s="37" t="s">
        <v>168</v>
      </c>
      <c r="F618" s="154">
        <v>12</v>
      </c>
      <c r="G618" s="158"/>
      <c r="H618" s="45">
        <f aca="true" t="shared" si="20" ref="H618:H631">ROUND((F618*G618),2)</f>
        <v>0</v>
      </c>
      <c r="I618" s="30"/>
      <c r="J618" s="159"/>
    </row>
    <row r="619" spans="1:10" ht="24">
      <c r="A619" s="53" t="s">
        <v>845</v>
      </c>
      <c r="B619" s="22" t="s">
        <v>701</v>
      </c>
      <c r="D619" s="172" t="s">
        <v>704</v>
      </c>
      <c r="E619" s="37" t="s">
        <v>168</v>
      </c>
      <c r="F619" s="154">
        <v>12</v>
      </c>
      <c r="G619" s="158"/>
      <c r="H619" s="45">
        <f t="shared" si="20"/>
        <v>0</v>
      </c>
      <c r="I619" s="30"/>
      <c r="J619" s="159"/>
    </row>
    <row r="620" spans="1:10" ht="24">
      <c r="A620" s="53" t="s">
        <v>846</v>
      </c>
      <c r="B620" s="22" t="s">
        <v>706</v>
      </c>
      <c r="D620" s="172" t="s">
        <v>707</v>
      </c>
      <c r="E620" s="37" t="s">
        <v>168</v>
      </c>
      <c r="F620" s="154">
        <v>6</v>
      </c>
      <c r="G620" s="158"/>
      <c r="H620" s="45">
        <f t="shared" si="20"/>
        <v>0</v>
      </c>
      <c r="I620" s="30"/>
      <c r="J620" s="159"/>
    </row>
    <row r="621" spans="1:10" ht="24">
      <c r="A621" s="53" t="s">
        <v>847</v>
      </c>
      <c r="B621" s="22" t="s">
        <v>706</v>
      </c>
      <c r="D621" s="172" t="s">
        <v>709</v>
      </c>
      <c r="E621" s="37" t="s">
        <v>168</v>
      </c>
      <c r="F621" s="154">
        <v>6</v>
      </c>
      <c r="G621" s="158"/>
      <c r="H621" s="45">
        <f t="shared" si="20"/>
        <v>0</v>
      </c>
      <c r="I621" s="30"/>
      <c r="J621" s="159"/>
    </row>
    <row r="622" spans="1:10" ht="24">
      <c r="A622" s="53" t="s">
        <v>848</v>
      </c>
      <c r="B622" s="22" t="s">
        <v>706</v>
      </c>
      <c r="D622" s="172" t="s">
        <v>711</v>
      </c>
      <c r="E622" s="37" t="s">
        <v>168</v>
      </c>
      <c r="F622" s="154">
        <v>6</v>
      </c>
      <c r="G622" s="158"/>
      <c r="H622" s="45">
        <f t="shared" si="20"/>
        <v>0</v>
      </c>
      <c r="I622" s="30"/>
      <c r="J622" s="159"/>
    </row>
    <row r="623" spans="1:10" ht="12">
      <c r="A623" s="53" t="s">
        <v>849</v>
      </c>
      <c r="B623" s="22"/>
      <c r="D623" s="172"/>
      <c r="E623" s="37"/>
      <c r="F623" s="154"/>
      <c r="G623" s="158"/>
      <c r="H623" s="163"/>
      <c r="I623" s="30"/>
      <c r="J623" s="159"/>
    </row>
    <row r="624" spans="1:10" ht="24">
      <c r="A624" s="53" t="s">
        <v>850</v>
      </c>
      <c r="B624" s="22" t="s">
        <v>714</v>
      </c>
      <c r="D624" s="172" t="s">
        <v>702</v>
      </c>
      <c r="E624" s="37" t="s">
        <v>168</v>
      </c>
      <c r="F624" s="154">
        <v>12</v>
      </c>
      <c r="G624" s="158"/>
      <c r="H624" s="45">
        <f t="shared" si="20"/>
        <v>0</v>
      </c>
      <c r="I624" s="30"/>
      <c r="J624" s="159"/>
    </row>
    <row r="625" spans="1:10" ht="24">
      <c r="A625" s="53" t="s">
        <v>851</v>
      </c>
      <c r="B625" s="22" t="s">
        <v>716</v>
      </c>
      <c r="D625" s="172" t="s">
        <v>704</v>
      </c>
      <c r="E625" s="37" t="s">
        <v>168</v>
      </c>
      <c r="F625" s="154">
        <v>12</v>
      </c>
      <c r="G625" s="158"/>
      <c r="H625" s="45">
        <f t="shared" si="20"/>
        <v>0</v>
      </c>
      <c r="I625" s="30"/>
      <c r="J625" s="159"/>
    </row>
    <row r="626" spans="1:10" ht="24">
      <c r="A626" s="53" t="s">
        <v>853</v>
      </c>
      <c r="B626" s="22" t="s">
        <v>718</v>
      </c>
      <c r="D626" s="172" t="s">
        <v>707</v>
      </c>
      <c r="E626" s="37" t="s">
        <v>168</v>
      </c>
      <c r="F626" s="154">
        <v>6</v>
      </c>
      <c r="G626" s="158"/>
      <c r="H626" s="45">
        <f t="shared" si="20"/>
        <v>0</v>
      </c>
      <c r="I626" s="30"/>
      <c r="J626" s="159"/>
    </row>
    <row r="627" spans="1:10" ht="24">
      <c r="A627" s="53" t="s">
        <v>855</v>
      </c>
      <c r="B627" s="22" t="s">
        <v>720</v>
      </c>
      <c r="D627" s="172" t="s">
        <v>709</v>
      </c>
      <c r="E627" s="37" t="s">
        <v>168</v>
      </c>
      <c r="F627" s="154">
        <v>6</v>
      </c>
      <c r="G627" s="158"/>
      <c r="H627" s="45">
        <f t="shared" si="20"/>
        <v>0</v>
      </c>
      <c r="I627" s="30"/>
      <c r="J627" s="159"/>
    </row>
    <row r="628" spans="1:10" ht="24">
      <c r="A628" s="53" t="s">
        <v>856</v>
      </c>
      <c r="B628" s="22" t="s">
        <v>722</v>
      </c>
      <c r="D628" s="172" t="s">
        <v>711</v>
      </c>
      <c r="E628" s="37" t="s">
        <v>168</v>
      </c>
      <c r="F628" s="154">
        <v>6</v>
      </c>
      <c r="G628" s="158"/>
      <c r="H628" s="45">
        <f t="shared" si="20"/>
        <v>0</v>
      </c>
      <c r="I628" s="30"/>
      <c r="J628" s="159"/>
    </row>
    <row r="629" spans="1:10" ht="12">
      <c r="A629" s="53" t="s">
        <v>860</v>
      </c>
      <c r="B629" s="22" t="s">
        <v>959</v>
      </c>
      <c r="D629" s="173" t="s">
        <v>724</v>
      </c>
      <c r="E629" s="37" t="s">
        <v>168</v>
      </c>
      <c r="F629" s="154">
        <f>SUM(F624:F628)</f>
        <v>42</v>
      </c>
      <c r="G629" s="158"/>
      <c r="H629" s="45">
        <f t="shared" si="20"/>
        <v>0</v>
      </c>
      <c r="I629" s="30"/>
      <c r="J629" s="159"/>
    </row>
    <row r="630" spans="1:10" ht="24">
      <c r="A630" s="53" t="s">
        <v>863</v>
      </c>
      <c r="B630" s="22" t="s">
        <v>726</v>
      </c>
      <c r="D630" s="172" t="s">
        <v>1153</v>
      </c>
      <c r="E630" s="157" t="s">
        <v>91</v>
      </c>
      <c r="F630" s="154">
        <f>410*2</f>
        <v>820</v>
      </c>
      <c r="G630" s="158"/>
      <c r="H630" s="45">
        <f t="shared" si="20"/>
        <v>0</v>
      </c>
      <c r="I630" s="30"/>
      <c r="J630" s="159"/>
    </row>
    <row r="631" spans="1:10" ht="24">
      <c r="A631" s="53" t="s">
        <v>864</v>
      </c>
      <c r="B631" s="22" t="s">
        <v>728</v>
      </c>
      <c r="D631" s="173" t="s">
        <v>1119</v>
      </c>
      <c r="E631" s="37" t="s">
        <v>6</v>
      </c>
      <c r="F631" s="154">
        <v>0.0367</v>
      </c>
      <c r="G631" s="162">
        <f>SUM(H618:H630)</f>
        <v>0</v>
      </c>
      <c r="H631" s="45">
        <f t="shared" si="20"/>
        <v>0</v>
      </c>
      <c r="I631" s="30"/>
      <c r="J631" s="159"/>
    </row>
    <row r="632" spans="1:10" ht="12">
      <c r="A632" s="53" t="s">
        <v>866</v>
      </c>
      <c r="B632" s="22"/>
      <c r="D632" s="38"/>
      <c r="E632" s="156"/>
      <c r="F632" s="174"/>
      <c r="G632" s="26"/>
      <c r="H632" s="163"/>
      <c r="I632" s="30"/>
      <c r="J632" s="159"/>
    </row>
    <row r="633" spans="1:10" ht="12">
      <c r="A633" s="53" t="s">
        <v>867</v>
      </c>
      <c r="B633" s="22"/>
      <c r="D633" s="171" t="s">
        <v>731</v>
      </c>
      <c r="E633" s="156" t="s">
        <v>672</v>
      </c>
      <c r="F633" s="154"/>
      <c r="G633" s="26"/>
      <c r="H633" s="175"/>
      <c r="I633" s="30"/>
      <c r="J633" s="159"/>
    </row>
    <row r="634" spans="1:10" ht="36">
      <c r="A634" s="53" t="s">
        <v>868</v>
      </c>
      <c r="B634" s="22"/>
      <c r="D634" s="167" t="s">
        <v>1427</v>
      </c>
      <c r="E634" s="176" t="s">
        <v>1120</v>
      </c>
      <c r="F634" s="160">
        <f>SUM(F636:F660)</f>
        <v>57</v>
      </c>
      <c r="G634" s="26"/>
      <c r="H634" s="175"/>
      <c r="I634" s="30"/>
      <c r="J634" s="159"/>
    </row>
    <row r="635" spans="1:10" ht="12">
      <c r="A635" s="53" t="s">
        <v>870</v>
      </c>
      <c r="B635" s="22"/>
      <c r="D635" s="168" t="s">
        <v>1110</v>
      </c>
      <c r="E635" s="156"/>
      <c r="F635" s="177"/>
      <c r="G635" s="26"/>
      <c r="H635" s="175"/>
      <c r="I635" s="30"/>
      <c r="J635" s="159"/>
    </row>
    <row r="636" spans="1:10" ht="12">
      <c r="A636" s="53" t="s">
        <v>871</v>
      </c>
      <c r="B636" s="22" t="s">
        <v>701</v>
      </c>
      <c r="D636" s="178" t="s">
        <v>746</v>
      </c>
      <c r="E636" s="179"/>
      <c r="F636" s="180">
        <v>9</v>
      </c>
      <c r="H636" s="45">
        <f aca="true" t="shared" si="21" ref="H636:H637">ROUND((F636*G636),2)</f>
        <v>0</v>
      </c>
      <c r="I636" s="30"/>
      <c r="J636" s="159"/>
    </row>
    <row r="637" spans="1:10" ht="12">
      <c r="A637" s="53" t="s">
        <v>873</v>
      </c>
      <c r="B637" s="22" t="s">
        <v>701</v>
      </c>
      <c r="D637" s="178" t="s">
        <v>1113</v>
      </c>
      <c r="E637" s="179"/>
      <c r="F637" s="180">
        <v>1</v>
      </c>
      <c r="H637" s="45">
        <f t="shared" si="21"/>
        <v>0</v>
      </c>
      <c r="I637" s="30"/>
      <c r="J637" s="159"/>
    </row>
    <row r="638" spans="1:10" ht="12">
      <c r="A638" s="53" t="s">
        <v>875</v>
      </c>
      <c r="B638" s="22"/>
      <c r="D638" s="178" t="s">
        <v>1111</v>
      </c>
      <c r="E638" s="179"/>
      <c r="F638" s="180"/>
      <c r="G638" s="26"/>
      <c r="H638" s="163"/>
      <c r="I638" s="30"/>
      <c r="J638" s="159"/>
    </row>
    <row r="639" spans="1:10" ht="12">
      <c r="A639" s="53" t="s">
        <v>877</v>
      </c>
      <c r="B639" s="22" t="s">
        <v>701</v>
      </c>
      <c r="D639" s="178" t="s">
        <v>746</v>
      </c>
      <c r="E639" s="179"/>
      <c r="F639" s="180">
        <v>8</v>
      </c>
      <c r="H639" s="45">
        <f aca="true" t="shared" si="22" ref="H639:H640">ROUND((F639*G639),2)</f>
        <v>0</v>
      </c>
      <c r="I639" s="30"/>
      <c r="J639" s="159"/>
    </row>
    <row r="640" spans="1:10" ht="12">
      <c r="A640" s="53" t="s">
        <v>879</v>
      </c>
      <c r="B640" s="22" t="s">
        <v>701</v>
      </c>
      <c r="D640" s="178" t="s">
        <v>1113</v>
      </c>
      <c r="E640" s="179"/>
      <c r="F640" s="180">
        <v>1</v>
      </c>
      <c r="H640" s="45">
        <f t="shared" si="22"/>
        <v>0</v>
      </c>
      <c r="I640" s="30"/>
      <c r="J640" s="159"/>
    </row>
    <row r="641" spans="1:10" ht="12">
      <c r="A641" s="53" t="s">
        <v>880</v>
      </c>
      <c r="B641" s="22"/>
      <c r="D641" s="178" t="s">
        <v>1112</v>
      </c>
      <c r="E641" s="179"/>
      <c r="F641" s="180"/>
      <c r="G641" s="26"/>
      <c r="H641" s="163"/>
      <c r="I641" s="30"/>
      <c r="J641" s="159"/>
    </row>
    <row r="642" spans="1:10" ht="12">
      <c r="A642" s="53" t="s">
        <v>883</v>
      </c>
      <c r="B642" s="22" t="s">
        <v>701</v>
      </c>
      <c r="D642" s="178" t="s">
        <v>735</v>
      </c>
      <c r="E642" s="179"/>
      <c r="F642" s="180">
        <v>3</v>
      </c>
      <c r="H642" s="45">
        <f aca="true" t="shared" si="23" ref="H642:H644">ROUND((F642*G642),2)</f>
        <v>0</v>
      </c>
      <c r="I642" s="30"/>
      <c r="J642" s="159"/>
    </row>
    <row r="643" spans="1:10" ht="12">
      <c r="A643" s="53" t="s">
        <v>886</v>
      </c>
      <c r="B643" s="22" t="s">
        <v>701</v>
      </c>
      <c r="D643" s="178" t="s">
        <v>737</v>
      </c>
      <c r="E643" s="179"/>
      <c r="F643" s="180">
        <v>3</v>
      </c>
      <c r="H643" s="45">
        <f t="shared" si="23"/>
        <v>0</v>
      </c>
      <c r="I643" s="30"/>
      <c r="J643" s="159"/>
    </row>
    <row r="644" spans="1:10" ht="12">
      <c r="A644" s="53" t="s">
        <v>887</v>
      </c>
      <c r="B644" s="22" t="s">
        <v>701</v>
      </c>
      <c r="D644" s="178" t="s">
        <v>746</v>
      </c>
      <c r="E644" s="179"/>
      <c r="F644" s="180">
        <v>1</v>
      </c>
      <c r="H644" s="45">
        <f t="shared" si="23"/>
        <v>0</v>
      </c>
      <c r="I644" s="30"/>
      <c r="J644" s="159"/>
    </row>
    <row r="645" spans="1:10" ht="12">
      <c r="A645" s="53" t="s">
        <v>888</v>
      </c>
      <c r="B645" s="22"/>
      <c r="D645" s="178" t="s">
        <v>1114</v>
      </c>
      <c r="E645" s="179"/>
      <c r="F645" s="180"/>
      <c r="G645" s="26"/>
      <c r="H645" s="163"/>
      <c r="I645" s="30"/>
      <c r="J645" s="159"/>
    </row>
    <row r="646" spans="1:10" ht="12">
      <c r="A646" s="53" t="s">
        <v>890</v>
      </c>
      <c r="B646" s="22" t="s">
        <v>701</v>
      </c>
      <c r="D646" s="178" t="s">
        <v>735</v>
      </c>
      <c r="E646" s="179"/>
      <c r="F646" s="180">
        <v>11</v>
      </c>
      <c r="H646" s="45">
        <f aca="true" t="shared" si="24" ref="H646:H647">ROUND((F646*G646),2)</f>
        <v>0</v>
      </c>
      <c r="I646" s="30"/>
      <c r="J646" s="159"/>
    </row>
    <row r="647" spans="1:10" ht="12">
      <c r="A647" s="53" t="s">
        <v>892</v>
      </c>
      <c r="B647" s="22" t="s">
        <v>701</v>
      </c>
      <c r="D647" s="178" t="s">
        <v>737</v>
      </c>
      <c r="E647" s="179"/>
      <c r="F647" s="180">
        <v>1</v>
      </c>
      <c r="H647" s="45">
        <f t="shared" si="24"/>
        <v>0</v>
      </c>
      <c r="I647" s="30"/>
      <c r="J647" s="159"/>
    </row>
    <row r="648" spans="1:10" ht="12">
      <c r="A648" s="53" t="s">
        <v>895</v>
      </c>
      <c r="B648" s="22"/>
      <c r="D648" s="178" t="s">
        <v>1115</v>
      </c>
      <c r="E648" s="179"/>
      <c r="F648" s="180"/>
      <c r="G648" s="26"/>
      <c r="H648" s="163"/>
      <c r="I648" s="30"/>
      <c r="J648" s="159"/>
    </row>
    <row r="649" spans="1:10" ht="12">
      <c r="A649" s="53" t="s">
        <v>898</v>
      </c>
      <c r="B649" s="22" t="s">
        <v>701</v>
      </c>
      <c r="D649" s="178" t="s">
        <v>746</v>
      </c>
      <c r="E649" s="179"/>
      <c r="F649" s="180">
        <v>2</v>
      </c>
      <c r="H649" s="45">
        <f aca="true" t="shared" si="25" ref="H649:H650">ROUND((F649*G649),2)</f>
        <v>0</v>
      </c>
      <c r="I649" s="30"/>
      <c r="J649" s="159"/>
    </row>
    <row r="650" spans="1:10" ht="12">
      <c r="A650" s="53" t="s">
        <v>900</v>
      </c>
      <c r="B650" s="22" t="s">
        <v>701</v>
      </c>
      <c r="D650" s="178" t="s">
        <v>1113</v>
      </c>
      <c r="E650" s="179"/>
      <c r="F650" s="182">
        <v>1</v>
      </c>
      <c r="H650" s="45">
        <f t="shared" si="25"/>
        <v>0</v>
      </c>
      <c r="I650" s="30"/>
      <c r="J650" s="159"/>
    </row>
    <row r="651" spans="1:10" ht="12">
      <c r="A651" s="53" t="s">
        <v>903</v>
      </c>
      <c r="B651" s="22"/>
      <c r="D651" s="178" t="s">
        <v>1116</v>
      </c>
      <c r="E651" s="179"/>
      <c r="F651" s="180"/>
      <c r="G651" s="26"/>
      <c r="H651" s="163"/>
      <c r="I651" s="30"/>
      <c r="J651" s="159"/>
    </row>
    <row r="652" spans="1:10" ht="12">
      <c r="A652" s="53" t="s">
        <v>904</v>
      </c>
      <c r="B652" s="22" t="s">
        <v>701</v>
      </c>
      <c r="D652" s="178" t="s">
        <v>735</v>
      </c>
      <c r="E652" s="179"/>
      <c r="F652" s="180">
        <v>7</v>
      </c>
      <c r="H652" s="45">
        <f aca="true" t="shared" si="26" ref="H652:H653">ROUND((F652*G652),2)</f>
        <v>0</v>
      </c>
      <c r="I652" s="30"/>
      <c r="J652" s="159"/>
    </row>
    <row r="653" spans="1:10" ht="12">
      <c r="A653" s="53" t="s">
        <v>905</v>
      </c>
      <c r="B653" s="22" t="s">
        <v>701</v>
      </c>
      <c r="D653" s="178" t="s">
        <v>1113</v>
      </c>
      <c r="E653" s="179"/>
      <c r="F653" s="180">
        <v>1</v>
      </c>
      <c r="H653" s="45">
        <f t="shared" si="26"/>
        <v>0</v>
      </c>
      <c r="I653" s="30"/>
      <c r="J653" s="159"/>
    </row>
    <row r="654" spans="1:10" ht="12">
      <c r="A654" s="53" t="s">
        <v>907</v>
      </c>
      <c r="B654" s="22"/>
      <c r="D654" s="178" t="s">
        <v>1117</v>
      </c>
      <c r="E654" s="179"/>
      <c r="F654" s="180"/>
      <c r="G654" s="26"/>
      <c r="H654" s="163"/>
      <c r="I654" s="30"/>
      <c r="J654" s="159"/>
    </row>
    <row r="655" spans="1:10" ht="12">
      <c r="A655" s="53" t="s">
        <v>908</v>
      </c>
      <c r="B655" s="22" t="s">
        <v>701</v>
      </c>
      <c r="D655" s="178" t="s">
        <v>735</v>
      </c>
      <c r="E655" s="179"/>
      <c r="F655" s="180">
        <v>2</v>
      </c>
      <c r="H655" s="45">
        <f aca="true" t="shared" si="27" ref="H655:H657">ROUND((F655*G655),2)</f>
        <v>0</v>
      </c>
      <c r="I655" s="30"/>
      <c r="J655" s="159"/>
    </row>
    <row r="656" spans="1:10" ht="12">
      <c r="A656" s="53" t="s">
        <v>909</v>
      </c>
      <c r="B656" s="22" t="s">
        <v>701</v>
      </c>
      <c r="D656" s="178" t="s">
        <v>737</v>
      </c>
      <c r="E656" s="179"/>
      <c r="F656" s="180">
        <v>1</v>
      </c>
      <c r="H656" s="45">
        <f t="shared" si="27"/>
        <v>0</v>
      </c>
      <c r="I656" s="30"/>
      <c r="J656" s="159"/>
    </row>
    <row r="657" spans="1:10" ht="12">
      <c r="A657" s="53" t="s">
        <v>1160</v>
      </c>
      <c r="B657" s="22" t="s">
        <v>701</v>
      </c>
      <c r="D657" s="178" t="s">
        <v>1113</v>
      </c>
      <c r="E657" s="179"/>
      <c r="F657" s="180">
        <v>1</v>
      </c>
      <c r="H657" s="45">
        <f t="shared" si="27"/>
        <v>0</v>
      </c>
      <c r="I657" s="30"/>
      <c r="J657" s="159"/>
    </row>
    <row r="658" spans="1:10" ht="12">
      <c r="A658" s="53" t="s">
        <v>1161</v>
      </c>
      <c r="B658" s="22"/>
      <c r="D658" s="178" t="s">
        <v>1118</v>
      </c>
      <c r="E658" s="179"/>
      <c r="F658" s="180"/>
      <c r="G658" s="26"/>
      <c r="H658" s="163"/>
      <c r="I658" s="30"/>
      <c r="J658" s="159"/>
    </row>
    <row r="659" spans="1:10" ht="12">
      <c r="A659" s="53" t="s">
        <v>1162</v>
      </c>
      <c r="B659" s="22" t="s">
        <v>701</v>
      </c>
      <c r="D659" s="178" t="s">
        <v>1124</v>
      </c>
      <c r="E659" s="179"/>
      <c r="F659" s="180">
        <v>2</v>
      </c>
      <c r="H659" s="45">
        <f aca="true" t="shared" si="28" ref="H659:H660">ROUND((F659*G659),2)</f>
        <v>0</v>
      </c>
      <c r="I659" s="30"/>
      <c r="J659" s="159"/>
    </row>
    <row r="660" spans="1:10" ht="12">
      <c r="A660" s="53" t="s">
        <v>1163</v>
      </c>
      <c r="B660" s="22" t="s">
        <v>701</v>
      </c>
      <c r="D660" s="178" t="s">
        <v>1123</v>
      </c>
      <c r="E660" s="179"/>
      <c r="F660" s="180">
        <v>2</v>
      </c>
      <c r="H660" s="45">
        <f t="shared" si="28"/>
        <v>0</v>
      </c>
      <c r="I660" s="30"/>
      <c r="J660" s="159"/>
    </row>
    <row r="661" spans="1:10" ht="15.6" customHeight="1">
      <c r="A661" s="53" t="s">
        <v>1164</v>
      </c>
      <c r="B661" s="22"/>
      <c r="D661" s="178"/>
      <c r="E661" s="179"/>
      <c r="F661" s="183"/>
      <c r="G661" s="26"/>
      <c r="H661" s="175"/>
      <c r="I661" s="30"/>
      <c r="J661" s="159"/>
    </row>
    <row r="662" spans="1:10" ht="24">
      <c r="A662" s="53" t="s">
        <v>1165</v>
      </c>
      <c r="B662" s="22"/>
      <c r="D662" s="184" t="s">
        <v>1330</v>
      </c>
      <c r="E662" s="185" t="s">
        <v>1120</v>
      </c>
      <c r="F662" s="182">
        <f>SUM(F664:F696)</f>
        <v>91</v>
      </c>
      <c r="G662" s="26"/>
      <c r="H662" s="175"/>
      <c r="I662" s="30"/>
      <c r="J662" s="159"/>
    </row>
    <row r="663" spans="1:10" ht="12">
      <c r="A663" s="53" t="s">
        <v>1166</v>
      </c>
      <c r="B663" s="22"/>
      <c r="D663" s="186" t="s">
        <v>1110</v>
      </c>
      <c r="E663" s="179"/>
      <c r="F663" s="187"/>
      <c r="G663" s="26"/>
      <c r="H663" s="163"/>
      <c r="I663" s="30"/>
      <c r="J663" s="159"/>
    </row>
    <row r="664" spans="1:10" ht="12">
      <c r="A664" s="53" t="s">
        <v>1167</v>
      </c>
      <c r="B664" s="22" t="s">
        <v>701</v>
      </c>
      <c r="D664" s="178" t="s">
        <v>1121</v>
      </c>
      <c r="E664" s="179"/>
      <c r="F664" s="188">
        <v>6</v>
      </c>
      <c r="H664" s="45">
        <f aca="true" t="shared" si="29" ref="H664:H665">ROUND((F664*G664),2)</f>
        <v>0</v>
      </c>
      <c r="I664" s="30"/>
      <c r="J664" s="159"/>
    </row>
    <row r="665" spans="1:10" ht="12">
      <c r="A665" s="53" t="s">
        <v>1168</v>
      </c>
      <c r="B665" s="22" t="s">
        <v>701</v>
      </c>
      <c r="D665" s="178" t="s">
        <v>1113</v>
      </c>
      <c r="E665" s="179"/>
      <c r="F665" s="188">
        <v>4</v>
      </c>
      <c r="H665" s="45">
        <f t="shared" si="29"/>
        <v>0</v>
      </c>
      <c r="I665" s="30"/>
      <c r="J665" s="159"/>
    </row>
    <row r="666" spans="1:10" ht="12">
      <c r="A666" s="53" t="s">
        <v>1169</v>
      </c>
      <c r="B666" s="22"/>
      <c r="D666" s="178" t="s">
        <v>1111</v>
      </c>
      <c r="E666" s="179"/>
      <c r="F666" s="188"/>
      <c r="G666" s="26"/>
      <c r="H666" s="163"/>
      <c r="I666" s="30"/>
      <c r="J666" s="159"/>
    </row>
    <row r="667" spans="1:10" ht="12">
      <c r="A667" s="53" t="s">
        <v>1170</v>
      </c>
      <c r="B667" s="22" t="s">
        <v>701</v>
      </c>
      <c r="D667" s="178" t="s">
        <v>1121</v>
      </c>
      <c r="E667" s="179"/>
      <c r="F667" s="188">
        <v>1</v>
      </c>
      <c r="H667" s="45">
        <f aca="true" t="shared" si="30" ref="H667:H668">ROUND((F667*G667),2)</f>
        <v>0</v>
      </c>
      <c r="I667" s="30"/>
      <c r="J667" s="159"/>
    </row>
    <row r="668" spans="1:10" ht="12">
      <c r="A668" s="53" t="s">
        <v>1171</v>
      </c>
      <c r="B668" s="22" t="s">
        <v>701</v>
      </c>
      <c r="D668" s="178" t="s">
        <v>1113</v>
      </c>
      <c r="E668" s="179"/>
      <c r="F668" s="188">
        <v>7</v>
      </c>
      <c r="H668" s="45">
        <f t="shared" si="30"/>
        <v>0</v>
      </c>
      <c r="I668" s="30"/>
      <c r="J668" s="159"/>
    </row>
    <row r="669" spans="1:10" ht="12">
      <c r="A669" s="53" t="s">
        <v>1172</v>
      </c>
      <c r="B669" s="22"/>
      <c r="D669" s="178" t="s">
        <v>1112</v>
      </c>
      <c r="E669" s="179"/>
      <c r="F669" s="188"/>
      <c r="G669" s="26"/>
      <c r="H669" s="163"/>
      <c r="I669" s="30"/>
      <c r="J669" s="159"/>
    </row>
    <row r="670" spans="1:10" ht="12">
      <c r="A670" s="53" t="s">
        <v>1173</v>
      </c>
      <c r="B670" s="22" t="s">
        <v>701</v>
      </c>
      <c r="D670" s="178" t="s">
        <v>735</v>
      </c>
      <c r="E670" s="179"/>
      <c r="F670" s="188">
        <v>1</v>
      </c>
      <c r="H670" s="45">
        <f aca="true" t="shared" si="31" ref="H670:H673">ROUND((F670*G670),2)</f>
        <v>0</v>
      </c>
      <c r="I670" s="30"/>
      <c r="J670" s="159"/>
    </row>
    <row r="671" spans="1:10" ht="12">
      <c r="A671" s="53" t="s">
        <v>1174</v>
      </c>
      <c r="B671" s="22" t="s">
        <v>701</v>
      </c>
      <c r="D671" s="178" t="s">
        <v>746</v>
      </c>
      <c r="E671" s="179"/>
      <c r="F671" s="188">
        <v>1</v>
      </c>
      <c r="H671" s="45">
        <f t="shared" si="31"/>
        <v>0</v>
      </c>
      <c r="I671" s="30"/>
      <c r="J671" s="159"/>
    </row>
    <row r="672" spans="1:10" ht="12">
      <c r="A672" s="53" t="s">
        <v>1175</v>
      </c>
      <c r="B672" s="22" t="s">
        <v>701</v>
      </c>
      <c r="D672" s="178" t="s">
        <v>1113</v>
      </c>
      <c r="E672" s="179"/>
      <c r="F672" s="188">
        <v>4</v>
      </c>
      <c r="H672" s="45">
        <f t="shared" si="31"/>
        <v>0</v>
      </c>
      <c r="I672" s="30"/>
      <c r="J672" s="159"/>
    </row>
    <row r="673" spans="1:10" ht="12">
      <c r="A673" s="53" t="s">
        <v>1176</v>
      </c>
      <c r="B673" s="22" t="s">
        <v>701</v>
      </c>
      <c r="D673" s="178" t="s">
        <v>1121</v>
      </c>
      <c r="E673" s="179"/>
      <c r="F673" s="188">
        <v>3</v>
      </c>
      <c r="H673" s="45">
        <f t="shared" si="31"/>
        <v>0</v>
      </c>
      <c r="I673" s="30"/>
      <c r="J673" s="159"/>
    </row>
    <row r="674" spans="1:10" ht="12">
      <c r="A674" s="53" t="s">
        <v>1177</v>
      </c>
      <c r="B674" s="22"/>
      <c r="D674" s="178" t="s">
        <v>1114</v>
      </c>
      <c r="E674" s="179"/>
      <c r="F674" s="188"/>
      <c r="G674" s="26"/>
      <c r="H674" s="163"/>
      <c r="I674" s="30"/>
      <c r="J674" s="159"/>
    </row>
    <row r="675" spans="1:10" ht="12">
      <c r="A675" s="53" t="s">
        <v>1178</v>
      </c>
      <c r="B675" s="22" t="s">
        <v>701</v>
      </c>
      <c r="D675" s="178" t="s">
        <v>735</v>
      </c>
      <c r="E675" s="179"/>
      <c r="F675" s="188">
        <v>9</v>
      </c>
      <c r="H675" s="45">
        <f aca="true" t="shared" si="32" ref="H675:H696">ROUND((F675*G675),2)</f>
        <v>0</v>
      </c>
      <c r="I675" s="30"/>
      <c r="J675" s="159"/>
    </row>
    <row r="676" spans="1:10" ht="12">
      <c r="A676" s="53" t="s">
        <v>1179</v>
      </c>
      <c r="B676" s="22" t="s">
        <v>701</v>
      </c>
      <c r="D676" s="178" t="s">
        <v>737</v>
      </c>
      <c r="E676" s="179"/>
      <c r="F676" s="188">
        <v>1</v>
      </c>
      <c r="H676" s="45">
        <f t="shared" si="32"/>
        <v>0</v>
      </c>
      <c r="I676" s="30"/>
      <c r="J676" s="159"/>
    </row>
    <row r="677" spans="1:10" ht="12">
      <c r="A677" s="53" t="s">
        <v>1180</v>
      </c>
      <c r="B677" s="22" t="s">
        <v>701</v>
      </c>
      <c r="D677" s="178" t="s">
        <v>746</v>
      </c>
      <c r="E677" s="179"/>
      <c r="F677" s="188">
        <v>1</v>
      </c>
      <c r="H677" s="45">
        <f t="shared" si="32"/>
        <v>0</v>
      </c>
      <c r="I677" s="30"/>
      <c r="J677" s="159"/>
    </row>
    <row r="678" spans="1:10" ht="12">
      <c r="A678" s="53" t="s">
        <v>1181</v>
      </c>
      <c r="B678" s="22" t="s">
        <v>701</v>
      </c>
      <c r="D678" s="178" t="s">
        <v>1113</v>
      </c>
      <c r="E678" s="179"/>
      <c r="F678" s="188">
        <v>1</v>
      </c>
      <c r="H678" s="45">
        <f t="shared" si="32"/>
        <v>0</v>
      </c>
      <c r="I678" s="30"/>
      <c r="J678" s="159"/>
    </row>
    <row r="679" spans="1:10" ht="12">
      <c r="A679" s="53" t="s">
        <v>1182</v>
      </c>
      <c r="B679" s="22"/>
      <c r="D679" s="178" t="s">
        <v>1115</v>
      </c>
      <c r="E679" s="179"/>
      <c r="F679" s="188"/>
      <c r="G679" s="26"/>
      <c r="H679" s="163"/>
      <c r="I679" s="30"/>
      <c r="J679" s="159"/>
    </row>
    <row r="680" spans="1:10" ht="12">
      <c r="A680" s="53" t="s">
        <v>1183</v>
      </c>
      <c r="B680" s="22" t="s">
        <v>701</v>
      </c>
      <c r="D680" s="178" t="s">
        <v>746</v>
      </c>
      <c r="E680" s="179"/>
      <c r="F680" s="188">
        <v>8</v>
      </c>
      <c r="H680" s="45">
        <f t="shared" si="32"/>
        <v>0</v>
      </c>
      <c r="I680" s="30"/>
      <c r="J680" s="159"/>
    </row>
    <row r="681" spans="1:10" ht="12">
      <c r="A681" s="53" t="s">
        <v>1184</v>
      </c>
      <c r="B681" s="22" t="s">
        <v>701</v>
      </c>
      <c r="D681" s="178" t="s">
        <v>1113</v>
      </c>
      <c r="E681" s="179"/>
      <c r="F681" s="188">
        <v>1</v>
      </c>
      <c r="H681" s="45">
        <f t="shared" si="32"/>
        <v>0</v>
      </c>
      <c r="I681" s="30"/>
      <c r="J681" s="159"/>
    </row>
    <row r="682" spans="1:10" ht="12">
      <c r="A682" s="53" t="s">
        <v>1185</v>
      </c>
      <c r="B682" s="22" t="s">
        <v>701</v>
      </c>
      <c r="D682" s="178" t="s">
        <v>1121</v>
      </c>
      <c r="E682" s="179"/>
      <c r="F682" s="188">
        <v>2</v>
      </c>
      <c r="H682" s="45">
        <f t="shared" si="32"/>
        <v>0</v>
      </c>
      <c r="I682" s="30"/>
      <c r="J682" s="159"/>
    </row>
    <row r="683" spans="1:10" ht="12">
      <c r="A683" s="53" t="s">
        <v>1186</v>
      </c>
      <c r="B683" s="22"/>
      <c r="D683" s="178" t="s">
        <v>1116</v>
      </c>
      <c r="E683" s="179"/>
      <c r="F683" s="188"/>
      <c r="G683" s="26"/>
      <c r="H683" s="163"/>
      <c r="I683" s="30"/>
      <c r="J683" s="159"/>
    </row>
    <row r="684" spans="1:10" ht="12">
      <c r="A684" s="53" t="s">
        <v>1187</v>
      </c>
      <c r="B684" s="22" t="s">
        <v>701</v>
      </c>
      <c r="D684" s="178" t="s">
        <v>735</v>
      </c>
      <c r="E684" s="179"/>
      <c r="F684" s="188">
        <v>1</v>
      </c>
      <c r="H684" s="45">
        <f t="shared" si="32"/>
        <v>0</v>
      </c>
      <c r="I684" s="30"/>
      <c r="J684" s="159"/>
    </row>
    <row r="685" spans="1:10" ht="12">
      <c r="A685" s="53" t="s">
        <v>1188</v>
      </c>
      <c r="B685" s="22" t="s">
        <v>701</v>
      </c>
      <c r="D685" s="178" t="s">
        <v>737</v>
      </c>
      <c r="E685" s="179"/>
      <c r="F685" s="188">
        <v>4</v>
      </c>
      <c r="H685" s="45">
        <f t="shared" si="32"/>
        <v>0</v>
      </c>
      <c r="I685" s="30"/>
      <c r="J685" s="159"/>
    </row>
    <row r="686" spans="1:10" ht="12">
      <c r="A686" s="53" t="s">
        <v>1189</v>
      </c>
      <c r="B686" s="22" t="s">
        <v>701</v>
      </c>
      <c r="D686" s="178" t="s">
        <v>746</v>
      </c>
      <c r="E686" s="179"/>
      <c r="F686" s="188">
        <v>12</v>
      </c>
      <c r="H686" s="45">
        <f t="shared" si="32"/>
        <v>0</v>
      </c>
      <c r="I686" s="30"/>
      <c r="J686" s="159"/>
    </row>
    <row r="687" spans="1:10" ht="12">
      <c r="A687" s="53" t="s">
        <v>1190</v>
      </c>
      <c r="B687" s="22" t="s">
        <v>701</v>
      </c>
      <c r="D687" s="178" t="s">
        <v>1121</v>
      </c>
      <c r="E687" s="179"/>
      <c r="F687" s="188">
        <v>1</v>
      </c>
      <c r="H687" s="45">
        <f t="shared" si="32"/>
        <v>0</v>
      </c>
      <c r="I687" s="30"/>
      <c r="J687" s="159"/>
    </row>
    <row r="688" spans="1:10" ht="12">
      <c r="A688" s="53" t="s">
        <v>1191</v>
      </c>
      <c r="B688" s="22"/>
      <c r="D688" s="178" t="s">
        <v>1117</v>
      </c>
      <c r="E688" s="179"/>
      <c r="F688" s="188"/>
      <c r="G688" s="26"/>
      <c r="H688" s="163"/>
      <c r="I688" s="30"/>
      <c r="J688" s="159"/>
    </row>
    <row r="689" spans="1:10" ht="12">
      <c r="A689" s="53" t="s">
        <v>1192</v>
      </c>
      <c r="B689" s="22" t="s">
        <v>701</v>
      </c>
      <c r="D689" s="178" t="s">
        <v>735</v>
      </c>
      <c r="E689" s="179"/>
      <c r="F689" s="188">
        <v>1</v>
      </c>
      <c r="H689" s="45">
        <f t="shared" si="32"/>
        <v>0</v>
      </c>
      <c r="I689" s="30"/>
      <c r="J689" s="159"/>
    </row>
    <row r="690" spans="1:10" ht="12">
      <c r="A690" s="53" t="s">
        <v>1193</v>
      </c>
      <c r="B690" s="22" t="s">
        <v>701</v>
      </c>
      <c r="D690" s="178" t="s">
        <v>737</v>
      </c>
      <c r="E690" s="179"/>
      <c r="F690" s="188">
        <v>6</v>
      </c>
      <c r="H690" s="45">
        <f t="shared" si="32"/>
        <v>0</v>
      </c>
      <c r="I690" s="30"/>
      <c r="J690" s="159"/>
    </row>
    <row r="691" spans="1:10" ht="12">
      <c r="A691" s="53" t="s">
        <v>1194</v>
      </c>
      <c r="B691" s="22" t="s">
        <v>701</v>
      </c>
      <c r="D691" s="178" t="s">
        <v>746</v>
      </c>
      <c r="E691" s="179"/>
      <c r="F691" s="188">
        <v>10</v>
      </c>
      <c r="H691" s="45">
        <f t="shared" si="32"/>
        <v>0</v>
      </c>
      <c r="I691" s="30"/>
      <c r="J691" s="159"/>
    </row>
    <row r="692" spans="1:10" ht="12">
      <c r="A692" s="53" t="s">
        <v>1195</v>
      </c>
      <c r="B692" s="22" t="s">
        <v>701</v>
      </c>
      <c r="D692" s="178" t="s">
        <v>1121</v>
      </c>
      <c r="E692" s="179"/>
      <c r="F692" s="188">
        <v>1</v>
      </c>
      <c r="H692" s="45">
        <f t="shared" si="32"/>
        <v>0</v>
      </c>
      <c r="I692" s="30"/>
      <c r="J692" s="159"/>
    </row>
    <row r="693" spans="1:10" ht="12">
      <c r="A693" s="53" t="s">
        <v>1196</v>
      </c>
      <c r="B693" s="22"/>
      <c r="D693" s="178" t="s">
        <v>1118</v>
      </c>
      <c r="E693" s="179"/>
      <c r="F693" s="188"/>
      <c r="G693" s="26"/>
      <c r="H693" s="163"/>
      <c r="I693" s="30"/>
      <c r="J693" s="159"/>
    </row>
    <row r="694" spans="1:10" ht="12">
      <c r="A694" s="53" t="s">
        <v>1197</v>
      </c>
      <c r="B694" s="22" t="s">
        <v>701</v>
      </c>
      <c r="D694" s="178" t="s">
        <v>1122</v>
      </c>
      <c r="E694" s="179"/>
      <c r="F694" s="188">
        <v>1</v>
      </c>
      <c r="H694" s="45">
        <f t="shared" si="32"/>
        <v>0</v>
      </c>
      <c r="I694" s="30"/>
      <c r="J694" s="159"/>
    </row>
    <row r="695" spans="1:10" ht="12">
      <c r="A695" s="53" t="s">
        <v>1198</v>
      </c>
      <c r="B695" s="22" t="s">
        <v>701</v>
      </c>
      <c r="D695" s="178" t="s">
        <v>1125</v>
      </c>
      <c r="E695" s="179"/>
      <c r="F695" s="188">
        <v>2</v>
      </c>
      <c r="H695" s="45">
        <f t="shared" si="32"/>
        <v>0</v>
      </c>
      <c r="I695" s="30"/>
      <c r="J695" s="159"/>
    </row>
    <row r="696" spans="1:10" ht="12">
      <c r="A696" s="53" t="s">
        <v>1199</v>
      </c>
      <c r="B696" s="22" t="s">
        <v>701</v>
      </c>
      <c r="D696" s="178" t="s">
        <v>1121</v>
      </c>
      <c r="E696" s="179"/>
      <c r="F696" s="188">
        <v>2</v>
      </c>
      <c r="H696" s="45">
        <f t="shared" si="32"/>
        <v>0</v>
      </c>
      <c r="I696" s="30"/>
      <c r="J696" s="159"/>
    </row>
    <row r="697" spans="1:10" ht="12">
      <c r="A697" s="53" t="s">
        <v>1200</v>
      </c>
      <c r="B697" s="22"/>
      <c r="D697" s="178"/>
      <c r="E697" s="179"/>
      <c r="F697" s="188"/>
      <c r="G697" s="26"/>
      <c r="H697" s="163"/>
      <c r="I697" s="30"/>
      <c r="J697" s="159"/>
    </row>
    <row r="698" spans="1:10" ht="24">
      <c r="A698" s="53" t="s">
        <v>1201</v>
      </c>
      <c r="B698" s="22" t="s">
        <v>733</v>
      </c>
      <c r="D698" s="184" t="s">
        <v>751</v>
      </c>
      <c r="E698" s="179"/>
      <c r="F698" s="187">
        <f>SUM(F699:F703)</f>
        <v>154</v>
      </c>
      <c r="G698" s="26"/>
      <c r="H698" s="163"/>
      <c r="I698" s="30"/>
      <c r="J698" s="159"/>
    </row>
    <row r="699" spans="1:10" ht="12">
      <c r="A699" s="53" t="s">
        <v>1202</v>
      </c>
      <c r="B699" s="22" t="s">
        <v>733</v>
      </c>
      <c r="D699" s="189" t="s">
        <v>735</v>
      </c>
      <c r="E699" s="179" t="s">
        <v>91</v>
      </c>
      <c r="F699" s="187">
        <v>22</v>
      </c>
      <c r="H699" s="45">
        <f aca="true" t="shared" si="33" ref="H699:H704">ROUND((F699*G699),2)</f>
        <v>0</v>
      </c>
      <c r="I699" s="30"/>
      <c r="J699" s="159"/>
    </row>
    <row r="700" spans="1:10" ht="12">
      <c r="A700" s="53" t="s">
        <v>1203</v>
      </c>
      <c r="B700" s="22" t="s">
        <v>733</v>
      </c>
      <c r="D700" s="189" t="s">
        <v>737</v>
      </c>
      <c r="E700" s="190" t="s">
        <v>744</v>
      </c>
      <c r="F700" s="187">
        <v>26</v>
      </c>
      <c r="H700" s="45">
        <f t="shared" si="33"/>
        <v>0</v>
      </c>
      <c r="I700" s="30"/>
      <c r="J700" s="159"/>
    </row>
    <row r="701" spans="1:10" ht="12">
      <c r="A701" s="53" t="s">
        <v>1204</v>
      </c>
      <c r="B701" s="22" t="s">
        <v>733</v>
      </c>
      <c r="D701" s="189" t="s">
        <v>746</v>
      </c>
      <c r="E701" s="179" t="s">
        <v>91</v>
      </c>
      <c r="F701" s="187">
        <v>48</v>
      </c>
      <c r="H701" s="45">
        <f t="shared" si="33"/>
        <v>0</v>
      </c>
      <c r="I701" s="30"/>
      <c r="J701" s="159"/>
    </row>
    <row r="702" spans="1:10" ht="12">
      <c r="A702" s="53" t="s">
        <v>1205</v>
      </c>
      <c r="B702" s="22" t="s">
        <v>733</v>
      </c>
      <c r="D702" s="189" t="s">
        <v>740</v>
      </c>
      <c r="E702" s="179" t="s">
        <v>91</v>
      </c>
      <c r="F702" s="187">
        <v>28</v>
      </c>
      <c r="H702" s="45">
        <f t="shared" si="33"/>
        <v>0</v>
      </c>
      <c r="I702" s="30"/>
      <c r="J702" s="159"/>
    </row>
    <row r="703" spans="1:10" ht="12">
      <c r="A703" s="53" t="s">
        <v>1206</v>
      </c>
      <c r="B703" s="22" t="s">
        <v>733</v>
      </c>
      <c r="D703" s="189" t="s">
        <v>749</v>
      </c>
      <c r="E703" s="179" t="s">
        <v>91</v>
      </c>
      <c r="F703" s="187">
        <v>30</v>
      </c>
      <c r="H703" s="45">
        <f t="shared" si="33"/>
        <v>0</v>
      </c>
      <c r="I703" s="30"/>
      <c r="J703" s="159"/>
    </row>
    <row r="704" spans="1:10" ht="12">
      <c r="A704" s="53" t="s">
        <v>1207</v>
      </c>
      <c r="B704" s="22" t="s">
        <v>733</v>
      </c>
      <c r="D704" s="191" t="s">
        <v>758</v>
      </c>
      <c r="E704" s="156" t="s">
        <v>91</v>
      </c>
      <c r="F704" s="174">
        <v>504</v>
      </c>
      <c r="H704" s="45">
        <f t="shared" si="33"/>
        <v>0</v>
      </c>
      <c r="I704" s="30"/>
      <c r="J704" s="159"/>
    </row>
    <row r="705" spans="1:10" ht="12">
      <c r="A705" s="53" t="s">
        <v>1208</v>
      </c>
      <c r="B705" s="22"/>
      <c r="D705" s="192"/>
      <c r="E705" s="156"/>
      <c r="F705" s="174"/>
      <c r="G705" s="26"/>
      <c r="H705" s="163"/>
      <c r="I705" s="30"/>
      <c r="J705" s="159"/>
    </row>
    <row r="706" spans="1:10" ht="48">
      <c r="A706" s="53" t="s">
        <v>1209</v>
      </c>
      <c r="B706" s="22"/>
      <c r="D706" s="30" t="s">
        <v>1428</v>
      </c>
      <c r="E706" s="156"/>
      <c r="F706" s="174"/>
      <c r="G706" s="26"/>
      <c r="H706" s="163"/>
      <c r="I706" s="30"/>
      <c r="J706" s="159"/>
    </row>
    <row r="707" spans="1:47" s="193" customFormat="1" ht="12">
      <c r="A707" s="53" t="s">
        <v>1210</v>
      </c>
      <c r="B707" s="22" t="s">
        <v>733</v>
      </c>
      <c r="C707" s="22"/>
      <c r="D707" s="172" t="s">
        <v>762</v>
      </c>
      <c r="E707" s="37" t="s">
        <v>744</v>
      </c>
      <c r="F707" s="174">
        <v>111</v>
      </c>
      <c r="G707" s="181"/>
      <c r="H707" s="45">
        <f aca="true" t="shared" si="34" ref="H707:H709">ROUND((F707*G707),2)</f>
        <v>0</v>
      </c>
      <c r="J707" s="159"/>
      <c r="K707" s="30"/>
      <c r="L707" s="30"/>
      <c r="M707" s="30"/>
      <c r="N707" s="30"/>
      <c r="O707" s="30"/>
      <c r="P707" s="30"/>
      <c r="Q707" s="30"/>
      <c r="R707" s="30"/>
      <c r="S707" s="30"/>
      <c r="T707" s="30"/>
      <c r="U707" s="30"/>
      <c r="V707" s="30"/>
      <c r="W707" s="30"/>
      <c r="X707" s="30"/>
      <c r="Y707" s="30"/>
      <c r="Z707" s="30"/>
      <c r="AA707" s="30"/>
      <c r="AB707" s="30"/>
      <c r="AC707" s="30"/>
      <c r="AD707" s="30"/>
      <c r="AE707" s="30"/>
      <c r="AF707" s="30"/>
      <c r="AG707" s="30"/>
      <c r="AH707" s="30"/>
      <c r="AI707" s="30"/>
      <c r="AJ707" s="30"/>
      <c r="AK707" s="30"/>
      <c r="AL707" s="30"/>
      <c r="AM707" s="30"/>
      <c r="AN707" s="30"/>
      <c r="AO707" s="30"/>
      <c r="AP707" s="30"/>
      <c r="AQ707" s="30"/>
      <c r="AR707" s="30"/>
      <c r="AS707" s="30"/>
      <c r="AT707" s="30"/>
      <c r="AU707" s="30"/>
    </row>
    <row r="708" spans="1:47" s="193" customFormat="1" ht="12">
      <c r="A708" s="53" t="s">
        <v>1211</v>
      </c>
      <c r="B708" s="22" t="s">
        <v>733</v>
      </c>
      <c r="C708" s="22"/>
      <c r="D708" s="172" t="s">
        <v>764</v>
      </c>
      <c r="E708" s="37" t="s">
        <v>744</v>
      </c>
      <c r="F708" s="174">
        <v>185</v>
      </c>
      <c r="G708" s="181"/>
      <c r="H708" s="45">
        <f t="shared" si="34"/>
        <v>0</v>
      </c>
      <c r="J708" s="159"/>
      <c r="K708" s="30"/>
      <c r="L708" s="30"/>
      <c r="M708" s="30"/>
      <c r="N708" s="30"/>
      <c r="O708" s="30"/>
      <c r="P708" s="30"/>
      <c r="Q708" s="30"/>
      <c r="R708" s="30"/>
      <c r="S708" s="30"/>
      <c r="T708" s="30"/>
      <c r="U708" s="30"/>
      <c r="V708" s="30"/>
      <c r="W708" s="30"/>
      <c r="X708" s="30"/>
      <c r="Y708" s="30"/>
      <c r="Z708" s="30"/>
      <c r="AA708" s="30"/>
      <c r="AB708" s="30"/>
      <c r="AC708" s="30"/>
      <c r="AD708" s="30"/>
      <c r="AE708" s="30"/>
      <c r="AF708" s="30"/>
      <c r="AG708" s="30"/>
      <c r="AH708" s="30"/>
      <c r="AI708" s="30"/>
      <c r="AJ708" s="30"/>
      <c r="AK708" s="30"/>
      <c r="AL708" s="30"/>
      <c r="AM708" s="30"/>
      <c r="AN708" s="30"/>
      <c r="AO708" s="30"/>
      <c r="AP708" s="30"/>
      <c r="AQ708" s="30"/>
      <c r="AR708" s="30"/>
      <c r="AS708" s="30"/>
      <c r="AT708" s="30"/>
      <c r="AU708" s="30"/>
    </row>
    <row r="709" spans="1:47" s="193" customFormat="1" ht="12">
      <c r="A709" s="53" t="s">
        <v>1212</v>
      </c>
      <c r="B709" s="22" t="s">
        <v>733</v>
      </c>
      <c r="C709" s="22"/>
      <c r="D709" s="172" t="s">
        <v>1333</v>
      </c>
      <c r="E709" s="37" t="s">
        <v>744</v>
      </c>
      <c r="F709" s="174">
        <v>118</v>
      </c>
      <c r="G709" s="181"/>
      <c r="H709" s="45">
        <f t="shared" si="34"/>
        <v>0</v>
      </c>
      <c r="J709" s="159"/>
      <c r="K709" s="30"/>
      <c r="L709" s="30"/>
      <c r="M709" s="30"/>
      <c r="N709" s="30"/>
      <c r="O709" s="30"/>
      <c r="P709" s="30"/>
      <c r="Q709" s="30"/>
      <c r="R709" s="30"/>
      <c r="S709" s="30"/>
      <c r="T709" s="30"/>
      <c r="U709" s="30"/>
      <c r="V709" s="30"/>
      <c r="W709" s="30"/>
      <c r="X709" s="30"/>
      <c r="Y709" s="30"/>
      <c r="Z709" s="30"/>
      <c r="AA709" s="30"/>
      <c r="AB709" s="30"/>
      <c r="AC709" s="30"/>
      <c r="AD709" s="30"/>
      <c r="AE709" s="30"/>
      <c r="AF709" s="30"/>
      <c r="AG709" s="30"/>
      <c r="AH709" s="30"/>
      <c r="AI709" s="30"/>
      <c r="AJ709" s="30"/>
      <c r="AK709" s="30"/>
      <c r="AL709" s="30"/>
      <c r="AM709" s="30"/>
      <c r="AN709" s="30"/>
      <c r="AO709" s="30"/>
      <c r="AP709" s="30"/>
      <c r="AQ709" s="30"/>
      <c r="AR709" s="30"/>
      <c r="AS709" s="30"/>
      <c r="AT709" s="30"/>
      <c r="AU709" s="30"/>
    </row>
    <row r="710" spans="1:47" s="193" customFormat="1" ht="24">
      <c r="A710" s="53" t="s">
        <v>1213</v>
      </c>
      <c r="B710" s="22"/>
      <c r="C710" s="22"/>
      <c r="D710" s="172" t="s">
        <v>1324</v>
      </c>
      <c r="E710" s="37" t="s">
        <v>744</v>
      </c>
      <c r="F710" s="174"/>
      <c r="G710" s="26"/>
      <c r="H710" s="163"/>
      <c r="J710" s="159"/>
      <c r="K710" s="30"/>
      <c r="L710" s="30"/>
      <c r="M710" s="30"/>
      <c r="N710" s="30"/>
      <c r="O710" s="30"/>
      <c r="P710" s="30"/>
      <c r="Q710" s="30"/>
      <c r="R710" s="30"/>
      <c r="S710" s="30"/>
      <c r="T710" s="30"/>
      <c r="U710" s="30"/>
      <c r="V710" s="30"/>
      <c r="W710" s="30"/>
      <c r="X710" s="30"/>
      <c r="Y710" s="30"/>
      <c r="Z710" s="30"/>
      <c r="AA710" s="30"/>
      <c r="AB710" s="30"/>
      <c r="AC710" s="30"/>
      <c r="AD710" s="30"/>
      <c r="AE710" s="30"/>
      <c r="AF710" s="30"/>
      <c r="AG710" s="30"/>
      <c r="AH710" s="30"/>
      <c r="AI710" s="30"/>
      <c r="AJ710" s="30"/>
      <c r="AK710" s="30"/>
      <c r="AL710" s="30"/>
      <c r="AM710" s="30"/>
      <c r="AN710" s="30"/>
      <c r="AO710" s="30"/>
      <c r="AP710" s="30"/>
      <c r="AQ710" s="30"/>
      <c r="AR710" s="30"/>
      <c r="AS710" s="30"/>
      <c r="AT710" s="30"/>
      <c r="AU710" s="30"/>
    </row>
    <row r="711" spans="1:47" s="193" customFormat="1" ht="12">
      <c r="A711" s="53" t="s">
        <v>1214</v>
      </c>
      <c r="B711" s="22" t="s">
        <v>733</v>
      </c>
      <c r="C711" s="22"/>
      <c r="D711" s="172" t="s">
        <v>768</v>
      </c>
      <c r="E711" s="37" t="s">
        <v>744</v>
      </c>
      <c r="F711" s="174">
        <v>1</v>
      </c>
      <c r="G711" s="181"/>
      <c r="H711" s="45">
        <f aca="true" t="shared" si="35" ref="H711:H760">ROUND((F711*G711),2)</f>
        <v>0</v>
      </c>
      <c r="J711" s="159"/>
      <c r="K711" s="30"/>
      <c r="L711" s="30"/>
      <c r="M711" s="30"/>
      <c r="N711" s="30"/>
      <c r="O711" s="30"/>
      <c r="P711" s="30"/>
      <c r="Q711" s="30"/>
      <c r="R711" s="30"/>
      <c r="S711" s="30"/>
      <c r="T711" s="30"/>
      <c r="U711" s="30"/>
      <c r="V711" s="30"/>
      <c r="W711" s="30"/>
      <c r="X711" s="30"/>
      <c r="Y711" s="30"/>
      <c r="Z711" s="30"/>
      <c r="AA711" s="30"/>
      <c r="AB711" s="30"/>
      <c r="AC711" s="30"/>
      <c r="AD711" s="30"/>
      <c r="AE711" s="30"/>
      <c r="AF711" s="30"/>
      <c r="AG711" s="30"/>
      <c r="AH711" s="30"/>
      <c r="AI711" s="30"/>
      <c r="AJ711" s="30"/>
      <c r="AK711" s="30"/>
      <c r="AL711" s="30"/>
      <c r="AM711" s="30"/>
      <c r="AN711" s="30"/>
      <c r="AO711" s="30"/>
      <c r="AP711" s="30"/>
      <c r="AQ711" s="30"/>
      <c r="AR711" s="30"/>
      <c r="AS711" s="30"/>
      <c r="AT711" s="30"/>
      <c r="AU711" s="30"/>
    </row>
    <row r="712" spans="1:47" s="193" customFormat="1" ht="12">
      <c r="A712" s="53" t="s">
        <v>1215</v>
      </c>
      <c r="B712" s="22" t="s">
        <v>733</v>
      </c>
      <c r="C712" s="22"/>
      <c r="D712" s="172" t="s">
        <v>770</v>
      </c>
      <c r="E712" s="37" t="s">
        <v>744</v>
      </c>
      <c r="F712" s="174">
        <v>1</v>
      </c>
      <c r="G712" s="181"/>
      <c r="H712" s="45">
        <f t="shared" si="35"/>
        <v>0</v>
      </c>
      <c r="J712" s="159"/>
      <c r="K712" s="30"/>
      <c r="L712" s="30"/>
      <c r="M712" s="30"/>
      <c r="N712" s="30"/>
      <c r="O712" s="30"/>
      <c r="P712" s="30"/>
      <c r="Q712" s="30"/>
      <c r="R712" s="30"/>
      <c r="S712" s="30"/>
      <c r="T712" s="30"/>
      <c r="U712" s="30"/>
      <c r="V712" s="30"/>
      <c r="W712" s="30"/>
      <c r="X712" s="30"/>
      <c r="Y712" s="30"/>
      <c r="Z712" s="30"/>
      <c r="AA712" s="30"/>
      <c r="AB712" s="30"/>
      <c r="AC712" s="30"/>
      <c r="AD712" s="30"/>
      <c r="AE712" s="30"/>
      <c r="AF712" s="30"/>
      <c r="AG712" s="30"/>
      <c r="AH712" s="30"/>
      <c r="AI712" s="30"/>
      <c r="AJ712" s="30"/>
      <c r="AK712" s="30"/>
      <c r="AL712" s="30"/>
      <c r="AM712" s="30"/>
      <c r="AN712" s="30"/>
      <c r="AO712" s="30"/>
      <c r="AP712" s="30"/>
      <c r="AQ712" s="30"/>
      <c r="AR712" s="30"/>
      <c r="AS712" s="30"/>
      <c r="AT712" s="30"/>
      <c r="AU712" s="30"/>
    </row>
    <row r="713" spans="1:47" s="193" customFormat="1" ht="36">
      <c r="A713" s="53" t="s">
        <v>1216</v>
      </c>
      <c r="B713" s="22"/>
      <c r="C713" s="22"/>
      <c r="D713" s="194" t="s">
        <v>1429</v>
      </c>
      <c r="E713" s="37"/>
      <c r="F713" s="174"/>
      <c r="G713" s="26"/>
      <c r="H713" s="45"/>
      <c r="J713" s="159"/>
      <c r="K713" s="30"/>
      <c r="L713" s="30"/>
      <c r="M713" s="30"/>
      <c r="N713" s="30"/>
      <c r="O713" s="30"/>
      <c r="P713" s="30"/>
      <c r="Q713" s="30"/>
      <c r="R713" s="30"/>
      <c r="S713" s="30"/>
      <c r="T713" s="30"/>
      <c r="U713" s="30"/>
      <c r="V713" s="30"/>
      <c r="W713" s="30"/>
      <c r="X713" s="30"/>
      <c r="Y713" s="30"/>
      <c r="Z713" s="30"/>
      <c r="AA713" s="30"/>
      <c r="AB713" s="30"/>
      <c r="AC713" s="30"/>
      <c r="AD713" s="30"/>
      <c r="AE713" s="30"/>
      <c r="AF713" s="30"/>
      <c r="AG713" s="30"/>
      <c r="AH713" s="30"/>
      <c r="AI713" s="30"/>
      <c r="AJ713" s="30"/>
      <c r="AK713" s="30"/>
      <c r="AL713" s="30"/>
      <c r="AM713" s="30"/>
      <c r="AN713" s="30"/>
      <c r="AO713" s="30"/>
      <c r="AP713" s="30"/>
      <c r="AQ713" s="30"/>
      <c r="AR713" s="30"/>
      <c r="AS713" s="30"/>
      <c r="AT713" s="30"/>
      <c r="AU713" s="30"/>
    </row>
    <row r="714" spans="1:47" s="193" customFormat="1" ht="12">
      <c r="A714" s="53" t="s">
        <v>1217</v>
      </c>
      <c r="B714" s="22"/>
      <c r="C714" s="22"/>
      <c r="D714" s="172"/>
      <c r="E714" s="37"/>
      <c r="F714" s="174"/>
      <c r="G714" s="26"/>
      <c r="H714" s="45"/>
      <c r="J714" s="159"/>
      <c r="K714" s="30"/>
      <c r="L714" s="30"/>
      <c r="M714" s="30"/>
      <c r="N714" s="30"/>
      <c r="O714" s="30"/>
      <c r="P714" s="30"/>
      <c r="Q714" s="30"/>
      <c r="R714" s="30"/>
      <c r="S714" s="30"/>
      <c r="T714" s="30"/>
      <c r="U714" s="30"/>
      <c r="V714" s="30"/>
      <c r="W714" s="30"/>
      <c r="X714" s="30"/>
      <c r="Y714" s="30"/>
      <c r="Z714" s="30"/>
      <c r="AA714" s="30"/>
      <c r="AB714" s="30"/>
      <c r="AC714" s="30"/>
      <c r="AD714" s="30"/>
      <c r="AE714" s="30"/>
      <c r="AF714" s="30"/>
      <c r="AG714" s="30"/>
      <c r="AH714" s="30"/>
      <c r="AI714" s="30"/>
      <c r="AJ714" s="30"/>
      <c r="AK714" s="30"/>
      <c r="AL714" s="30"/>
      <c r="AM714" s="30"/>
      <c r="AN714" s="30"/>
      <c r="AO714" s="30"/>
      <c r="AP714" s="30"/>
      <c r="AQ714" s="30"/>
      <c r="AR714" s="30"/>
      <c r="AS714" s="30"/>
      <c r="AT714" s="30"/>
      <c r="AU714" s="30"/>
    </row>
    <row r="715" spans="1:47" s="193" customFormat="1" ht="12">
      <c r="A715" s="53" t="s">
        <v>1218</v>
      </c>
      <c r="B715" s="22" t="s">
        <v>733</v>
      </c>
      <c r="C715" s="22"/>
      <c r="D715" s="172" t="s">
        <v>1128</v>
      </c>
      <c r="E715" s="37" t="s">
        <v>744</v>
      </c>
      <c r="F715" s="174">
        <v>41</v>
      </c>
      <c r="G715" s="181"/>
      <c r="H715" s="45">
        <f t="shared" si="35"/>
        <v>0</v>
      </c>
      <c r="J715" s="159"/>
      <c r="K715" s="30"/>
      <c r="L715" s="30"/>
      <c r="M715" s="30"/>
      <c r="N715" s="30"/>
      <c r="O715" s="30"/>
      <c r="P715" s="30"/>
      <c r="Q715" s="30"/>
      <c r="R715" s="30"/>
      <c r="S715" s="30"/>
      <c r="T715" s="30"/>
      <c r="U715" s="30"/>
      <c r="V715" s="30"/>
      <c r="W715" s="30"/>
      <c r="X715" s="30"/>
      <c r="Y715" s="30"/>
      <c r="Z715" s="30"/>
      <c r="AA715" s="30"/>
      <c r="AB715" s="30"/>
      <c r="AC715" s="30"/>
      <c r="AD715" s="30"/>
      <c r="AE715" s="30"/>
      <c r="AF715" s="30"/>
      <c r="AG715" s="30"/>
      <c r="AH715" s="30"/>
      <c r="AI715" s="30"/>
      <c r="AJ715" s="30"/>
      <c r="AK715" s="30"/>
      <c r="AL715" s="30"/>
      <c r="AM715" s="30"/>
      <c r="AN715" s="30"/>
      <c r="AO715" s="30"/>
      <c r="AP715" s="30"/>
      <c r="AQ715" s="30"/>
      <c r="AR715" s="30"/>
      <c r="AS715" s="30"/>
      <c r="AT715" s="30"/>
      <c r="AU715" s="30"/>
    </row>
    <row r="716" spans="1:47" s="193" customFormat="1" ht="12">
      <c r="A716" s="53" t="s">
        <v>1219</v>
      </c>
      <c r="B716" s="22" t="s">
        <v>733</v>
      </c>
      <c r="C716" s="22"/>
      <c r="D716" s="172" t="s">
        <v>1129</v>
      </c>
      <c r="E716" s="37" t="s">
        <v>744</v>
      </c>
      <c r="F716" s="174">
        <v>271</v>
      </c>
      <c r="G716" s="181"/>
      <c r="H716" s="45">
        <f t="shared" si="35"/>
        <v>0</v>
      </c>
      <c r="J716" s="159"/>
      <c r="K716" s="30"/>
      <c r="L716" s="30"/>
      <c r="M716" s="30"/>
      <c r="N716" s="30"/>
      <c r="O716" s="30"/>
      <c r="P716" s="30"/>
      <c r="Q716" s="30"/>
      <c r="R716" s="30"/>
      <c r="S716" s="30"/>
      <c r="T716" s="30"/>
      <c r="U716" s="30"/>
      <c r="V716" s="30"/>
      <c r="W716" s="30"/>
      <c r="X716" s="30"/>
      <c r="Y716" s="30"/>
      <c r="Z716" s="30"/>
      <c r="AA716" s="30"/>
      <c r="AB716" s="30"/>
      <c r="AC716" s="30"/>
      <c r="AD716" s="30"/>
      <c r="AE716" s="30"/>
      <c r="AF716" s="30"/>
      <c r="AG716" s="30"/>
      <c r="AH716" s="30"/>
      <c r="AI716" s="30"/>
      <c r="AJ716" s="30"/>
      <c r="AK716" s="30"/>
      <c r="AL716" s="30"/>
      <c r="AM716" s="30"/>
      <c r="AN716" s="30"/>
      <c r="AO716" s="30"/>
      <c r="AP716" s="30"/>
      <c r="AQ716" s="30"/>
      <c r="AR716" s="30"/>
      <c r="AS716" s="30"/>
      <c r="AT716" s="30"/>
      <c r="AU716" s="30"/>
    </row>
    <row r="717" spans="1:47" s="193" customFormat="1" ht="12">
      <c r="A717" s="53" t="s">
        <v>1220</v>
      </c>
      <c r="B717" s="22" t="s">
        <v>733</v>
      </c>
      <c r="C717" s="22"/>
      <c r="D717" s="172" t="s">
        <v>1127</v>
      </c>
      <c r="E717" s="37" t="s">
        <v>744</v>
      </c>
      <c r="F717" s="174">
        <v>51</v>
      </c>
      <c r="G717" s="181"/>
      <c r="H717" s="45">
        <f t="shared" si="35"/>
        <v>0</v>
      </c>
      <c r="J717" s="159"/>
      <c r="K717" s="30"/>
      <c r="L717" s="30"/>
      <c r="M717" s="30"/>
      <c r="N717" s="30"/>
      <c r="O717" s="30"/>
      <c r="P717" s="30"/>
      <c r="Q717" s="30"/>
      <c r="R717" s="30"/>
      <c r="S717" s="30"/>
      <c r="T717" s="30"/>
      <c r="U717" s="30"/>
      <c r="V717" s="30"/>
      <c r="W717" s="30"/>
      <c r="X717" s="30"/>
      <c r="Y717" s="30"/>
      <c r="Z717" s="30"/>
      <c r="AA717" s="30"/>
      <c r="AB717" s="30"/>
      <c r="AC717" s="30"/>
      <c r="AD717" s="30"/>
      <c r="AE717" s="30"/>
      <c r="AF717" s="30"/>
      <c r="AG717" s="30"/>
      <c r="AH717" s="30"/>
      <c r="AI717" s="30"/>
      <c r="AJ717" s="30"/>
      <c r="AK717" s="30"/>
      <c r="AL717" s="30"/>
      <c r="AM717" s="30"/>
      <c r="AN717" s="30"/>
      <c r="AO717" s="30"/>
      <c r="AP717" s="30"/>
      <c r="AQ717" s="30"/>
      <c r="AR717" s="30"/>
      <c r="AS717" s="30"/>
      <c r="AT717" s="30"/>
      <c r="AU717" s="30"/>
    </row>
    <row r="718" spans="1:47" s="193" customFormat="1" ht="12">
      <c r="A718" s="53" t="s">
        <v>1221</v>
      </c>
      <c r="B718" s="22"/>
      <c r="C718" s="22"/>
      <c r="D718" s="172" t="s">
        <v>772</v>
      </c>
      <c r="E718" s="37"/>
      <c r="F718" s="174"/>
      <c r="G718" s="26"/>
      <c r="H718" s="45">
        <f t="shared" si="35"/>
        <v>0</v>
      </c>
      <c r="J718" s="159"/>
      <c r="K718" s="30"/>
      <c r="L718" s="30"/>
      <c r="M718" s="30"/>
      <c r="N718" s="30"/>
      <c r="O718" s="30"/>
      <c r="P718" s="30"/>
      <c r="Q718" s="30"/>
      <c r="R718" s="30"/>
      <c r="S718" s="30"/>
      <c r="T718" s="30"/>
      <c r="U718" s="30"/>
      <c r="V718" s="30"/>
      <c r="W718" s="30"/>
      <c r="X718" s="30"/>
      <c r="Y718" s="30"/>
      <c r="Z718" s="30"/>
      <c r="AA718" s="30"/>
      <c r="AB718" s="30"/>
      <c r="AC718" s="30"/>
      <c r="AD718" s="30"/>
      <c r="AE718" s="30"/>
      <c r="AF718" s="30"/>
      <c r="AG718" s="30"/>
      <c r="AH718" s="30"/>
      <c r="AI718" s="30"/>
      <c r="AJ718" s="30"/>
      <c r="AK718" s="30"/>
      <c r="AL718" s="30"/>
      <c r="AM718" s="30"/>
      <c r="AN718" s="30"/>
      <c r="AO718" s="30"/>
      <c r="AP718" s="30"/>
      <c r="AQ718" s="30"/>
      <c r="AR718" s="30"/>
      <c r="AS718" s="30"/>
      <c r="AT718" s="30"/>
      <c r="AU718" s="30"/>
    </row>
    <row r="719" spans="1:47" s="193" customFormat="1" ht="12">
      <c r="A719" s="53" t="s">
        <v>1222</v>
      </c>
      <c r="B719" s="22" t="s">
        <v>733</v>
      </c>
      <c r="C719" s="22"/>
      <c r="D719" s="172" t="s">
        <v>1130</v>
      </c>
      <c r="E719" s="37" t="s">
        <v>744</v>
      </c>
      <c r="F719" s="154">
        <v>18</v>
      </c>
      <c r="G719" s="181"/>
      <c r="H719" s="45">
        <f t="shared" si="35"/>
        <v>0</v>
      </c>
      <c r="J719" s="159"/>
      <c r="K719" s="30"/>
      <c r="L719" s="30"/>
      <c r="M719" s="30"/>
      <c r="N719" s="30"/>
      <c r="O719" s="30"/>
      <c r="P719" s="30"/>
      <c r="Q719" s="30"/>
      <c r="R719" s="30"/>
      <c r="S719" s="30"/>
      <c r="T719" s="30"/>
      <c r="U719" s="30"/>
      <c r="V719" s="30"/>
      <c r="W719" s="30"/>
      <c r="X719" s="30"/>
      <c r="Y719" s="30"/>
      <c r="Z719" s="30"/>
      <c r="AA719" s="30"/>
      <c r="AB719" s="30"/>
      <c r="AC719" s="30"/>
      <c r="AD719" s="30"/>
      <c r="AE719" s="30"/>
      <c r="AF719" s="30"/>
      <c r="AG719" s="30"/>
      <c r="AH719" s="30"/>
      <c r="AI719" s="30"/>
      <c r="AJ719" s="30"/>
      <c r="AK719" s="30"/>
      <c r="AL719" s="30"/>
      <c r="AM719" s="30"/>
      <c r="AN719" s="30"/>
      <c r="AO719" s="30"/>
      <c r="AP719" s="30"/>
      <c r="AQ719" s="30"/>
      <c r="AR719" s="30"/>
      <c r="AS719" s="30"/>
      <c r="AT719" s="30"/>
      <c r="AU719" s="30"/>
    </row>
    <row r="720" spans="1:47" s="193" customFormat="1" ht="12">
      <c r="A720" s="53" t="s">
        <v>1223</v>
      </c>
      <c r="B720" s="22" t="s">
        <v>733</v>
      </c>
      <c r="C720" s="22"/>
      <c r="D720" s="172" t="s">
        <v>1131</v>
      </c>
      <c r="E720" s="37" t="s">
        <v>744</v>
      </c>
      <c r="F720" s="154">
        <v>14</v>
      </c>
      <c r="G720" s="181"/>
      <c r="H720" s="45">
        <f t="shared" si="35"/>
        <v>0</v>
      </c>
      <c r="J720" s="159"/>
      <c r="K720" s="30"/>
      <c r="L720" s="30"/>
      <c r="M720" s="30"/>
      <c r="N720" s="30"/>
      <c r="O720" s="30"/>
      <c r="P720" s="30"/>
      <c r="Q720" s="30"/>
      <c r="R720" s="30"/>
      <c r="S720" s="30"/>
      <c r="T720" s="30"/>
      <c r="U720" s="30"/>
      <c r="V720" s="30"/>
      <c r="W720" s="30"/>
      <c r="X720" s="30"/>
      <c r="Y720" s="30"/>
      <c r="Z720" s="30"/>
      <c r="AA720" s="30"/>
      <c r="AB720" s="30"/>
      <c r="AC720" s="30"/>
      <c r="AD720" s="30"/>
      <c r="AE720" s="30"/>
      <c r="AF720" s="30"/>
      <c r="AG720" s="30"/>
      <c r="AH720" s="30"/>
      <c r="AI720" s="30"/>
      <c r="AJ720" s="30"/>
      <c r="AK720" s="30"/>
      <c r="AL720" s="30"/>
      <c r="AM720" s="30"/>
      <c r="AN720" s="30"/>
      <c r="AO720" s="30"/>
      <c r="AP720" s="30"/>
      <c r="AQ720" s="30"/>
      <c r="AR720" s="30"/>
      <c r="AS720" s="30"/>
      <c r="AT720" s="30"/>
      <c r="AU720" s="30"/>
    </row>
    <row r="721" spans="1:47" s="193" customFormat="1" ht="12">
      <c r="A721" s="53" t="s">
        <v>1224</v>
      </c>
      <c r="B721" s="22" t="s">
        <v>733</v>
      </c>
      <c r="C721" s="22"/>
      <c r="D721" s="172" t="s">
        <v>1132</v>
      </c>
      <c r="E721" s="37" t="s">
        <v>744</v>
      </c>
      <c r="F721" s="154">
        <v>21</v>
      </c>
      <c r="G721" s="181"/>
      <c r="H721" s="45">
        <f t="shared" si="35"/>
        <v>0</v>
      </c>
      <c r="J721" s="159"/>
      <c r="K721" s="30"/>
      <c r="L721" s="30"/>
      <c r="M721" s="30"/>
      <c r="N721" s="30"/>
      <c r="O721" s="30"/>
      <c r="P721" s="30"/>
      <c r="Q721" s="30"/>
      <c r="R721" s="30"/>
      <c r="S721" s="30"/>
      <c r="T721" s="30"/>
      <c r="U721" s="30"/>
      <c r="V721" s="30"/>
      <c r="W721" s="30"/>
      <c r="X721" s="30"/>
      <c r="Y721" s="30"/>
      <c r="Z721" s="30"/>
      <c r="AA721" s="30"/>
      <c r="AB721" s="30"/>
      <c r="AC721" s="30"/>
      <c r="AD721" s="30"/>
      <c r="AE721" s="30"/>
      <c r="AF721" s="30"/>
      <c r="AG721" s="30"/>
      <c r="AH721" s="30"/>
      <c r="AI721" s="30"/>
      <c r="AJ721" s="30"/>
      <c r="AK721" s="30"/>
      <c r="AL721" s="30"/>
      <c r="AM721" s="30"/>
      <c r="AN721" s="30"/>
      <c r="AO721" s="30"/>
      <c r="AP721" s="30"/>
      <c r="AQ721" s="30"/>
      <c r="AR721" s="30"/>
      <c r="AS721" s="30"/>
      <c r="AT721" s="30"/>
      <c r="AU721" s="30"/>
    </row>
    <row r="722" spans="1:47" s="193" customFormat="1" ht="28.8">
      <c r="A722" s="53" t="s">
        <v>1225</v>
      </c>
      <c r="B722" s="22" t="s">
        <v>1133</v>
      </c>
      <c r="C722" s="22"/>
      <c r="D722" s="79" t="s">
        <v>1317</v>
      </c>
      <c r="E722" s="157" t="s">
        <v>91</v>
      </c>
      <c r="F722" s="154">
        <v>205</v>
      </c>
      <c r="G722" s="181"/>
      <c r="H722" s="45">
        <f t="shared" si="35"/>
        <v>0</v>
      </c>
      <c r="J722" s="159"/>
      <c r="K722" s="30"/>
      <c r="L722" s="30"/>
      <c r="M722" s="30"/>
      <c r="N722" s="30"/>
      <c r="O722" s="30"/>
      <c r="P722" s="30"/>
      <c r="Q722" s="30"/>
      <c r="R722" s="30"/>
      <c r="S722" s="30"/>
      <c r="T722" s="30"/>
      <c r="U722" s="30"/>
      <c r="V722" s="30"/>
      <c r="W722" s="30"/>
      <c r="X722" s="30"/>
      <c r="Y722" s="30"/>
      <c r="Z722" s="30"/>
      <c r="AA722" s="30"/>
      <c r="AB722" s="30"/>
      <c r="AC722" s="30"/>
      <c r="AD722" s="30"/>
      <c r="AE722" s="30"/>
      <c r="AF722" s="30"/>
      <c r="AG722" s="30"/>
      <c r="AH722" s="30"/>
      <c r="AI722" s="30"/>
      <c r="AJ722" s="30"/>
      <c r="AK722" s="30"/>
      <c r="AL722" s="30"/>
      <c r="AM722" s="30"/>
      <c r="AN722" s="30"/>
      <c r="AO722" s="30"/>
      <c r="AP722" s="30"/>
      <c r="AQ722" s="30"/>
      <c r="AR722" s="30"/>
      <c r="AS722" s="30"/>
      <c r="AT722" s="30"/>
      <c r="AU722" s="30"/>
    </row>
    <row r="723" spans="1:47" s="193" customFormat="1" ht="12">
      <c r="A723" s="53" t="s">
        <v>1226</v>
      </c>
      <c r="B723" s="22" t="s">
        <v>701</v>
      </c>
      <c r="C723" s="22"/>
      <c r="D723" s="172" t="s">
        <v>782</v>
      </c>
      <c r="E723" s="157" t="s">
        <v>91</v>
      </c>
      <c r="F723" s="154">
        <v>504</v>
      </c>
      <c r="G723" s="181"/>
      <c r="H723" s="45">
        <f t="shared" si="35"/>
        <v>0</v>
      </c>
      <c r="J723" s="159"/>
      <c r="K723" s="30"/>
      <c r="L723" s="30"/>
      <c r="M723" s="30"/>
      <c r="N723" s="30"/>
      <c r="O723" s="30"/>
      <c r="P723" s="30"/>
      <c r="Q723" s="30"/>
      <c r="R723" s="30"/>
      <c r="S723" s="30"/>
      <c r="T723" s="30"/>
      <c r="U723" s="30"/>
      <c r="V723" s="30"/>
      <c r="W723" s="30"/>
      <c r="X723" s="30"/>
      <c r="Y723" s="30"/>
      <c r="Z723" s="30"/>
      <c r="AA723" s="30"/>
      <c r="AB723" s="30"/>
      <c r="AC723" s="30"/>
      <c r="AD723" s="30"/>
      <c r="AE723" s="30"/>
      <c r="AF723" s="30"/>
      <c r="AG723" s="30"/>
      <c r="AH723" s="30"/>
      <c r="AI723" s="30"/>
      <c r="AJ723" s="30"/>
      <c r="AK723" s="30"/>
      <c r="AL723" s="30"/>
      <c r="AM723" s="30"/>
      <c r="AN723" s="30"/>
      <c r="AO723" s="30"/>
      <c r="AP723" s="30"/>
      <c r="AQ723" s="30"/>
      <c r="AR723" s="30"/>
      <c r="AS723" s="30"/>
      <c r="AT723" s="30"/>
      <c r="AU723" s="30"/>
    </row>
    <row r="724" spans="1:47" s="193" customFormat="1" ht="12">
      <c r="A724" s="53" t="s">
        <v>1227</v>
      </c>
      <c r="B724" s="22" t="s">
        <v>784</v>
      </c>
      <c r="C724" s="22"/>
      <c r="D724" s="172" t="s">
        <v>785</v>
      </c>
      <c r="E724" s="157" t="s">
        <v>91</v>
      </c>
      <c r="F724" s="154">
        <v>504</v>
      </c>
      <c r="G724" s="181"/>
      <c r="H724" s="45">
        <f t="shared" si="35"/>
        <v>0</v>
      </c>
      <c r="J724" s="159"/>
      <c r="K724" s="30"/>
      <c r="L724" s="30"/>
      <c r="M724" s="30"/>
      <c r="N724" s="30"/>
      <c r="O724" s="30"/>
      <c r="P724" s="30"/>
      <c r="Q724" s="30"/>
      <c r="R724" s="30"/>
      <c r="S724" s="30"/>
      <c r="T724" s="30"/>
      <c r="U724" s="30"/>
      <c r="V724" s="30"/>
      <c r="W724" s="30"/>
      <c r="X724" s="30"/>
      <c r="Y724" s="30"/>
      <c r="Z724" s="30"/>
      <c r="AA724" s="30"/>
      <c r="AB724" s="30"/>
      <c r="AC724" s="30"/>
      <c r="AD724" s="30"/>
      <c r="AE724" s="30"/>
      <c r="AF724" s="30"/>
      <c r="AG724" s="30"/>
      <c r="AH724" s="30"/>
      <c r="AI724" s="30"/>
      <c r="AJ724" s="30"/>
      <c r="AK724" s="30"/>
      <c r="AL724" s="30"/>
      <c r="AM724" s="30"/>
      <c r="AN724" s="30"/>
      <c r="AO724" s="30"/>
      <c r="AP724" s="30"/>
      <c r="AQ724" s="30"/>
      <c r="AR724" s="30"/>
      <c r="AS724" s="30"/>
      <c r="AT724" s="30"/>
      <c r="AU724" s="30"/>
    </row>
    <row r="725" spans="1:47" s="193" customFormat="1" ht="12">
      <c r="A725" s="53" t="s">
        <v>1228</v>
      </c>
      <c r="B725" s="22" t="s">
        <v>1334</v>
      </c>
      <c r="C725" s="22"/>
      <c r="D725" s="172" t="s">
        <v>787</v>
      </c>
      <c r="E725" s="157" t="s">
        <v>91</v>
      </c>
      <c r="F725" s="154">
        <v>410</v>
      </c>
      <c r="G725" s="181"/>
      <c r="H725" s="45">
        <f t="shared" si="35"/>
        <v>0</v>
      </c>
      <c r="J725" s="159"/>
      <c r="K725" s="30"/>
      <c r="L725" s="30"/>
      <c r="M725" s="30"/>
      <c r="N725" s="30"/>
      <c r="O725" s="30"/>
      <c r="P725" s="30"/>
      <c r="Q725" s="30"/>
      <c r="R725" s="30"/>
      <c r="S725" s="30"/>
      <c r="T725" s="30"/>
      <c r="U725" s="30"/>
      <c r="V725" s="30"/>
      <c r="W725" s="30"/>
      <c r="X725" s="30"/>
      <c r="Y725" s="30"/>
      <c r="Z725" s="30"/>
      <c r="AA725" s="30"/>
      <c r="AB725" s="30"/>
      <c r="AC725" s="30"/>
      <c r="AD725" s="30"/>
      <c r="AE725" s="30"/>
      <c r="AF725" s="30"/>
      <c r="AG725" s="30"/>
      <c r="AH725" s="30"/>
      <c r="AI725" s="30"/>
      <c r="AJ725" s="30"/>
      <c r="AK725" s="30"/>
      <c r="AL725" s="30"/>
      <c r="AM725" s="30"/>
      <c r="AN725" s="30"/>
      <c r="AO725" s="30"/>
      <c r="AP725" s="30"/>
      <c r="AQ725" s="30"/>
      <c r="AR725" s="30"/>
      <c r="AS725" s="30"/>
      <c r="AT725" s="30"/>
      <c r="AU725" s="30"/>
    </row>
    <row r="726" spans="1:47" s="193" customFormat="1" ht="12">
      <c r="A726" s="53" t="s">
        <v>1229</v>
      </c>
      <c r="B726" s="22" t="s">
        <v>701</v>
      </c>
      <c r="C726" s="22"/>
      <c r="D726" s="172" t="s">
        <v>789</v>
      </c>
      <c r="E726" s="157" t="s">
        <v>91</v>
      </c>
      <c r="F726" s="154">
        <v>60</v>
      </c>
      <c r="G726" s="181"/>
      <c r="H726" s="45">
        <f t="shared" si="35"/>
        <v>0</v>
      </c>
      <c r="J726" s="159"/>
      <c r="K726" s="30"/>
      <c r="L726" s="30"/>
      <c r="M726" s="30"/>
      <c r="N726" s="30"/>
      <c r="O726" s="30"/>
      <c r="P726" s="30"/>
      <c r="Q726" s="30"/>
      <c r="R726" s="30"/>
      <c r="S726" s="30"/>
      <c r="T726" s="30"/>
      <c r="U726" s="30"/>
      <c r="V726" s="30"/>
      <c r="W726" s="30"/>
      <c r="X726" s="30"/>
      <c r="Y726" s="30"/>
      <c r="Z726" s="30"/>
      <c r="AA726" s="30"/>
      <c r="AB726" s="30"/>
      <c r="AC726" s="30"/>
      <c r="AD726" s="30"/>
      <c r="AE726" s="30"/>
      <c r="AF726" s="30"/>
      <c r="AG726" s="30"/>
      <c r="AH726" s="30"/>
      <c r="AI726" s="30"/>
      <c r="AJ726" s="30"/>
      <c r="AK726" s="30"/>
      <c r="AL726" s="30"/>
      <c r="AM726" s="30"/>
      <c r="AN726" s="30"/>
      <c r="AO726" s="30"/>
      <c r="AP726" s="30"/>
      <c r="AQ726" s="30"/>
      <c r="AR726" s="30"/>
      <c r="AS726" s="30"/>
      <c r="AT726" s="30"/>
      <c r="AU726" s="30"/>
    </row>
    <row r="727" spans="1:47" s="193" customFormat="1" ht="12">
      <c r="A727" s="53" t="s">
        <v>1230</v>
      </c>
      <c r="B727" s="22" t="s">
        <v>791</v>
      </c>
      <c r="C727" s="22"/>
      <c r="D727" s="172" t="s">
        <v>785</v>
      </c>
      <c r="E727" s="157" t="s">
        <v>91</v>
      </c>
      <c r="F727" s="154">
        <v>60</v>
      </c>
      <c r="G727" s="181"/>
      <c r="H727" s="45">
        <f t="shared" si="35"/>
        <v>0</v>
      </c>
      <c r="J727" s="159"/>
      <c r="K727" s="30"/>
      <c r="L727" s="30"/>
      <c r="M727" s="30"/>
      <c r="N727" s="30"/>
      <c r="O727" s="30"/>
      <c r="P727" s="30"/>
      <c r="Q727" s="30"/>
      <c r="R727" s="30"/>
      <c r="S727" s="30"/>
      <c r="T727" s="30"/>
      <c r="U727" s="30"/>
      <c r="V727" s="30"/>
      <c r="W727" s="30"/>
      <c r="X727" s="30"/>
      <c r="Y727" s="30"/>
      <c r="Z727" s="30"/>
      <c r="AA727" s="30"/>
      <c r="AB727" s="30"/>
      <c r="AC727" s="30"/>
      <c r="AD727" s="30"/>
      <c r="AE727" s="30"/>
      <c r="AF727" s="30"/>
      <c r="AG727" s="30"/>
      <c r="AH727" s="30"/>
      <c r="AI727" s="30"/>
      <c r="AJ727" s="30"/>
      <c r="AK727" s="30"/>
      <c r="AL727" s="30"/>
      <c r="AM727" s="30"/>
      <c r="AN727" s="30"/>
      <c r="AO727" s="30"/>
      <c r="AP727" s="30"/>
      <c r="AQ727" s="30"/>
      <c r="AR727" s="30"/>
      <c r="AS727" s="30"/>
      <c r="AT727" s="30"/>
      <c r="AU727" s="30"/>
    </row>
    <row r="728" spans="1:47" s="193" customFormat="1" ht="12">
      <c r="A728" s="53" t="s">
        <v>1231</v>
      </c>
      <c r="B728" s="22" t="s">
        <v>1334</v>
      </c>
      <c r="C728" s="22"/>
      <c r="D728" s="172" t="s">
        <v>787</v>
      </c>
      <c r="E728" s="157" t="s">
        <v>91</v>
      </c>
      <c r="F728" s="154">
        <v>60</v>
      </c>
      <c r="G728" s="181"/>
      <c r="H728" s="45">
        <f t="shared" si="35"/>
        <v>0</v>
      </c>
      <c r="J728" s="159"/>
      <c r="K728" s="30"/>
      <c r="L728" s="30"/>
      <c r="M728" s="30"/>
      <c r="N728" s="30"/>
      <c r="O728" s="30"/>
      <c r="P728" s="30"/>
      <c r="Q728" s="30"/>
      <c r="R728" s="30"/>
      <c r="S728" s="30"/>
      <c r="T728" s="30"/>
      <c r="U728" s="30"/>
      <c r="V728" s="30"/>
      <c r="W728" s="30"/>
      <c r="X728" s="30"/>
      <c r="Y728" s="30"/>
      <c r="Z728" s="30"/>
      <c r="AA728" s="30"/>
      <c r="AB728" s="30"/>
      <c r="AC728" s="30"/>
      <c r="AD728" s="30"/>
      <c r="AE728" s="30"/>
      <c r="AF728" s="30"/>
      <c r="AG728" s="30"/>
      <c r="AH728" s="30"/>
      <c r="AI728" s="30"/>
      <c r="AJ728" s="30"/>
      <c r="AK728" s="30"/>
      <c r="AL728" s="30"/>
      <c r="AM728" s="30"/>
      <c r="AN728" s="30"/>
      <c r="AO728" s="30"/>
      <c r="AP728" s="30"/>
      <c r="AQ728" s="30"/>
      <c r="AR728" s="30"/>
      <c r="AS728" s="30"/>
      <c r="AT728" s="30"/>
      <c r="AU728" s="30"/>
    </row>
    <row r="729" spans="1:47" s="193" customFormat="1" ht="12">
      <c r="A729" s="53" t="s">
        <v>1232</v>
      </c>
      <c r="B729" s="22"/>
      <c r="C729" s="22"/>
      <c r="D729" s="79"/>
      <c r="E729" s="157"/>
      <c r="F729" s="154"/>
      <c r="G729" s="26"/>
      <c r="H729" s="45"/>
      <c r="J729" s="159"/>
      <c r="K729" s="30"/>
      <c r="L729" s="30"/>
      <c r="M729" s="30"/>
      <c r="N729" s="30"/>
      <c r="O729" s="30"/>
      <c r="P729" s="30"/>
      <c r="Q729" s="30"/>
      <c r="R729" s="30"/>
      <c r="S729" s="30"/>
      <c r="T729" s="30"/>
      <c r="U729" s="30"/>
      <c r="V729" s="30"/>
      <c r="W729" s="30"/>
      <c r="X729" s="30"/>
      <c r="Y729" s="30"/>
      <c r="Z729" s="30"/>
      <c r="AA729" s="30"/>
      <c r="AB729" s="30"/>
      <c r="AC729" s="30"/>
      <c r="AD729" s="30"/>
      <c r="AE729" s="30"/>
      <c r="AF729" s="30"/>
      <c r="AG729" s="30"/>
      <c r="AH729" s="30"/>
      <c r="AI729" s="30"/>
      <c r="AJ729" s="30"/>
      <c r="AK729" s="30"/>
      <c r="AL729" s="30"/>
      <c r="AM729" s="30"/>
      <c r="AN729" s="30"/>
      <c r="AO729" s="30"/>
      <c r="AP729" s="30"/>
      <c r="AQ729" s="30"/>
      <c r="AR729" s="30"/>
      <c r="AS729" s="30"/>
      <c r="AT729" s="30"/>
      <c r="AU729" s="30"/>
    </row>
    <row r="730" spans="1:47" s="193" customFormat="1" ht="24">
      <c r="A730" s="53" t="s">
        <v>1233</v>
      </c>
      <c r="B730" s="22" t="s">
        <v>1329</v>
      </c>
      <c r="C730" s="22"/>
      <c r="D730" s="79" t="s">
        <v>795</v>
      </c>
      <c r="E730" s="157" t="s">
        <v>796</v>
      </c>
      <c r="F730" s="154">
        <v>504</v>
      </c>
      <c r="G730" s="181"/>
      <c r="H730" s="45">
        <f t="shared" si="35"/>
        <v>0</v>
      </c>
      <c r="J730" s="159"/>
      <c r="K730" s="30"/>
      <c r="L730" s="30"/>
      <c r="M730" s="30"/>
      <c r="N730" s="30"/>
      <c r="O730" s="30"/>
      <c r="P730" s="30"/>
      <c r="Q730" s="30"/>
      <c r="R730" s="30"/>
      <c r="S730" s="30"/>
      <c r="T730" s="30"/>
      <c r="U730" s="30"/>
      <c r="V730" s="30"/>
      <c r="W730" s="30"/>
      <c r="X730" s="30"/>
      <c r="Y730" s="30"/>
      <c r="Z730" s="30"/>
      <c r="AA730" s="30"/>
      <c r="AB730" s="30"/>
      <c r="AC730" s="30"/>
      <c r="AD730" s="30"/>
      <c r="AE730" s="30"/>
      <c r="AF730" s="30"/>
      <c r="AG730" s="30"/>
      <c r="AH730" s="30"/>
      <c r="AI730" s="30"/>
      <c r="AJ730" s="30"/>
      <c r="AK730" s="30"/>
      <c r="AL730" s="30"/>
      <c r="AM730" s="30"/>
      <c r="AN730" s="30"/>
      <c r="AO730" s="30"/>
      <c r="AP730" s="30"/>
      <c r="AQ730" s="30"/>
      <c r="AR730" s="30"/>
      <c r="AS730" s="30"/>
      <c r="AT730" s="30"/>
      <c r="AU730" s="30"/>
    </row>
    <row r="731" spans="1:47" s="193" customFormat="1" ht="12">
      <c r="A731" s="53" t="s">
        <v>1234</v>
      </c>
      <c r="B731" s="22"/>
      <c r="C731" s="22"/>
      <c r="D731" s="79"/>
      <c r="E731" s="157"/>
      <c r="F731" s="154"/>
      <c r="G731" s="26"/>
      <c r="H731" s="45"/>
      <c r="J731" s="159"/>
      <c r="K731" s="30"/>
      <c r="L731" s="30"/>
      <c r="M731" s="30"/>
      <c r="N731" s="30"/>
      <c r="O731" s="30"/>
      <c r="P731" s="30"/>
      <c r="Q731" s="30"/>
      <c r="R731" s="30"/>
      <c r="S731" s="30"/>
      <c r="T731" s="30"/>
      <c r="U731" s="30"/>
      <c r="V731" s="30"/>
      <c r="W731" s="30"/>
      <c r="X731" s="30"/>
      <c r="Y731" s="30"/>
      <c r="Z731" s="30"/>
      <c r="AA731" s="30"/>
      <c r="AB731" s="30"/>
      <c r="AC731" s="30"/>
      <c r="AD731" s="30"/>
      <c r="AE731" s="30"/>
      <c r="AF731" s="30"/>
      <c r="AG731" s="30"/>
      <c r="AH731" s="30"/>
      <c r="AI731" s="30"/>
      <c r="AJ731" s="30"/>
      <c r="AK731" s="30"/>
      <c r="AL731" s="30"/>
      <c r="AM731" s="30"/>
      <c r="AN731" s="30"/>
      <c r="AO731" s="30"/>
      <c r="AP731" s="30"/>
      <c r="AQ731" s="30"/>
      <c r="AR731" s="30"/>
      <c r="AS731" s="30"/>
      <c r="AT731" s="30"/>
      <c r="AU731" s="30"/>
    </row>
    <row r="732" spans="1:47" s="193" customFormat="1" ht="24">
      <c r="A732" s="53" t="s">
        <v>1235</v>
      </c>
      <c r="B732" s="22" t="s">
        <v>1331</v>
      </c>
      <c r="C732" s="22"/>
      <c r="D732" s="191" t="s">
        <v>799</v>
      </c>
      <c r="E732" s="157" t="s">
        <v>796</v>
      </c>
      <c r="F732" s="174">
        <v>410</v>
      </c>
      <c r="G732" s="181"/>
      <c r="H732" s="45">
        <f t="shared" si="35"/>
        <v>0</v>
      </c>
      <c r="J732" s="159"/>
      <c r="K732" s="30"/>
      <c r="L732" s="30"/>
      <c r="M732" s="30"/>
      <c r="N732" s="30"/>
      <c r="O732" s="30"/>
      <c r="P732" s="30"/>
      <c r="Q732" s="30"/>
      <c r="R732" s="30"/>
      <c r="S732" s="30"/>
      <c r="T732" s="30"/>
      <c r="U732" s="30"/>
      <c r="V732" s="30"/>
      <c r="W732" s="30"/>
      <c r="X732" s="30"/>
      <c r="Y732" s="30"/>
      <c r="Z732" s="30"/>
      <c r="AA732" s="30"/>
      <c r="AB732" s="30"/>
      <c r="AC732" s="30"/>
      <c r="AD732" s="30"/>
      <c r="AE732" s="30"/>
      <c r="AF732" s="30"/>
      <c r="AG732" s="30"/>
      <c r="AH732" s="30"/>
      <c r="AI732" s="30"/>
      <c r="AJ732" s="30"/>
      <c r="AK732" s="30"/>
      <c r="AL732" s="30"/>
      <c r="AM732" s="30"/>
      <c r="AN732" s="30"/>
      <c r="AO732" s="30"/>
      <c r="AP732" s="30"/>
      <c r="AQ732" s="30"/>
      <c r="AR732" s="30"/>
      <c r="AS732" s="30"/>
      <c r="AT732" s="30"/>
      <c r="AU732" s="30"/>
    </row>
    <row r="733" spans="1:47" s="193" customFormat="1" ht="36">
      <c r="A733" s="53" t="s">
        <v>1236</v>
      </c>
      <c r="B733" s="22" t="s">
        <v>798</v>
      </c>
      <c r="C733" s="22"/>
      <c r="D733" s="191" t="s">
        <v>1332</v>
      </c>
      <c r="E733" s="157" t="s">
        <v>796</v>
      </c>
      <c r="F733" s="174">
        <f>416+154</f>
        <v>570</v>
      </c>
      <c r="G733" s="181"/>
      <c r="H733" s="45">
        <f t="shared" si="35"/>
        <v>0</v>
      </c>
      <c r="J733" s="159"/>
      <c r="K733" s="30"/>
      <c r="L733" s="30"/>
      <c r="M733" s="30"/>
      <c r="N733" s="30"/>
      <c r="O733" s="30"/>
      <c r="P733" s="30"/>
      <c r="Q733" s="30"/>
      <c r="R733" s="30"/>
      <c r="S733" s="30"/>
      <c r="T733" s="30"/>
      <c r="U733" s="30"/>
      <c r="V733" s="30"/>
      <c r="W733" s="30"/>
      <c r="X733" s="30"/>
      <c r="Y733" s="30"/>
      <c r="Z733" s="30"/>
      <c r="AA733" s="30"/>
      <c r="AB733" s="30"/>
      <c r="AC733" s="30"/>
      <c r="AD733" s="30"/>
      <c r="AE733" s="30"/>
      <c r="AF733" s="30"/>
      <c r="AG733" s="30"/>
      <c r="AH733" s="30"/>
      <c r="AI733" s="30"/>
      <c r="AJ733" s="30"/>
      <c r="AK733" s="30"/>
      <c r="AL733" s="30"/>
      <c r="AM733" s="30"/>
      <c r="AN733" s="30"/>
      <c r="AO733" s="30"/>
      <c r="AP733" s="30"/>
      <c r="AQ733" s="30"/>
      <c r="AR733" s="30"/>
      <c r="AS733" s="30"/>
      <c r="AT733" s="30"/>
      <c r="AU733" s="30"/>
    </row>
    <row r="734" spans="1:47" s="193" customFormat="1" ht="24">
      <c r="A734" s="53" t="s">
        <v>1237</v>
      </c>
      <c r="B734" s="22" t="s">
        <v>802</v>
      </c>
      <c r="C734" s="22"/>
      <c r="D734" s="191" t="s">
        <v>1335</v>
      </c>
      <c r="E734" s="157" t="s">
        <v>796</v>
      </c>
      <c r="F734" s="174">
        <v>410</v>
      </c>
      <c r="G734" s="181"/>
      <c r="H734" s="45">
        <f t="shared" si="35"/>
        <v>0</v>
      </c>
      <c r="J734" s="159"/>
      <c r="K734" s="30"/>
      <c r="L734" s="30"/>
      <c r="M734" s="30"/>
      <c r="N734" s="30"/>
      <c r="O734" s="30"/>
      <c r="P734" s="30"/>
      <c r="Q734" s="30"/>
      <c r="R734" s="30"/>
      <c r="S734" s="30"/>
      <c r="T734" s="30"/>
      <c r="U734" s="30"/>
      <c r="V734" s="30"/>
      <c r="W734" s="30"/>
      <c r="X734" s="30"/>
      <c r="Y734" s="30"/>
      <c r="Z734" s="30"/>
      <c r="AA734" s="30"/>
      <c r="AB734" s="30"/>
      <c r="AC734" s="30"/>
      <c r="AD734" s="30"/>
      <c r="AE734" s="30"/>
      <c r="AF734" s="30"/>
      <c r="AG734" s="30"/>
      <c r="AH734" s="30"/>
      <c r="AI734" s="30"/>
      <c r="AJ734" s="30"/>
      <c r="AK734" s="30"/>
      <c r="AL734" s="30"/>
      <c r="AM734" s="30"/>
      <c r="AN734" s="30"/>
      <c r="AO734" s="30"/>
      <c r="AP734" s="30"/>
      <c r="AQ734" s="30"/>
      <c r="AR734" s="30"/>
      <c r="AS734" s="30"/>
      <c r="AT734" s="30"/>
      <c r="AU734" s="30"/>
    </row>
    <row r="735" spans="1:47" s="193" customFormat="1" ht="36">
      <c r="A735" s="53" t="s">
        <v>1238</v>
      </c>
      <c r="B735" s="21" t="s">
        <v>804</v>
      </c>
      <c r="C735" s="22"/>
      <c r="D735" s="172" t="s">
        <v>1336</v>
      </c>
      <c r="E735" s="157" t="s">
        <v>796</v>
      </c>
      <c r="F735" s="174">
        <v>410</v>
      </c>
      <c r="G735" s="181"/>
      <c r="H735" s="45">
        <f t="shared" si="35"/>
        <v>0</v>
      </c>
      <c r="J735" s="159"/>
      <c r="K735" s="30"/>
      <c r="L735" s="30"/>
      <c r="M735" s="30"/>
      <c r="N735" s="30"/>
      <c r="O735" s="30"/>
      <c r="P735" s="30"/>
      <c r="Q735" s="30"/>
      <c r="R735" s="30"/>
      <c r="S735" s="30"/>
      <c r="T735" s="30"/>
      <c r="U735" s="30"/>
      <c r="V735" s="30"/>
      <c r="W735" s="30"/>
      <c r="X735" s="30"/>
      <c r="Y735" s="30"/>
      <c r="Z735" s="30"/>
      <c r="AA735" s="30"/>
      <c r="AB735" s="30"/>
      <c r="AC735" s="30"/>
      <c r="AD735" s="30"/>
      <c r="AE735" s="30"/>
      <c r="AF735" s="30"/>
      <c r="AG735" s="30"/>
      <c r="AH735" s="30"/>
      <c r="AI735" s="30"/>
      <c r="AJ735" s="30"/>
      <c r="AK735" s="30"/>
      <c r="AL735" s="30"/>
      <c r="AM735" s="30"/>
      <c r="AN735" s="30"/>
      <c r="AO735" s="30"/>
      <c r="AP735" s="30"/>
      <c r="AQ735" s="30"/>
      <c r="AR735" s="30"/>
      <c r="AS735" s="30"/>
      <c r="AT735" s="30"/>
      <c r="AU735" s="30"/>
    </row>
    <row r="736" spans="1:47" s="193" customFormat="1" ht="24">
      <c r="A736" s="53" t="s">
        <v>1239</v>
      </c>
      <c r="B736" s="22" t="s">
        <v>802</v>
      </c>
      <c r="C736" s="22"/>
      <c r="D736" s="172" t="s">
        <v>806</v>
      </c>
      <c r="E736" s="157" t="s">
        <v>796</v>
      </c>
      <c r="F736" s="174">
        <v>57</v>
      </c>
      <c r="G736" s="181"/>
      <c r="H736" s="45">
        <f t="shared" si="35"/>
        <v>0</v>
      </c>
      <c r="J736" s="159"/>
      <c r="K736" s="30"/>
      <c r="L736" s="30"/>
      <c r="M736" s="30"/>
      <c r="N736" s="30"/>
      <c r="O736" s="30"/>
      <c r="P736" s="30"/>
      <c r="Q736" s="30"/>
      <c r="R736" s="30"/>
      <c r="S736" s="30"/>
      <c r="T736" s="30"/>
      <c r="U736" s="30"/>
      <c r="V736" s="30"/>
      <c r="W736" s="30"/>
      <c r="X736" s="30"/>
      <c r="Y736" s="30"/>
      <c r="Z736" s="30"/>
      <c r="AA736" s="30"/>
      <c r="AB736" s="30"/>
      <c r="AC736" s="30"/>
      <c r="AD736" s="30"/>
      <c r="AE736" s="30"/>
      <c r="AF736" s="30"/>
      <c r="AG736" s="30"/>
      <c r="AH736" s="30"/>
      <c r="AI736" s="30"/>
      <c r="AJ736" s="30"/>
      <c r="AK736" s="30"/>
      <c r="AL736" s="30"/>
      <c r="AM736" s="30"/>
      <c r="AN736" s="30"/>
      <c r="AO736" s="30"/>
      <c r="AP736" s="30"/>
      <c r="AQ736" s="30"/>
      <c r="AR736" s="30"/>
      <c r="AS736" s="30"/>
      <c r="AT736" s="30"/>
      <c r="AU736" s="30"/>
    </row>
    <row r="737" spans="1:47" s="193" customFormat="1" ht="12">
      <c r="A737" s="53" t="s">
        <v>1240</v>
      </c>
      <c r="B737" s="22" t="s">
        <v>1337</v>
      </c>
      <c r="C737" s="22"/>
      <c r="D737" s="172" t="s">
        <v>808</v>
      </c>
      <c r="E737" s="157" t="s">
        <v>796</v>
      </c>
      <c r="F737" s="174">
        <v>91</v>
      </c>
      <c r="G737" s="181"/>
      <c r="H737" s="45">
        <f t="shared" si="35"/>
        <v>0</v>
      </c>
      <c r="J737" s="159"/>
      <c r="K737" s="30"/>
      <c r="L737" s="30"/>
      <c r="M737" s="30"/>
      <c r="N737" s="30"/>
      <c r="O737" s="30"/>
      <c r="P737" s="30"/>
      <c r="Q737" s="30"/>
      <c r="R737" s="30"/>
      <c r="S737" s="30"/>
      <c r="T737" s="30"/>
      <c r="U737" s="30"/>
      <c r="V737" s="30"/>
      <c r="W737" s="30"/>
      <c r="X737" s="30"/>
      <c r="Y737" s="30"/>
      <c r="Z737" s="30"/>
      <c r="AA737" s="30"/>
      <c r="AB737" s="30"/>
      <c r="AC737" s="30"/>
      <c r="AD737" s="30"/>
      <c r="AE737" s="30"/>
      <c r="AF737" s="30"/>
      <c r="AG737" s="30"/>
      <c r="AH737" s="30"/>
      <c r="AI737" s="30"/>
      <c r="AJ737" s="30"/>
      <c r="AK737" s="30"/>
      <c r="AL737" s="30"/>
      <c r="AM737" s="30"/>
      <c r="AN737" s="30"/>
      <c r="AO737" s="30"/>
      <c r="AP737" s="30"/>
      <c r="AQ737" s="30"/>
      <c r="AR737" s="30"/>
      <c r="AS737" s="30"/>
      <c r="AT737" s="30"/>
      <c r="AU737" s="30"/>
    </row>
    <row r="738" spans="1:47" s="193" customFormat="1" ht="36">
      <c r="A738" s="53" t="s">
        <v>1241</v>
      </c>
      <c r="B738" s="22" t="s">
        <v>798</v>
      </c>
      <c r="C738" s="22"/>
      <c r="D738" s="172" t="s">
        <v>1325</v>
      </c>
      <c r="E738" s="157" t="s">
        <v>796</v>
      </c>
      <c r="F738" s="174">
        <v>2</v>
      </c>
      <c r="G738" s="181"/>
      <c r="H738" s="45">
        <f t="shared" si="35"/>
        <v>0</v>
      </c>
      <c r="J738" s="159"/>
      <c r="K738" s="30"/>
      <c r="L738" s="30"/>
      <c r="M738" s="30"/>
      <c r="N738" s="30"/>
      <c r="O738" s="30"/>
      <c r="P738" s="30"/>
      <c r="Q738" s="30"/>
      <c r="R738" s="30"/>
      <c r="S738" s="30"/>
      <c r="T738" s="30"/>
      <c r="U738" s="30"/>
      <c r="V738" s="30"/>
      <c r="W738" s="30"/>
      <c r="X738" s="30"/>
      <c r="Y738" s="30"/>
      <c r="Z738" s="30"/>
      <c r="AA738" s="30"/>
      <c r="AB738" s="30"/>
      <c r="AC738" s="30"/>
      <c r="AD738" s="30"/>
      <c r="AE738" s="30"/>
      <c r="AF738" s="30"/>
      <c r="AG738" s="30"/>
      <c r="AH738" s="30"/>
      <c r="AI738" s="30"/>
      <c r="AJ738" s="30"/>
      <c r="AK738" s="30"/>
      <c r="AL738" s="30"/>
      <c r="AM738" s="30"/>
      <c r="AN738" s="30"/>
      <c r="AO738" s="30"/>
      <c r="AP738" s="30"/>
      <c r="AQ738" s="30"/>
      <c r="AR738" s="30"/>
      <c r="AS738" s="30"/>
      <c r="AT738" s="30"/>
      <c r="AU738" s="30"/>
    </row>
    <row r="739" spans="1:47" s="193" customFormat="1" ht="24">
      <c r="A739" s="53" t="s">
        <v>1242</v>
      </c>
      <c r="B739" s="22" t="s">
        <v>1338</v>
      </c>
      <c r="C739" s="22"/>
      <c r="D739" s="172" t="s">
        <v>811</v>
      </c>
      <c r="E739" s="157" t="s">
        <v>796</v>
      </c>
      <c r="F739" s="174">
        <v>2</v>
      </c>
      <c r="G739" s="181"/>
      <c r="H739" s="45">
        <f t="shared" si="35"/>
        <v>0</v>
      </c>
      <c r="J739" s="159"/>
      <c r="K739" s="30"/>
      <c r="L739" s="30"/>
      <c r="M739" s="30"/>
      <c r="N739" s="30"/>
      <c r="O739" s="30"/>
      <c r="P739" s="30"/>
      <c r="Q739" s="30"/>
      <c r="R739" s="30"/>
      <c r="S739" s="30"/>
      <c r="T739" s="30"/>
      <c r="U739" s="30"/>
      <c r="V739" s="30"/>
      <c r="W739" s="30"/>
      <c r="X739" s="30"/>
      <c r="Y739" s="30"/>
      <c r="Z739" s="30"/>
      <c r="AA739" s="30"/>
      <c r="AB739" s="30"/>
      <c r="AC739" s="30"/>
      <c r="AD739" s="30"/>
      <c r="AE739" s="30"/>
      <c r="AF739" s="30"/>
      <c r="AG739" s="30"/>
      <c r="AH739" s="30"/>
      <c r="AI739" s="30"/>
      <c r="AJ739" s="30"/>
      <c r="AK739" s="30"/>
      <c r="AL739" s="30"/>
      <c r="AM739" s="30"/>
      <c r="AN739" s="30"/>
      <c r="AO739" s="30"/>
      <c r="AP739" s="30"/>
      <c r="AQ739" s="30"/>
      <c r="AR739" s="30"/>
      <c r="AS739" s="30"/>
      <c r="AT739" s="30"/>
      <c r="AU739" s="30"/>
    </row>
    <row r="740" spans="1:47" s="193" customFormat="1" ht="24">
      <c r="A740" s="53" t="s">
        <v>1243</v>
      </c>
      <c r="B740" s="22" t="s">
        <v>1339</v>
      </c>
      <c r="C740" s="22"/>
      <c r="D740" s="79" t="s">
        <v>813</v>
      </c>
      <c r="E740" s="157" t="s">
        <v>672</v>
      </c>
      <c r="F740" s="154">
        <v>0.003</v>
      </c>
      <c r="G740" s="26">
        <f>SUM(H662:H739)</f>
        <v>0</v>
      </c>
      <c r="H740" s="45">
        <f t="shared" si="35"/>
        <v>0</v>
      </c>
      <c r="J740" s="159"/>
      <c r="K740" s="30"/>
      <c r="L740" s="30"/>
      <c r="M740" s="30"/>
      <c r="N740" s="30"/>
      <c r="O740" s="30"/>
      <c r="P740" s="30"/>
      <c r="Q740" s="30"/>
      <c r="R740" s="30"/>
      <c r="S740" s="30"/>
      <c r="T740" s="30"/>
      <c r="U740" s="30"/>
      <c r="V740" s="30"/>
      <c r="W740" s="30"/>
      <c r="X740" s="30"/>
      <c r="Y740" s="30"/>
      <c r="Z740" s="30"/>
      <c r="AA740" s="30"/>
      <c r="AB740" s="30"/>
      <c r="AC740" s="30"/>
      <c r="AD740" s="30"/>
      <c r="AE740" s="30"/>
      <c r="AF740" s="30"/>
      <c r="AG740" s="30"/>
      <c r="AH740" s="30"/>
      <c r="AI740" s="30"/>
      <c r="AJ740" s="30"/>
      <c r="AK740" s="30"/>
      <c r="AL740" s="30"/>
      <c r="AM740" s="30"/>
      <c r="AN740" s="30"/>
      <c r="AO740" s="30"/>
      <c r="AP740" s="30"/>
      <c r="AQ740" s="30"/>
      <c r="AR740" s="30"/>
      <c r="AS740" s="30"/>
      <c r="AT740" s="30"/>
      <c r="AU740" s="30"/>
    </row>
    <row r="741" spans="1:47" s="193" customFormat="1" ht="12">
      <c r="A741" s="53" t="s">
        <v>1244</v>
      </c>
      <c r="B741" s="22"/>
      <c r="C741" s="22"/>
      <c r="D741" s="172"/>
      <c r="E741" s="37"/>
      <c r="F741" s="174"/>
      <c r="G741" s="26"/>
      <c r="H741" s="45"/>
      <c r="J741" s="159"/>
      <c r="K741" s="30"/>
      <c r="L741" s="30"/>
      <c r="M741" s="30"/>
      <c r="N741" s="30"/>
      <c r="O741" s="30"/>
      <c r="P741" s="30"/>
      <c r="Q741" s="30"/>
      <c r="R741" s="30"/>
      <c r="S741" s="30"/>
      <c r="T741" s="30"/>
      <c r="U741" s="30"/>
      <c r="V741" s="30"/>
      <c r="W741" s="30"/>
      <c r="X741" s="30"/>
      <c r="Y741" s="30"/>
      <c r="Z741" s="30"/>
      <c r="AA741" s="30"/>
      <c r="AB741" s="30"/>
      <c r="AC741" s="30"/>
      <c r="AD741" s="30"/>
      <c r="AE741" s="30"/>
      <c r="AF741" s="30"/>
      <c r="AG741" s="30"/>
      <c r="AH741" s="30"/>
      <c r="AI741" s="30"/>
      <c r="AJ741" s="30"/>
      <c r="AK741" s="30"/>
      <c r="AL741" s="30"/>
      <c r="AM741" s="30"/>
      <c r="AN741" s="30"/>
      <c r="AO741" s="30"/>
      <c r="AP741" s="30"/>
      <c r="AQ741" s="30"/>
      <c r="AR741" s="30"/>
      <c r="AS741" s="30"/>
      <c r="AT741" s="30"/>
      <c r="AU741" s="30"/>
    </row>
    <row r="742" spans="1:47" s="193" customFormat="1" ht="36">
      <c r="A742" s="53" t="s">
        <v>1245</v>
      </c>
      <c r="B742" s="22" t="s">
        <v>1341</v>
      </c>
      <c r="C742" s="22"/>
      <c r="D742" s="172" t="s">
        <v>816</v>
      </c>
      <c r="E742" s="37" t="s">
        <v>41</v>
      </c>
      <c r="F742" s="25">
        <f>SUM(F55+F65+F73)</f>
        <v>2268.7898</v>
      </c>
      <c r="G742" s="181"/>
      <c r="H742" s="45">
        <f t="shared" si="35"/>
        <v>0</v>
      </c>
      <c r="J742" s="195"/>
      <c r="K742" s="30"/>
      <c r="L742" s="30"/>
      <c r="M742" s="30"/>
      <c r="N742" s="30"/>
      <c r="O742" s="30"/>
      <c r="P742" s="30"/>
      <c r="Q742" s="30"/>
      <c r="R742" s="30"/>
      <c r="S742" s="30"/>
      <c r="T742" s="30"/>
      <c r="U742" s="30"/>
      <c r="V742" s="30"/>
      <c r="W742" s="30"/>
      <c r="X742" s="30"/>
      <c r="Y742" s="30"/>
      <c r="Z742" s="30"/>
      <c r="AA742" s="30"/>
      <c r="AB742" s="30"/>
      <c r="AC742" s="30"/>
      <c r="AD742" s="30"/>
      <c r="AE742" s="30"/>
      <c r="AF742" s="30"/>
      <c r="AG742" s="30"/>
      <c r="AH742" s="30"/>
      <c r="AI742" s="30"/>
      <c r="AJ742" s="30"/>
      <c r="AK742" s="30"/>
      <c r="AL742" s="30"/>
      <c r="AM742" s="30"/>
      <c r="AN742" s="30"/>
      <c r="AO742" s="30"/>
      <c r="AP742" s="30"/>
      <c r="AQ742" s="30"/>
      <c r="AR742" s="30"/>
      <c r="AS742" s="30"/>
      <c r="AT742" s="30"/>
      <c r="AU742" s="30"/>
    </row>
    <row r="743" spans="1:47" s="193" customFormat="1" ht="19.2">
      <c r="A743" s="53" t="s">
        <v>1246</v>
      </c>
      <c r="B743" s="22" t="s">
        <v>818</v>
      </c>
      <c r="C743" s="22"/>
      <c r="D743" s="172" t="s">
        <v>819</v>
      </c>
      <c r="E743" s="37" t="s">
        <v>91</v>
      </c>
      <c r="F743" s="25">
        <v>2</v>
      </c>
      <c r="G743" s="181"/>
      <c r="H743" s="45">
        <f t="shared" si="35"/>
        <v>0</v>
      </c>
      <c r="J743" s="159"/>
      <c r="K743" s="30"/>
      <c r="L743" s="30"/>
      <c r="M743" s="30"/>
      <c r="N743" s="30"/>
      <c r="O743" s="30"/>
      <c r="P743" s="30"/>
      <c r="Q743" s="30"/>
      <c r="R743" s="30"/>
      <c r="S743" s="30"/>
      <c r="T743" s="30"/>
      <c r="U743" s="30"/>
      <c r="V743" s="30"/>
      <c r="W743" s="30"/>
      <c r="X743" s="30"/>
      <c r="Y743" s="30"/>
      <c r="Z743" s="30"/>
      <c r="AA743" s="30"/>
      <c r="AB743" s="30"/>
      <c r="AC743" s="30"/>
      <c r="AD743" s="30"/>
      <c r="AE743" s="30"/>
      <c r="AF743" s="30"/>
      <c r="AG743" s="30"/>
      <c r="AH743" s="30"/>
      <c r="AI743" s="30"/>
      <c r="AJ743" s="30"/>
      <c r="AK743" s="30"/>
      <c r="AL743" s="30"/>
      <c r="AM743" s="30"/>
      <c r="AN743" s="30"/>
      <c r="AO743" s="30"/>
      <c r="AP743" s="30"/>
      <c r="AQ743" s="30"/>
      <c r="AR743" s="30"/>
      <c r="AS743" s="30"/>
      <c r="AT743" s="30"/>
      <c r="AU743" s="30"/>
    </row>
    <row r="744" spans="1:47" s="193" customFormat="1" ht="27" customHeight="1">
      <c r="A744" s="53" t="s">
        <v>1247</v>
      </c>
      <c r="B744" s="22"/>
      <c r="C744" s="22"/>
      <c r="D744" s="191" t="s">
        <v>1340</v>
      </c>
      <c r="E744" s="37"/>
      <c r="F744" s="174"/>
      <c r="G744" s="26"/>
      <c r="H744" s="45"/>
      <c r="J744" s="159"/>
      <c r="K744" s="30"/>
      <c r="L744" s="30"/>
      <c r="M744" s="30"/>
      <c r="N744" s="30"/>
      <c r="O744" s="30"/>
      <c r="P744" s="30"/>
      <c r="Q744" s="30"/>
      <c r="R744" s="30"/>
      <c r="S744" s="30"/>
      <c r="T744" s="30"/>
      <c r="U744" s="30"/>
      <c r="V744" s="30"/>
      <c r="W744" s="30"/>
      <c r="X744" s="30"/>
      <c r="Y744" s="30"/>
      <c r="Z744" s="30"/>
      <c r="AA744" s="30"/>
      <c r="AB744" s="30"/>
      <c r="AC744" s="30"/>
      <c r="AD744" s="30"/>
      <c r="AE744" s="30"/>
      <c r="AF744" s="30"/>
      <c r="AG744" s="30"/>
      <c r="AH744" s="30"/>
      <c r="AI744" s="30"/>
      <c r="AJ744" s="30"/>
      <c r="AK744" s="30"/>
      <c r="AL744" s="30"/>
      <c r="AM744" s="30"/>
      <c r="AN744" s="30"/>
      <c r="AO744" s="30"/>
      <c r="AP744" s="30"/>
      <c r="AQ744" s="30"/>
      <c r="AR744" s="30"/>
      <c r="AS744" s="30"/>
      <c r="AT744" s="30"/>
      <c r="AU744" s="30"/>
    </row>
    <row r="745" spans="1:47" s="193" customFormat="1" ht="12">
      <c r="A745" s="53" t="s">
        <v>1248</v>
      </c>
      <c r="B745" s="22"/>
      <c r="C745" s="22"/>
      <c r="D745" s="171" t="s">
        <v>824</v>
      </c>
      <c r="E745" s="156"/>
      <c r="F745" s="174"/>
      <c r="G745" s="26"/>
      <c r="H745" s="45"/>
      <c r="I745" s="196">
        <f>SUM(I747:I752)</f>
        <v>3.0199999999999996</v>
      </c>
      <c r="J745" s="159"/>
      <c r="K745" s="30"/>
      <c r="L745" s="30"/>
      <c r="M745" s="30"/>
      <c r="N745" s="30"/>
      <c r="O745" s="30"/>
      <c r="P745" s="30"/>
      <c r="Q745" s="30"/>
      <c r="R745" s="30"/>
      <c r="S745" s="30"/>
      <c r="T745" s="30"/>
      <c r="U745" s="30"/>
      <c r="V745" s="30"/>
      <c r="W745" s="30"/>
      <c r="X745" s="30"/>
      <c r="Y745" s="30"/>
      <c r="Z745" s="30"/>
      <c r="AA745" s="30"/>
      <c r="AB745" s="30"/>
      <c r="AC745" s="30"/>
      <c r="AD745" s="30"/>
      <c r="AE745" s="30"/>
      <c r="AF745" s="30"/>
      <c r="AG745" s="30"/>
      <c r="AH745" s="30"/>
      <c r="AI745" s="30"/>
      <c r="AJ745" s="30"/>
      <c r="AK745" s="30"/>
      <c r="AL745" s="30"/>
      <c r="AM745" s="30"/>
      <c r="AN745" s="30"/>
      <c r="AO745" s="30"/>
      <c r="AP745" s="30"/>
      <c r="AQ745" s="30"/>
      <c r="AR745" s="30"/>
      <c r="AS745" s="30"/>
      <c r="AT745" s="30"/>
      <c r="AU745" s="30"/>
    </row>
    <row r="746" spans="1:47" s="193" customFormat="1" ht="12">
      <c r="A746" s="53" t="s">
        <v>1249</v>
      </c>
      <c r="B746" s="22"/>
      <c r="C746" s="22"/>
      <c r="D746" s="172"/>
      <c r="E746" s="37"/>
      <c r="F746" s="174"/>
      <c r="G746" s="26"/>
      <c r="H746" s="45"/>
      <c r="I746" s="196"/>
      <c r="J746" s="159"/>
      <c r="K746" s="30"/>
      <c r="L746" s="30"/>
      <c r="M746" s="30"/>
      <c r="N746" s="30"/>
      <c r="O746" s="30"/>
      <c r="P746" s="30"/>
      <c r="Q746" s="30"/>
      <c r="R746" s="30"/>
      <c r="S746" s="30"/>
      <c r="T746" s="30"/>
      <c r="U746" s="30"/>
      <c r="V746" s="30"/>
      <c r="W746" s="30"/>
      <c r="X746" s="30"/>
      <c r="Y746" s="30"/>
      <c r="Z746" s="30"/>
      <c r="AA746" s="30"/>
      <c r="AB746" s="30"/>
      <c r="AC746" s="30"/>
      <c r="AD746" s="30"/>
      <c r="AE746" s="30"/>
      <c r="AF746" s="30"/>
      <c r="AG746" s="30"/>
      <c r="AH746" s="30"/>
      <c r="AI746" s="30"/>
      <c r="AJ746" s="30"/>
      <c r="AK746" s="30"/>
      <c r="AL746" s="30"/>
      <c r="AM746" s="30"/>
      <c r="AN746" s="30"/>
      <c r="AO746" s="30"/>
      <c r="AP746" s="30"/>
      <c r="AQ746" s="30"/>
      <c r="AR746" s="30"/>
      <c r="AS746" s="30"/>
      <c r="AT746" s="30"/>
      <c r="AU746" s="30"/>
    </row>
    <row r="747" spans="1:47" s="193" customFormat="1" ht="24">
      <c r="A747" s="53" t="s">
        <v>1250</v>
      </c>
      <c r="B747" s="22" t="s">
        <v>1342</v>
      </c>
      <c r="C747" s="22"/>
      <c r="D747" s="172" t="s">
        <v>829</v>
      </c>
      <c r="E747" s="37" t="s">
        <v>91</v>
      </c>
      <c r="F747" s="174">
        <v>410</v>
      </c>
      <c r="G747" s="181"/>
      <c r="H747" s="45">
        <f t="shared" si="35"/>
        <v>0</v>
      </c>
      <c r="I747" s="197">
        <f>ROUND((F747*0.00278),2)</f>
        <v>1.14</v>
      </c>
      <c r="J747" s="159"/>
      <c r="K747" s="30"/>
      <c r="L747" s="30"/>
      <c r="M747" s="30"/>
      <c r="N747" s="30"/>
      <c r="O747" s="30"/>
      <c r="P747" s="30"/>
      <c r="Q747" s="30"/>
      <c r="R747" s="30"/>
      <c r="S747" s="30"/>
      <c r="T747" s="30"/>
      <c r="U747" s="30"/>
      <c r="V747" s="30"/>
      <c r="W747" s="30"/>
      <c r="X747" s="30"/>
      <c r="Y747" s="30"/>
      <c r="Z747" s="30"/>
      <c r="AA747" s="30"/>
      <c r="AB747" s="30"/>
      <c r="AC747" s="30"/>
      <c r="AD747" s="30"/>
      <c r="AE747" s="30"/>
      <c r="AF747" s="30"/>
      <c r="AG747" s="30"/>
      <c r="AH747" s="30"/>
      <c r="AI747" s="30"/>
      <c r="AJ747" s="30"/>
      <c r="AK747" s="30"/>
      <c r="AL747" s="30"/>
      <c r="AM747" s="30"/>
      <c r="AN747" s="30"/>
      <c r="AO747" s="30"/>
      <c r="AP747" s="30"/>
      <c r="AQ747" s="30"/>
      <c r="AR747" s="30"/>
      <c r="AS747" s="30"/>
      <c r="AT747" s="30"/>
      <c r="AU747" s="30"/>
    </row>
    <row r="748" spans="1:47" s="193" customFormat="1" ht="24">
      <c r="A748" s="53" t="s">
        <v>1251</v>
      </c>
      <c r="B748" s="22" t="s">
        <v>1342</v>
      </c>
      <c r="C748" s="22"/>
      <c r="D748" s="172" t="s">
        <v>831</v>
      </c>
      <c r="E748" s="37" t="s">
        <v>91</v>
      </c>
      <c r="F748" s="174">
        <v>410</v>
      </c>
      <c r="G748" s="181"/>
      <c r="H748" s="45">
        <f t="shared" si="35"/>
        <v>0</v>
      </c>
      <c r="I748" s="197">
        <f>ROUND((F748*0.00278),2)</f>
        <v>1.14</v>
      </c>
      <c r="J748" s="159"/>
      <c r="K748" s="30"/>
      <c r="L748" s="30"/>
      <c r="M748" s="30"/>
      <c r="N748" s="30"/>
      <c r="O748" s="30"/>
      <c r="P748" s="30"/>
      <c r="Q748" s="30"/>
      <c r="R748" s="30"/>
      <c r="S748" s="30"/>
      <c r="T748" s="30"/>
      <c r="U748" s="30"/>
      <c r="V748" s="30"/>
      <c r="W748" s="30"/>
      <c r="X748" s="30"/>
      <c r="Y748" s="30"/>
      <c r="Z748" s="30"/>
      <c r="AA748" s="30"/>
      <c r="AB748" s="30"/>
      <c r="AC748" s="30"/>
      <c r="AD748" s="30"/>
      <c r="AE748" s="30"/>
      <c r="AF748" s="30"/>
      <c r="AG748" s="30"/>
      <c r="AH748" s="30"/>
      <c r="AI748" s="30"/>
      <c r="AJ748" s="30"/>
      <c r="AK748" s="30"/>
      <c r="AL748" s="30"/>
      <c r="AM748" s="30"/>
      <c r="AN748" s="30"/>
      <c r="AO748" s="30"/>
      <c r="AP748" s="30"/>
      <c r="AQ748" s="30"/>
      <c r="AR748" s="30"/>
      <c r="AS748" s="30"/>
      <c r="AT748" s="30"/>
      <c r="AU748" s="30"/>
    </row>
    <row r="749" spans="1:47" s="193" customFormat="1" ht="24">
      <c r="A749" s="53" t="s">
        <v>1252</v>
      </c>
      <c r="B749" s="22" t="s">
        <v>826</v>
      </c>
      <c r="C749" s="22"/>
      <c r="D749" s="172" t="s">
        <v>827</v>
      </c>
      <c r="E749" s="37" t="s">
        <v>91</v>
      </c>
      <c r="F749" s="174">
        <v>57</v>
      </c>
      <c r="G749" s="181"/>
      <c r="H749" s="45">
        <f t="shared" si="35"/>
        <v>0</v>
      </c>
      <c r="I749" s="197">
        <f>ROUND((F749*0.00432),2)</f>
        <v>0.25</v>
      </c>
      <c r="J749" s="159"/>
      <c r="K749" s="30"/>
      <c r="L749" s="30"/>
      <c r="M749" s="30"/>
      <c r="N749" s="30"/>
      <c r="O749" s="30"/>
      <c r="P749" s="30"/>
      <c r="Q749" s="30"/>
      <c r="R749" s="30"/>
      <c r="S749" s="30"/>
      <c r="T749" s="30"/>
      <c r="U749" s="30"/>
      <c r="V749" s="30"/>
      <c r="W749" s="30"/>
      <c r="X749" s="30"/>
      <c r="Y749" s="30"/>
      <c r="Z749" s="30"/>
      <c r="AA749" s="30"/>
      <c r="AB749" s="30"/>
      <c r="AC749" s="30"/>
      <c r="AD749" s="30"/>
      <c r="AE749" s="30"/>
      <c r="AF749" s="30"/>
      <c r="AG749" s="30"/>
      <c r="AH749" s="30"/>
      <c r="AI749" s="30"/>
      <c r="AJ749" s="30"/>
      <c r="AK749" s="30"/>
      <c r="AL749" s="30"/>
      <c r="AM749" s="30"/>
      <c r="AN749" s="30"/>
      <c r="AO749" s="30"/>
      <c r="AP749" s="30"/>
      <c r="AQ749" s="30"/>
      <c r="AR749" s="30"/>
      <c r="AS749" s="30"/>
      <c r="AT749" s="30"/>
      <c r="AU749" s="30"/>
    </row>
    <row r="750" spans="1:47" s="193" customFormat="1" ht="24">
      <c r="A750" s="53" t="s">
        <v>1253</v>
      </c>
      <c r="B750" s="22" t="s">
        <v>826</v>
      </c>
      <c r="C750" s="22"/>
      <c r="D750" s="172" t="s">
        <v>834</v>
      </c>
      <c r="E750" s="37" t="s">
        <v>91</v>
      </c>
      <c r="F750" s="174">
        <v>91</v>
      </c>
      <c r="G750" s="181"/>
      <c r="H750" s="45">
        <f t="shared" si="35"/>
        <v>0</v>
      </c>
      <c r="I750" s="197">
        <f>ROUND((F750*0.00432),2)</f>
        <v>0.39</v>
      </c>
      <c r="J750" s="159"/>
      <c r="K750" s="30"/>
      <c r="L750" s="30"/>
      <c r="M750" s="30"/>
      <c r="N750" s="30"/>
      <c r="O750" s="30"/>
      <c r="P750" s="30"/>
      <c r="Q750" s="30"/>
      <c r="R750" s="30"/>
      <c r="S750" s="30"/>
      <c r="T750" s="30"/>
      <c r="U750" s="30"/>
      <c r="V750" s="30"/>
      <c r="W750" s="30"/>
      <c r="X750" s="30"/>
      <c r="Y750" s="30"/>
      <c r="Z750" s="30"/>
      <c r="AA750" s="30"/>
      <c r="AB750" s="30"/>
      <c r="AC750" s="30"/>
      <c r="AD750" s="30"/>
      <c r="AE750" s="30"/>
      <c r="AF750" s="30"/>
      <c r="AG750" s="30"/>
      <c r="AH750" s="30"/>
      <c r="AI750" s="30"/>
      <c r="AJ750" s="30"/>
      <c r="AK750" s="30"/>
      <c r="AL750" s="30"/>
      <c r="AM750" s="30"/>
      <c r="AN750" s="30"/>
      <c r="AO750" s="30"/>
      <c r="AP750" s="30"/>
      <c r="AQ750" s="30"/>
      <c r="AR750" s="30"/>
      <c r="AS750" s="30"/>
      <c r="AT750" s="30"/>
      <c r="AU750" s="30"/>
    </row>
    <row r="751" spans="1:47" s="193" customFormat="1" ht="24">
      <c r="A751" s="53" t="s">
        <v>1254</v>
      </c>
      <c r="B751" s="22" t="s">
        <v>1126</v>
      </c>
      <c r="C751" s="22"/>
      <c r="D751" s="172" t="s">
        <v>836</v>
      </c>
      <c r="E751" s="37" t="s">
        <v>91</v>
      </c>
      <c r="F751" s="174">
        <v>2</v>
      </c>
      <c r="G751" s="181"/>
      <c r="H751" s="45">
        <f t="shared" si="35"/>
        <v>0</v>
      </c>
      <c r="I751" s="197">
        <f>ROUND((F751*0.0238),2)</f>
        <v>0.05</v>
      </c>
      <c r="J751" s="159"/>
      <c r="K751" s="30"/>
      <c r="L751" s="30"/>
      <c r="M751" s="30"/>
      <c r="N751" s="30"/>
      <c r="O751" s="30"/>
      <c r="P751" s="30"/>
      <c r="Q751" s="30"/>
      <c r="R751" s="30"/>
      <c r="S751" s="30"/>
      <c r="T751" s="30"/>
      <c r="U751" s="30"/>
      <c r="V751" s="30"/>
      <c r="W751" s="30"/>
      <c r="X751" s="30"/>
      <c r="Y751" s="30"/>
      <c r="Z751" s="30"/>
      <c r="AA751" s="30"/>
      <c r="AB751" s="30"/>
      <c r="AC751" s="30"/>
      <c r="AD751" s="30"/>
      <c r="AE751" s="30"/>
      <c r="AF751" s="30"/>
      <c r="AG751" s="30"/>
      <c r="AH751" s="30"/>
      <c r="AI751" s="30"/>
      <c r="AJ751" s="30"/>
      <c r="AK751" s="30"/>
      <c r="AL751" s="30"/>
      <c r="AM751" s="30"/>
      <c r="AN751" s="30"/>
      <c r="AO751" s="30"/>
      <c r="AP751" s="30"/>
      <c r="AQ751" s="30"/>
      <c r="AR751" s="30"/>
      <c r="AS751" s="30"/>
      <c r="AT751" s="30"/>
      <c r="AU751" s="30"/>
    </row>
    <row r="752" spans="1:47" s="193" customFormat="1" ht="24">
      <c r="A752" s="53" t="s">
        <v>1255</v>
      </c>
      <c r="B752" s="22" t="s">
        <v>1126</v>
      </c>
      <c r="C752" s="22"/>
      <c r="D752" s="172" t="s">
        <v>838</v>
      </c>
      <c r="E752" s="37" t="s">
        <v>91</v>
      </c>
      <c r="F752" s="174">
        <v>2</v>
      </c>
      <c r="G752" s="181"/>
      <c r="H752" s="45">
        <f t="shared" si="35"/>
        <v>0</v>
      </c>
      <c r="I752" s="197">
        <f>ROUND((F752*0.0238),2)</f>
        <v>0.05</v>
      </c>
      <c r="J752" s="159"/>
      <c r="K752" s="30"/>
      <c r="L752" s="30"/>
      <c r="M752" s="30"/>
      <c r="N752" s="30"/>
      <c r="O752" s="30"/>
      <c r="P752" s="30"/>
      <c r="Q752" s="30"/>
      <c r="R752" s="30"/>
      <c r="S752" s="30"/>
      <c r="T752" s="30"/>
      <c r="U752" s="30"/>
      <c r="V752" s="30"/>
      <c r="W752" s="30"/>
      <c r="X752" s="30"/>
      <c r="Y752" s="30"/>
      <c r="Z752" s="30"/>
      <c r="AA752" s="30"/>
      <c r="AB752" s="30"/>
      <c r="AC752" s="30"/>
      <c r="AD752" s="30"/>
      <c r="AE752" s="30"/>
      <c r="AF752" s="30"/>
      <c r="AG752" s="30"/>
      <c r="AH752" s="30"/>
      <c r="AI752" s="30"/>
      <c r="AJ752" s="30"/>
      <c r="AK752" s="30"/>
      <c r="AL752" s="30"/>
      <c r="AM752" s="30"/>
      <c r="AN752" s="30"/>
      <c r="AO752" s="30"/>
      <c r="AP752" s="30"/>
      <c r="AQ752" s="30"/>
      <c r="AR752" s="30"/>
      <c r="AS752" s="30"/>
      <c r="AT752" s="30"/>
      <c r="AU752" s="30"/>
    </row>
    <row r="753" spans="1:47" s="193" customFormat="1" ht="12">
      <c r="A753" s="53" t="s">
        <v>1256</v>
      </c>
      <c r="B753" s="22" t="s">
        <v>1154</v>
      </c>
      <c r="C753" s="22"/>
      <c r="D753" s="172" t="s">
        <v>1343</v>
      </c>
      <c r="E753" s="37" t="s">
        <v>6</v>
      </c>
      <c r="F753" s="174">
        <v>0.003</v>
      </c>
      <c r="G753" s="26">
        <f>SUM(H746:H752)</f>
        <v>0</v>
      </c>
      <c r="H753" s="45">
        <f t="shared" si="35"/>
        <v>0</v>
      </c>
      <c r="I753" s="45"/>
      <c r="J753" s="159"/>
      <c r="K753" s="30"/>
      <c r="L753" s="30"/>
      <c r="M753" s="30"/>
      <c r="N753" s="30"/>
      <c r="O753" s="30"/>
      <c r="P753" s="30"/>
      <c r="Q753" s="30"/>
      <c r="R753" s="30"/>
      <c r="S753" s="30"/>
      <c r="T753" s="30"/>
      <c r="U753" s="30"/>
      <c r="V753" s="30"/>
      <c r="W753" s="30"/>
      <c r="X753" s="30"/>
      <c r="Y753" s="30"/>
      <c r="Z753" s="30"/>
      <c r="AA753" s="30"/>
      <c r="AB753" s="30"/>
      <c r="AC753" s="30"/>
      <c r="AD753" s="30"/>
      <c r="AE753" s="30"/>
      <c r="AF753" s="30"/>
      <c r="AG753" s="30"/>
      <c r="AH753" s="30"/>
      <c r="AI753" s="30"/>
      <c r="AJ753" s="30"/>
      <c r="AK753" s="30"/>
      <c r="AL753" s="30"/>
      <c r="AM753" s="30"/>
      <c r="AN753" s="30"/>
      <c r="AO753" s="30"/>
      <c r="AP753" s="30"/>
      <c r="AQ753" s="30"/>
      <c r="AR753" s="30"/>
      <c r="AS753" s="30"/>
      <c r="AT753" s="30"/>
      <c r="AU753" s="30"/>
    </row>
    <row r="754" spans="1:47" s="193" customFormat="1" ht="12">
      <c r="A754" s="53" t="s">
        <v>1257</v>
      </c>
      <c r="B754" s="22"/>
      <c r="C754" s="22"/>
      <c r="D754" s="172"/>
      <c r="E754" s="37"/>
      <c r="F754" s="174"/>
      <c r="G754" s="26"/>
      <c r="H754" s="45"/>
      <c r="I754" s="45"/>
      <c r="J754" s="159"/>
      <c r="K754" s="30"/>
      <c r="L754" s="30"/>
      <c r="M754" s="30"/>
      <c r="N754" s="30"/>
      <c r="O754" s="30"/>
      <c r="P754" s="30"/>
      <c r="Q754" s="30"/>
      <c r="R754" s="30"/>
      <c r="S754" s="30"/>
      <c r="T754" s="30"/>
      <c r="U754" s="30"/>
      <c r="V754" s="30"/>
      <c r="W754" s="30"/>
      <c r="X754" s="30"/>
      <c r="Y754" s="30"/>
      <c r="Z754" s="30"/>
      <c r="AA754" s="30"/>
      <c r="AB754" s="30"/>
      <c r="AC754" s="30"/>
      <c r="AD754" s="30"/>
      <c r="AE754" s="30"/>
      <c r="AF754" s="30"/>
      <c r="AG754" s="30"/>
      <c r="AH754" s="30"/>
      <c r="AI754" s="30"/>
      <c r="AJ754" s="30"/>
      <c r="AK754" s="30"/>
      <c r="AL754" s="30"/>
      <c r="AM754" s="30"/>
      <c r="AN754" s="30"/>
      <c r="AO754" s="30"/>
      <c r="AP754" s="30"/>
      <c r="AQ754" s="30"/>
      <c r="AR754" s="30"/>
      <c r="AS754" s="30"/>
      <c r="AT754" s="30"/>
      <c r="AU754" s="30"/>
    </row>
    <row r="755" spans="1:43" s="114" customFormat="1" ht="13.8">
      <c r="A755" s="53" t="s">
        <v>1258</v>
      </c>
      <c r="B755" s="39"/>
      <c r="C755" s="40"/>
      <c r="D755" s="78"/>
      <c r="E755" s="147"/>
      <c r="F755" s="43"/>
      <c r="G755" s="44"/>
      <c r="H755" s="45"/>
      <c r="J755" s="29"/>
      <c r="AQ755" s="115"/>
    </row>
    <row r="756" spans="1:45" s="193" customFormat="1" ht="13.95" customHeight="1">
      <c r="A756" s="53" t="s">
        <v>1259</v>
      </c>
      <c r="B756" s="155"/>
      <c r="C756" s="32"/>
      <c r="D756" s="32" t="s">
        <v>852</v>
      </c>
      <c r="E756" s="151"/>
      <c r="F756" s="34"/>
      <c r="G756" s="26"/>
      <c r="H756" s="45"/>
      <c r="J756" s="198"/>
      <c r="K756" s="30"/>
      <c r="L756" s="30"/>
      <c r="M756" s="30"/>
      <c r="N756" s="30"/>
      <c r="O756" s="30"/>
      <c r="P756" s="30"/>
      <c r="Q756" s="30"/>
      <c r="R756" s="30"/>
      <c r="S756" s="30"/>
      <c r="T756" s="30"/>
      <c r="U756" s="30"/>
      <c r="V756" s="30"/>
      <c r="W756" s="30"/>
      <c r="X756" s="30"/>
      <c r="Y756" s="30"/>
      <c r="Z756" s="30"/>
      <c r="AA756" s="30"/>
      <c r="AB756" s="30"/>
      <c r="AC756" s="30"/>
      <c r="AD756" s="30"/>
      <c r="AE756" s="30"/>
      <c r="AF756" s="30"/>
      <c r="AG756" s="30"/>
      <c r="AH756" s="30"/>
      <c r="AI756" s="30"/>
      <c r="AJ756" s="30"/>
      <c r="AK756" s="30"/>
      <c r="AL756" s="30"/>
      <c r="AM756" s="30"/>
      <c r="AN756" s="30"/>
      <c r="AO756" s="30"/>
      <c r="AP756" s="30"/>
      <c r="AQ756" s="30"/>
      <c r="AR756" s="30"/>
      <c r="AS756" s="30"/>
    </row>
    <row r="757" spans="1:43" s="114" customFormat="1" ht="24.6">
      <c r="A757" s="53" t="s">
        <v>1260</v>
      </c>
      <c r="B757" s="199"/>
      <c r="C757" s="40"/>
      <c r="D757" s="172" t="s">
        <v>854</v>
      </c>
      <c r="E757" s="147"/>
      <c r="F757" s="44"/>
      <c r="G757" s="44"/>
      <c r="H757" s="45"/>
      <c r="J757" s="29"/>
      <c r="AQ757" s="115"/>
    </row>
    <row r="758" spans="1:43" s="114" customFormat="1" ht="30.6">
      <c r="A758" s="53" t="s">
        <v>1261</v>
      </c>
      <c r="B758" s="199" t="s">
        <v>857</v>
      </c>
      <c r="C758" s="40" t="s">
        <v>858</v>
      </c>
      <c r="D758" s="79" t="s">
        <v>859</v>
      </c>
      <c r="E758" s="147" t="s">
        <v>41</v>
      </c>
      <c r="F758" s="44">
        <v>6</v>
      </c>
      <c r="G758" s="85"/>
      <c r="H758" s="45">
        <f t="shared" si="35"/>
        <v>0</v>
      </c>
      <c r="J758" s="29"/>
      <c r="AQ758" s="115"/>
    </row>
    <row r="759" spans="1:43" s="114" customFormat="1" ht="24">
      <c r="A759" s="53" t="s">
        <v>1262</v>
      </c>
      <c r="B759" s="39" t="s">
        <v>861</v>
      </c>
      <c r="D759" s="107" t="s">
        <v>862</v>
      </c>
      <c r="E759" s="147" t="s">
        <v>41</v>
      </c>
      <c r="F759" s="44">
        <v>6</v>
      </c>
      <c r="G759" s="85"/>
      <c r="H759" s="45">
        <f t="shared" si="35"/>
        <v>0</v>
      </c>
      <c r="J759" s="29"/>
      <c r="AQ759" s="115"/>
    </row>
    <row r="760" spans="1:43" s="114" customFormat="1" ht="24">
      <c r="A760" s="53" t="s">
        <v>1263</v>
      </c>
      <c r="B760" s="39">
        <v>998713203</v>
      </c>
      <c r="D760" s="79" t="s">
        <v>865</v>
      </c>
      <c r="E760" s="147" t="s">
        <v>6</v>
      </c>
      <c r="F760" s="44">
        <v>0.022</v>
      </c>
      <c r="G760" s="44">
        <f>SUM(H758:H759)</f>
        <v>0</v>
      </c>
      <c r="H760" s="45">
        <f t="shared" si="35"/>
        <v>0</v>
      </c>
      <c r="J760" s="133"/>
      <c r="AQ760" s="115"/>
    </row>
    <row r="761" spans="1:43" s="114" customFormat="1" ht="13.8">
      <c r="A761" s="53" t="s">
        <v>1264</v>
      </c>
      <c r="B761" s="39"/>
      <c r="C761" s="40"/>
      <c r="D761" s="78"/>
      <c r="E761" s="147"/>
      <c r="F761" s="43"/>
      <c r="G761" s="44"/>
      <c r="H761" s="84"/>
      <c r="J761" s="29"/>
      <c r="AQ761" s="115"/>
    </row>
    <row r="762" spans="1:47" s="193" customFormat="1" ht="12">
      <c r="A762" s="53" t="s">
        <v>1265</v>
      </c>
      <c r="B762" s="22"/>
      <c r="C762" s="22"/>
      <c r="D762" s="30"/>
      <c r="E762" s="151"/>
      <c r="F762" s="174"/>
      <c r="G762" s="153"/>
      <c r="H762" s="152"/>
      <c r="J762" s="159"/>
      <c r="K762" s="30"/>
      <c r="L762" s="30"/>
      <c r="M762" s="30"/>
      <c r="N762" s="30"/>
      <c r="O762" s="30"/>
      <c r="P762" s="30"/>
      <c r="Q762" s="30"/>
      <c r="R762" s="30"/>
      <c r="S762" s="30"/>
      <c r="T762" s="30"/>
      <c r="U762" s="30"/>
      <c r="V762" s="30"/>
      <c r="W762" s="30"/>
      <c r="X762" s="30"/>
      <c r="Y762" s="30"/>
      <c r="Z762" s="30"/>
      <c r="AA762" s="30"/>
      <c r="AB762" s="30"/>
      <c r="AC762" s="30"/>
      <c r="AD762" s="30"/>
      <c r="AE762" s="30"/>
      <c r="AF762" s="30"/>
      <c r="AG762" s="30"/>
      <c r="AH762" s="30"/>
      <c r="AI762" s="30"/>
      <c r="AJ762" s="30"/>
      <c r="AK762" s="30"/>
      <c r="AL762" s="30"/>
      <c r="AM762" s="30"/>
      <c r="AN762" s="30"/>
      <c r="AO762" s="30"/>
      <c r="AP762" s="30"/>
      <c r="AQ762" s="30"/>
      <c r="AR762" s="30"/>
      <c r="AS762" s="30"/>
      <c r="AT762" s="30"/>
      <c r="AU762" s="30"/>
    </row>
    <row r="763" spans="1:47" s="193" customFormat="1" ht="13.8">
      <c r="A763" s="53" t="s">
        <v>1266</v>
      </c>
      <c r="B763" s="21" t="s">
        <v>869</v>
      </c>
      <c r="C763" s="22"/>
      <c r="D763" s="150" t="s">
        <v>9</v>
      </c>
      <c r="E763" s="151" t="s">
        <v>6</v>
      </c>
      <c r="F763" s="200" t="s">
        <v>38</v>
      </c>
      <c r="G763" s="153"/>
      <c r="H763" s="152">
        <f>H765+H774+H781</f>
        <v>0</v>
      </c>
      <c r="J763" s="159"/>
      <c r="K763" s="30"/>
      <c r="L763" s="30"/>
      <c r="M763" s="30"/>
      <c r="N763" s="30"/>
      <c r="O763" s="30"/>
      <c r="P763" s="30"/>
      <c r="Q763" s="30"/>
      <c r="R763" s="30"/>
      <c r="S763" s="30"/>
      <c r="T763" s="30"/>
      <c r="U763" s="30"/>
      <c r="V763" s="30"/>
      <c r="W763" s="30"/>
      <c r="X763" s="30"/>
      <c r="Y763" s="30"/>
      <c r="Z763" s="30"/>
      <c r="AA763" s="30"/>
      <c r="AB763" s="30"/>
      <c r="AC763" s="30"/>
      <c r="AD763" s="30"/>
      <c r="AE763" s="30"/>
      <c r="AF763" s="30"/>
      <c r="AG763" s="30"/>
      <c r="AH763" s="30"/>
      <c r="AI763" s="30"/>
      <c r="AJ763" s="30"/>
      <c r="AK763" s="30"/>
      <c r="AL763" s="30"/>
      <c r="AM763" s="30"/>
      <c r="AN763" s="30"/>
      <c r="AO763" s="30"/>
      <c r="AP763" s="30"/>
      <c r="AQ763" s="30"/>
      <c r="AR763" s="30"/>
      <c r="AS763" s="30"/>
      <c r="AT763" s="30"/>
      <c r="AU763" s="30"/>
    </row>
    <row r="764" spans="1:47" s="193" customFormat="1" ht="12">
      <c r="A764" s="53" t="s">
        <v>1267</v>
      </c>
      <c r="B764" s="21"/>
      <c r="C764" s="22"/>
      <c r="D764" s="32"/>
      <c r="E764" s="151"/>
      <c r="F764" s="154"/>
      <c r="G764" s="153"/>
      <c r="H764" s="152"/>
      <c r="J764" s="159"/>
      <c r="K764" s="30"/>
      <c r="L764" s="30"/>
      <c r="M764" s="30"/>
      <c r="N764" s="30"/>
      <c r="O764" s="30"/>
      <c r="P764" s="30"/>
      <c r="Q764" s="30"/>
      <c r="R764" s="30"/>
      <c r="S764" s="30"/>
      <c r="T764" s="30"/>
      <c r="U764" s="30"/>
      <c r="V764" s="30"/>
      <c r="W764" s="30"/>
      <c r="X764" s="30"/>
      <c r="Y764" s="30"/>
      <c r="Z764" s="30"/>
      <c r="AA764" s="30"/>
      <c r="AB764" s="30"/>
      <c r="AC764" s="30"/>
      <c r="AD764" s="30"/>
      <c r="AE764" s="30"/>
      <c r="AF764" s="30"/>
      <c r="AG764" s="30"/>
      <c r="AH764" s="30"/>
      <c r="AI764" s="30"/>
      <c r="AJ764" s="30"/>
      <c r="AK764" s="30"/>
      <c r="AL764" s="30"/>
      <c r="AM764" s="30"/>
      <c r="AN764" s="30"/>
      <c r="AO764" s="30"/>
      <c r="AP764" s="30"/>
      <c r="AQ764" s="30"/>
      <c r="AR764" s="30"/>
      <c r="AS764" s="30"/>
      <c r="AT764" s="30"/>
      <c r="AU764" s="30"/>
    </row>
    <row r="765" spans="1:47" s="193" customFormat="1" ht="12">
      <c r="A765" s="53" t="s">
        <v>1268</v>
      </c>
      <c r="B765" s="201"/>
      <c r="C765" s="202"/>
      <c r="D765" s="203" t="s">
        <v>872</v>
      </c>
      <c r="E765" s="204" t="s">
        <v>6</v>
      </c>
      <c r="F765" s="205" t="s">
        <v>213</v>
      </c>
      <c r="G765" s="206"/>
      <c r="H765" s="207">
        <f>SUM(H767:H772)</f>
        <v>0</v>
      </c>
      <c r="J765" s="208"/>
      <c r="K765" s="30"/>
      <c r="L765" s="30"/>
      <c r="M765" s="30"/>
      <c r="N765" s="30"/>
      <c r="O765" s="30"/>
      <c r="P765" s="30"/>
      <c r="Q765" s="30"/>
      <c r="R765" s="30"/>
      <c r="S765" s="30"/>
      <c r="T765" s="30"/>
      <c r="U765" s="30"/>
      <c r="V765" s="30"/>
      <c r="W765" s="30"/>
      <c r="X765" s="30"/>
      <c r="Y765" s="30"/>
      <c r="Z765" s="30"/>
      <c r="AA765" s="30"/>
      <c r="AB765" s="30"/>
      <c r="AC765" s="30"/>
      <c r="AD765" s="30"/>
      <c r="AE765" s="30"/>
      <c r="AF765" s="30"/>
      <c r="AG765" s="30"/>
      <c r="AH765" s="30"/>
      <c r="AI765" s="30"/>
      <c r="AJ765" s="30"/>
      <c r="AK765" s="30"/>
      <c r="AL765" s="30"/>
      <c r="AM765" s="30"/>
      <c r="AN765" s="30"/>
      <c r="AO765" s="30"/>
      <c r="AP765" s="30"/>
      <c r="AQ765" s="30"/>
      <c r="AR765" s="30"/>
      <c r="AS765" s="30"/>
      <c r="AT765" s="30"/>
      <c r="AU765" s="30"/>
    </row>
    <row r="766" spans="1:47" s="193" customFormat="1" ht="12">
      <c r="A766" s="53" t="s">
        <v>1269</v>
      </c>
      <c r="B766" s="201"/>
      <c r="C766" s="202"/>
      <c r="D766" s="209" t="s">
        <v>874</v>
      </c>
      <c r="E766" s="210"/>
      <c r="F766" s="211"/>
      <c r="G766" s="212"/>
      <c r="H766" s="213"/>
      <c r="J766" s="208"/>
      <c r="K766" s="30"/>
      <c r="L766" s="30"/>
      <c r="M766" s="30"/>
      <c r="N766" s="30"/>
      <c r="O766" s="30"/>
      <c r="P766" s="30"/>
      <c r="Q766" s="30"/>
      <c r="R766" s="30"/>
      <c r="S766" s="30"/>
      <c r="T766" s="30"/>
      <c r="U766" s="30"/>
      <c r="V766" s="30"/>
      <c r="W766" s="30"/>
      <c r="X766" s="30"/>
      <c r="Y766" s="30"/>
      <c r="Z766" s="30"/>
      <c r="AA766" s="30"/>
      <c r="AB766" s="30"/>
      <c r="AC766" s="30"/>
      <c r="AD766" s="30"/>
      <c r="AE766" s="30"/>
      <c r="AF766" s="30"/>
      <c r="AG766" s="30"/>
      <c r="AH766" s="30"/>
      <c r="AI766" s="30"/>
      <c r="AJ766" s="30"/>
      <c r="AK766" s="30"/>
      <c r="AL766" s="30"/>
      <c r="AM766" s="30"/>
      <c r="AN766" s="30"/>
      <c r="AO766" s="30"/>
      <c r="AP766" s="30"/>
      <c r="AQ766" s="30"/>
      <c r="AR766" s="30"/>
      <c r="AS766" s="30"/>
      <c r="AT766" s="30"/>
      <c r="AU766" s="30"/>
    </row>
    <row r="767" spans="1:47" s="193" customFormat="1" ht="12">
      <c r="A767" s="53" t="s">
        <v>1270</v>
      </c>
      <c r="B767" s="201" t="s">
        <v>1344</v>
      </c>
      <c r="C767" s="202"/>
      <c r="D767" s="214" t="s">
        <v>876</v>
      </c>
      <c r="E767" s="210" t="s">
        <v>168</v>
      </c>
      <c r="F767" s="211">
        <v>4</v>
      </c>
      <c r="G767" s="215"/>
      <c r="H767" s="45">
        <f aca="true" t="shared" si="36" ref="H767">ROUND((F767*G767),2)</f>
        <v>0</v>
      </c>
      <c r="J767" s="208"/>
      <c r="K767" s="30"/>
      <c r="L767" s="30"/>
      <c r="M767" s="30"/>
      <c r="N767" s="30"/>
      <c r="O767" s="30"/>
      <c r="P767" s="30"/>
      <c r="Q767" s="30"/>
      <c r="R767" s="30"/>
      <c r="S767" s="30"/>
      <c r="T767" s="30"/>
      <c r="U767" s="30"/>
      <c r="V767" s="30"/>
      <c r="W767" s="30"/>
      <c r="X767" s="30"/>
      <c r="Y767" s="30"/>
      <c r="Z767" s="30"/>
      <c r="AA767" s="30"/>
      <c r="AB767" s="30"/>
      <c r="AC767" s="30"/>
      <c r="AD767" s="30"/>
      <c r="AE767" s="30"/>
      <c r="AF767" s="30"/>
      <c r="AG767" s="30"/>
      <c r="AH767" s="30"/>
      <c r="AI767" s="30"/>
      <c r="AJ767" s="30"/>
      <c r="AK767" s="30"/>
      <c r="AL767" s="30"/>
      <c r="AM767" s="30"/>
      <c r="AN767" s="30"/>
      <c r="AO767" s="30"/>
      <c r="AP767" s="30"/>
      <c r="AQ767" s="30"/>
      <c r="AR767" s="30"/>
      <c r="AS767" s="30"/>
      <c r="AT767" s="30"/>
      <c r="AU767" s="30"/>
    </row>
    <row r="768" spans="1:47" s="193" customFormat="1" ht="12">
      <c r="A768" s="53" t="s">
        <v>1271</v>
      </c>
      <c r="B768" s="201"/>
      <c r="C768" s="202"/>
      <c r="D768" s="214" t="s">
        <v>878</v>
      </c>
      <c r="E768" s="210"/>
      <c r="F768" s="211"/>
      <c r="G768" s="212"/>
      <c r="H768" s="213"/>
      <c r="J768" s="208"/>
      <c r="K768" s="30"/>
      <c r="L768" s="30"/>
      <c r="M768" s="30"/>
      <c r="N768" s="30"/>
      <c r="O768" s="30"/>
      <c r="P768" s="30"/>
      <c r="Q768" s="30"/>
      <c r="R768" s="30"/>
      <c r="S768" s="30"/>
      <c r="T768" s="30"/>
      <c r="U768" s="30"/>
      <c r="V768" s="30"/>
      <c r="W768" s="30"/>
      <c r="X768" s="30"/>
      <c r="Y768" s="30"/>
      <c r="Z768" s="30"/>
      <c r="AA768" s="30"/>
      <c r="AB768" s="30"/>
      <c r="AC768" s="30"/>
      <c r="AD768" s="30"/>
      <c r="AE768" s="30"/>
      <c r="AF768" s="30"/>
      <c r="AG768" s="30"/>
      <c r="AH768" s="30"/>
      <c r="AI768" s="30"/>
      <c r="AJ768" s="30"/>
      <c r="AK768" s="30"/>
      <c r="AL768" s="30"/>
      <c r="AM768" s="30"/>
      <c r="AN768" s="30"/>
      <c r="AO768" s="30"/>
      <c r="AP768" s="30"/>
      <c r="AQ768" s="30"/>
      <c r="AR768" s="30"/>
      <c r="AS768" s="30"/>
      <c r="AT768" s="30"/>
      <c r="AU768" s="30"/>
    </row>
    <row r="769" spans="1:47" s="193" customFormat="1" ht="12">
      <c r="A769" s="53" t="s">
        <v>1272</v>
      </c>
      <c r="B769" s="201" t="s">
        <v>1345</v>
      </c>
      <c r="C769" s="202"/>
      <c r="D769" s="214" t="s">
        <v>1346</v>
      </c>
      <c r="E769" s="210" t="s">
        <v>168</v>
      </c>
      <c r="F769" s="211">
        <v>4</v>
      </c>
      <c r="G769" s="215"/>
      <c r="H769" s="45">
        <f aca="true" t="shared" si="37" ref="H769:H770">ROUND((F769*G769),2)</f>
        <v>0</v>
      </c>
      <c r="J769" s="208"/>
      <c r="K769" s="30"/>
      <c r="L769" s="30"/>
      <c r="M769" s="30"/>
      <c r="N769" s="30"/>
      <c r="O769" s="30"/>
      <c r="P769" s="30"/>
      <c r="Q769" s="30"/>
      <c r="R769" s="30"/>
      <c r="S769" s="30"/>
      <c r="T769" s="30"/>
      <c r="U769" s="30"/>
      <c r="V769" s="30"/>
      <c r="W769" s="30"/>
      <c r="X769" s="30"/>
      <c r="Y769" s="30"/>
      <c r="Z769" s="30"/>
      <c r="AA769" s="30"/>
      <c r="AB769" s="30"/>
      <c r="AC769" s="30"/>
      <c r="AD769" s="30"/>
      <c r="AE769" s="30"/>
      <c r="AF769" s="30"/>
      <c r="AG769" s="30"/>
      <c r="AH769" s="30"/>
      <c r="AI769" s="30"/>
      <c r="AJ769" s="30"/>
      <c r="AK769" s="30"/>
      <c r="AL769" s="30"/>
      <c r="AM769" s="30"/>
      <c r="AN769" s="30"/>
      <c r="AO769" s="30"/>
      <c r="AP769" s="30"/>
      <c r="AQ769" s="30"/>
      <c r="AR769" s="30"/>
      <c r="AS769" s="30"/>
      <c r="AT769" s="30"/>
      <c r="AU769" s="30"/>
    </row>
    <row r="770" spans="1:47" s="193" customFormat="1" ht="12">
      <c r="A770" s="53" t="s">
        <v>1273</v>
      </c>
      <c r="B770" s="201" t="s">
        <v>881</v>
      </c>
      <c r="C770" s="202"/>
      <c r="D770" s="214" t="s">
        <v>882</v>
      </c>
      <c r="E770" s="210" t="s">
        <v>168</v>
      </c>
      <c r="F770" s="211">
        <v>4</v>
      </c>
      <c r="G770" s="215"/>
      <c r="H770" s="45">
        <f t="shared" si="37"/>
        <v>0</v>
      </c>
      <c r="J770" s="208"/>
      <c r="K770" s="30"/>
      <c r="L770" s="30"/>
      <c r="M770" s="30"/>
      <c r="N770" s="30"/>
      <c r="O770" s="30"/>
      <c r="P770" s="30"/>
      <c r="Q770" s="30"/>
      <c r="R770" s="30"/>
      <c r="S770" s="30"/>
      <c r="T770" s="30"/>
      <c r="U770" s="30"/>
      <c r="V770" s="30"/>
      <c r="W770" s="30"/>
      <c r="X770" s="30"/>
      <c r="Y770" s="30"/>
      <c r="Z770" s="30"/>
      <c r="AA770" s="30"/>
      <c r="AB770" s="30"/>
      <c r="AC770" s="30"/>
      <c r="AD770" s="30"/>
      <c r="AE770" s="30"/>
      <c r="AF770" s="30"/>
      <c r="AG770" s="30"/>
      <c r="AH770" s="30"/>
      <c r="AI770" s="30"/>
      <c r="AJ770" s="30"/>
      <c r="AK770" s="30"/>
      <c r="AL770" s="30"/>
      <c r="AM770" s="30"/>
      <c r="AN770" s="30"/>
      <c r="AO770" s="30"/>
      <c r="AP770" s="30"/>
      <c r="AQ770" s="30"/>
      <c r="AR770" s="30"/>
      <c r="AS770" s="30"/>
      <c r="AT770" s="30"/>
      <c r="AU770" s="30"/>
    </row>
    <row r="771" spans="1:47" s="193" customFormat="1" ht="12">
      <c r="A771" s="53" t="s">
        <v>1274</v>
      </c>
      <c r="B771" s="201" t="s">
        <v>884</v>
      </c>
      <c r="C771" s="202"/>
      <c r="D771" s="209" t="s">
        <v>885</v>
      </c>
      <c r="E771" s="210"/>
      <c r="F771" s="211"/>
      <c r="G771" s="212"/>
      <c r="H771" s="213"/>
      <c r="J771" s="208"/>
      <c r="K771" s="30"/>
      <c r="L771" s="30"/>
      <c r="M771" s="30"/>
      <c r="N771" s="30"/>
      <c r="O771" s="30"/>
      <c r="P771" s="30"/>
      <c r="Q771" s="30"/>
      <c r="R771" s="30"/>
      <c r="S771" s="30"/>
      <c r="T771" s="30"/>
      <c r="U771" s="30"/>
      <c r="V771" s="30"/>
      <c r="W771" s="30"/>
      <c r="X771" s="30"/>
      <c r="Y771" s="30"/>
      <c r="Z771" s="30"/>
      <c r="AA771" s="30"/>
      <c r="AB771" s="30"/>
      <c r="AC771" s="30"/>
      <c r="AD771" s="30"/>
      <c r="AE771" s="30"/>
      <c r="AF771" s="30"/>
      <c r="AG771" s="30"/>
      <c r="AH771" s="30"/>
      <c r="AI771" s="30"/>
      <c r="AJ771" s="30"/>
      <c r="AK771" s="30"/>
      <c r="AL771" s="30"/>
      <c r="AM771" s="30"/>
      <c r="AN771" s="30"/>
      <c r="AO771" s="30"/>
      <c r="AP771" s="30"/>
      <c r="AQ771" s="30"/>
      <c r="AR771" s="30"/>
      <c r="AS771" s="30"/>
      <c r="AT771" s="30"/>
      <c r="AU771" s="30"/>
    </row>
    <row r="772" spans="1:47" s="193" customFormat="1" ht="24">
      <c r="A772" s="53" t="s">
        <v>1275</v>
      </c>
      <c r="B772" s="201" t="s">
        <v>1347</v>
      </c>
      <c r="C772" s="202"/>
      <c r="D772" s="214" t="s">
        <v>1348</v>
      </c>
      <c r="E772" s="210" t="s">
        <v>168</v>
      </c>
      <c r="F772" s="211">
        <v>4</v>
      </c>
      <c r="G772" s="215"/>
      <c r="H772" s="106">
        <f aca="true" t="shared" si="38" ref="H772">ROUND((F772*G772),2)</f>
        <v>0</v>
      </c>
      <c r="J772" s="208"/>
      <c r="K772" s="30"/>
      <c r="L772" s="30"/>
      <c r="M772" s="30"/>
      <c r="N772" s="30"/>
      <c r="O772" s="30"/>
      <c r="P772" s="30"/>
      <c r="Q772" s="30"/>
      <c r="R772" s="30"/>
      <c r="S772" s="30"/>
      <c r="T772" s="30"/>
      <c r="U772" s="30"/>
      <c r="V772" s="30"/>
      <c r="W772" s="30"/>
      <c r="X772" s="30"/>
      <c r="Y772" s="30"/>
      <c r="Z772" s="30"/>
      <c r="AA772" s="30"/>
      <c r="AB772" s="30"/>
      <c r="AC772" s="30"/>
      <c r="AD772" s="30"/>
      <c r="AE772" s="30"/>
      <c r="AF772" s="30"/>
      <c r="AG772" s="30"/>
      <c r="AH772" s="30"/>
      <c r="AI772" s="30"/>
      <c r="AJ772" s="30"/>
      <c r="AK772" s="30"/>
      <c r="AL772" s="30"/>
      <c r="AM772" s="30"/>
      <c r="AN772" s="30"/>
      <c r="AO772" s="30"/>
      <c r="AP772" s="30"/>
      <c r="AQ772" s="30"/>
      <c r="AR772" s="30"/>
      <c r="AS772" s="30"/>
      <c r="AT772" s="30"/>
      <c r="AU772" s="30"/>
    </row>
    <row r="773" spans="1:47" s="193" customFormat="1" ht="12">
      <c r="A773" s="53" t="s">
        <v>1276</v>
      </c>
      <c r="B773" s="22"/>
      <c r="C773" s="22"/>
      <c r="D773" s="171"/>
      <c r="E773" s="151"/>
      <c r="F773" s="52"/>
      <c r="G773" s="153"/>
      <c r="H773" s="152"/>
      <c r="J773" s="159"/>
      <c r="K773" s="30"/>
      <c r="L773" s="30"/>
      <c r="M773" s="30"/>
      <c r="N773" s="30"/>
      <c r="O773" s="30"/>
      <c r="P773" s="30"/>
      <c r="Q773" s="30"/>
      <c r="R773" s="30"/>
      <c r="S773" s="30"/>
      <c r="T773" s="30"/>
      <c r="U773" s="30"/>
      <c r="V773" s="30"/>
      <c r="W773" s="30"/>
      <c r="X773" s="30"/>
      <c r="Y773" s="30"/>
      <c r="Z773" s="30"/>
      <c r="AA773" s="30"/>
      <c r="AB773" s="30"/>
      <c r="AC773" s="30"/>
      <c r="AD773" s="30"/>
      <c r="AE773" s="30"/>
      <c r="AF773" s="30"/>
      <c r="AG773" s="30"/>
      <c r="AH773" s="30"/>
      <c r="AI773" s="30"/>
      <c r="AJ773" s="30"/>
      <c r="AK773" s="30"/>
      <c r="AL773" s="30"/>
      <c r="AM773" s="30"/>
      <c r="AN773" s="30"/>
      <c r="AO773" s="30"/>
      <c r="AP773" s="30"/>
      <c r="AQ773" s="30"/>
      <c r="AR773" s="30"/>
      <c r="AS773" s="30"/>
      <c r="AT773" s="30"/>
      <c r="AU773" s="30"/>
    </row>
    <row r="774" spans="1:47" s="193" customFormat="1" ht="12">
      <c r="A774" s="53" t="s">
        <v>1277</v>
      </c>
      <c r="B774" s="201"/>
      <c r="C774" s="202"/>
      <c r="D774" s="203" t="s">
        <v>889</v>
      </c>
      <c r="E774" s="204" t="s">
        <v>6</v>
      </c>
      <c r="F774" s="205" t="s">
        <v>213</v>
      </c>
      <c r="G774" s="212"/>
      <c r="H774" s="207">
        <f>SUM(H775:H779)</f>
        <v>0</v>
      </c>
      <c r="J774" s="208"/>
      <c r="K774" s="30"/>
      <c r="L774" s="30"/>
      <c r="M774" s="30"/>
      <c r="N774" s="30"/>
      <c r="O774" s="30"/>
      <c r="P774" s="30"/>
      <c r="Q774" s="30"/>
      <c r="R774" s="30"/>
      <c r="S774" s="30"/>
      <c r="T774" s="30"/>
      <c r="U774" s="30"/>
      <c r="V774" s="30"/>
      <c r="W774" s="30"/>
      <c r="X774" s="30"/>
      <c r="Y774" s="30"/>
      <c r="Z774" s="30"/>
      <c r="AA774" s="30"/>
      <c r="AB774" s="30"/>
      <c r="AC774" s="30"/>
      <c r="AD774" s="30"/>
      <c r="AE774" s="30"/>
      <c r="AF774" s="30"/>
      <c r="AG774" s="30"/>
      <c r="AH774" s="30"/>
      <c r="AI774" s="30"/>
      <c r="AJ774" s="30"/>
      <c r="AK774" s="30"/>
      <c r="AL774" s="30"/>
      <c r="AM774" s="30"/>
      <c r="AN774" s="30"/>
      <c r="AO774" s="30"/>
      <c r="AP774" s="30"/>
      <c r="AQ774" s="30"/>
      <c r="AR774" s="30"/>
      <c r="AS774" s="30"/>
      <c r="AT774" s="30"/>
      <c r="AU774" s="30"/>
    </row>
    <row r="775" spans="1:47" s="193" customFormat="1" ht="24">
      <c r="A775" s="53" t="s">
        <v>1278</v>
      </c>
      <c r="B775" s="201" t="s">
        <v>891</v>
      </c>
      <c r="C775" s="202"/>
      <c r="D775" s="214" t="s">
        <v>1157</v>
      </c>
      <c r="E775" s="210" t="s">
        <v>168</v>
      </c>
      <c r="F775" s="211">
        <v>10</v>
      </c>
      <c r="G775" s="215"/>
      <c r="H775" s="45">
        <f aca="true" t="shared" si="39" ref="H775:H781">ROUND((F775*G775),2)</f>
        <v>0</v>
      </c>
      <c r="J775" s="208"/>
      <c r="K775" s="30"/>
      <c r="L775" s="30"/>
      <c r="M775" s="30"/>
      <c r="N775" s="30"/>
      <c r="O775" s="30"/>
      <c r="P775" s="30"/>
      <c r="Q775" s="30"/>
      <c r="R775" s="30"/>
      <c r="S775" s="30"/>
      <c r="T775" s="30"/>
      <c r="U775" s="30"/>
      <c r="V775" s="30"/>
      <c r="W775" s="30"/>
      <c r="X775" s="30"/>
      <c r="Y775" s="30"/>
      <c r="Z775" s="30"/>
      <c r="AA775" s="30"/>
      <c r="AB775" s="30"/>
      <c r="AC775" s="30"/>
      <c r="AD775" s="30"/>
      <c r="AE775" s="30"/>
      <c r="AF775" s="30"/>
      <c r="AG775" s="30"/>
      <c r="AH775" s="30"/>
      <c r="AI775" s="30"/>
      <c r="AJ775" s="30"/>
      <c r="AK775" s="30"/>
      <c r="AL775" s="30"/>
      <c r="AM775" s="30"/>
      <c r="AN775" s="30"/>
      <c r="AO775" s="30"/>
      <c r="AP775" s="30"/>
      <c r="AQ775" s="30"/>
      <c r="AR775" s="30"/>
      <c r="AS775" s="30"/>
      <c r="AT775" s="30"/>
      <c r="AU775" s="30"/>
    </row>
    <row r="776" spans="1:47" s="193" customFormat="1" ht="12">
      <c r="A776" s="53" t="s">
        <v>1279</v>
      </c>
      <c r="B776" s="201" t="s">
        <v>893</v>
      </c>
      <c r="C776" s="202"/>
      <c r="D776" s="214" t="s">
        <v>894</v>
      </c>
      <c r="E776" s="210" t="s">
        <v>168</v>
      </c>
      <c r="F776" s="211">
        <v>10</v>
      </c>
      <c r="G776" s="215"/>
      <c r="H776" s="45">
        <f t="shared" si="39"/>
        <v>0</v>
      </c>
      <c r="J776" s="208"/>
      <c r="K776" s="30"/>
      <c r="L776" s="30"/>
      <c r="M776" s="30"/>
      <c r="N776" s="30"/>
      <c r="O776" s="30"/>
      <c r="P776" s="30"/>
      <c r="Q776" s="30"/>
      <c r="R776" s="30"/>
      <c r="S776" s="30"/>
      <c r="T776" s="30"/>
      <c r="U776" s="30"/>
      <c r="V776" s="30"/>
      <c r="W776" s="30"/>
      <c r="X776" s="30"/>
      <c r="Y776" s="30"/>
      <c r="Z776" s="30"/>
      <c r="AA776" s="30"/>
      <c r="AB776" s="30"/>
      <c r="AC776" s="30"/>
      <c r="AD776" s="30"/>
      <c r="AE776" s="30"/>
      <c r="AF776" s="30"/>
      <c r="AG776" s="30"/>
      <c r="AH776" s="30"/>
      <c r="AI776" s="30"/>
      <c r="AJ776" s="30"/>
      <c r="AK776" s="30"/>
      <c r="AL776" s="30"/>
      <c r="AM776" s="30"/>
      <c r="AN776" s="30"/>
      <c r="AO776" s="30"/>
      <c r="AP776" s="30"/>
      <c r="AQ776" s="30"/>
      <c r="AR776" s="30"/>
      <c r="AS776" s="30"/>
      <c r="AT776" s="30"/>
      <c r="AU776" s="30"/>
    </row>
    <row r="777" spans="1:47" s="193" customFormat="1" ht="12">
      <c r="A777" s="53" t="s">
        <v>1280</v>
      </c>
      <c r="B777" s="201" t="s">
        <v>896</v>
      </c>
      <c r="C777" s="202"/>
      <c r="D777" s="214" t="s">
        <v>897</v>
      </c>
      <c r="E777" s="210" t="s">
        <v>91</v>
      </c>
      <c r="F777" s="211">
        <v>10</v>
      </c>
      <c r="G777" s="215"/>
      <c r="H777" s="45">
        <f t="shared" si="39"/>
        <v>0</v>
      </c>
      <c r="J777" s="208"/>
      <c r="K777" s="30"/>
      <c r="L777" s="30"/>
      <c r="M777" s="30"/>
      <c r="N777" s="30"/>
      <c r="O777" s="30"/>
      <c r="P777" s="30"/>
      <c r="Q777" s="30"/>
      <c r="R777" s="30"/>
      <c r="S777" s="30"/>
      <c r="T777" s="30"/>
      <c r="U777" s="30"/>
      <c r="V777" s="30"/>
      <c r="W777" s="30"/>
      <c r="X777" s="30"/>
      <c r="Y777" s="30"/>
      <c r="Z777" s="30"/>
      <c r="AA777" s="30"/>
      <c r="AB777" s="30"/>
      <c r="AC777" s="30"/>
      <c r="AD777" s="30"/>
      <c r="AE777" s="30"/>
      <c r="AF777" s="30"/>
      <c r="AG777" s="30"/>
      <c r="AH777" s="30"/>
      <c r="AI777" s="30"/>
      <c r="AJ777" s="30"/>
      <c r="AK777" s="30"/>
      <c r="AL777" s="30"/>
      <c r="AM777" s="30"/>
      <c r="AN777" s="30"/>
      <c r="AO777" s="30"/>
      <c r="AP777" s="30"/>
      <c r="AQ777" s="30"/>
      <c r="AR777" s="30"/>
      <c r="AS777" s="30"/>
      <c r="AT777" s="30"/>
      <c r="AU777" s="30"/>
    </row>
    <row r="778" spans="1:47" s="193" customFormat="1" ht="12">
      <c r="A778" s="53" t="s">
        <v>1281</v>
      </c>
      <c r="B778" s="201"/>
      <c r="C778" s="202"/>
      <c r="D778" s="209" t="s">
        <v>899</v>
      </c>
      <c r="E778" s="216"/>
      <c r="F778" s="217"/>
      <c r="G778" s="218"/>
      <c r="H778" s="45"/>
      <c r="J778" s="219"/>
      <c r="K778" s="30"/>
      <c r="L778" s="30"/>
      <c r="M778" s="30"/>
      <c r="N778" s="30"/>
      <c r="O778" s="30"/>
      <c r="P778" s="30"/>
      <c r="Q778" s="30"/>
      <c r="R778" s="30"/>
      <c r="S778" s="30"/>
      <c r="T778" s="30"/>
      <c r="U778" s="30"/>
      <c r="V778" s="30"/>
      <c r="W778" s="30"/>
      <c r="X778" s="30"/>
      <c r="Y778" s="30"/>
      <c r="Z778" s="30"/>
      <c r="AA778" s="30"/>
      <c r="AB778" s="30"/>
      <c r="AC778" s="30"/>
      <c r="AD778" s="30"/>
      <c r="AE778" s="30"/>
      <c r="AF778" s="30"/>
      <c r="AG778" s="30"/>
      <c r="AH778" s="30"/>
      <c r="AI778" s="30"/>
      <c r="AJ778" s="30"/>
      <c r="AK778" s="30"/>
      <c r="AL778" s="30"/>
      <c r="AM778" s="30"/>
      <c r="AN778" s="30"/>
      <c r="AO778" s="30"/>
      <c r="AP778" s="30"/>
      <c r="AQ778" s="30"/>
      <c r="AR778" s="30"/>
      <c r="AS778" s="30"/>
      <c r="AT778" s="30"/>
      <c r="AU778" s="30"/>
    </row>
    <row r="779" spans="1:47" s="193" customFormat="1" ht="12">
      <c r="A779" s="53" t="s">
        <v>1282</v>
      </c>
      <c r="B779" s="201" t="s">
        <v>901</v>
      </c>
      <c r="C779" s="202"/>
      <c r="D779" s="214" t="s">
        <v>902</v>
      </c>
      <c r="E779" s="210" t="s">
        <v>168</v>
      </c>
      <c r="F779" s="211">
        <v>2</v>
      </c>
      <c r="G779" s="215"/>
      <c r="H779" s="45">
        <f t="shared" si="39"/>
        <v>0</v>
      </c>
      <c r="J779" s="208"/>
      <c r="K779" s="30"/>
      <c r="L779" s="30"/>
      <c r="M779" s="30"/>
      <c r="N779" s="30"/>
      <c r="O779" s="30"/>
      <c r="P779" s="30"/>
      <c r="Q779" s="30"/>
      <c r="R779" s="30"/>
      <c r="S779" s="30"/>
      <c r="T779" s="30"/>
      <c r="U779" s="30"/>
      <c r="V779" s="30"/>
      <c r="W779" s="30"/>
      <c r="X779" s="30"/>
      <c r="Y779" s="30"/>
      <c r="Z779" s="30"/>
      <c r="AA779" s="30"/>
      <c r="AB779" s="30"/>
      <c r="AC779" s="30"/>
      <c r="AD779" s="30"/>
      <c r="AE779" s="30"/>
      <c r="AF779" s="30"/>
      <c r="AG779" s="30"/>
      <c r="AH779" s="30"/>
      <c r="AI779" s="30"/>
      <c r="AJ779" s="30"/>
      <c r="AK779" s="30"/>
      <c r="AL779" s="30"/>
      <c r="AM779" s="30"/>
      <c r="AN779" s="30"/>
      <c r="AO779" s="30"/>
      <c r="AP779" s="30"/>
      <c r="AQ779" s="30"/>
      <c r="AR779" s="30"/>
      <c r="AS779" s="30"/>
      <c r="AT779" s="30"/>
      <c r="AU779" s="30"/>
    </row>
    <row r="780" spans="1:47" s="193" customFormat="1" ht="12">
      <c r="A780" s="53" t="s">
        <v>1283</v>
      </c>
      <c r="B780" s="201"/>
      <c r="C780" s="202"/>
      <c r="D780" s="214"/>
      <c r="E780" s="210"/>
      <c r="F780" s="211"/>
      <c r="G780" s="212"/>
      <c r="H780" s="45"/>
      <c r="J780" s="208"/>
      <c r="K780" s="30"/>
      <c r="L780" s="30"/>
      <c r="M780" s="30"/>
      <c r="N780" s="30"/>
      <c r="O780" s="30"/>
      <c r="P780" s="30"/>
      <c r="Q780" s="30"/>
      <c r="R780" s="30"/>
      <c r="S780" s="30"/>
      <c r="T780" s="30"/>
      <c r="U780" s="30"/>
      <c r="V780" s="30"/>
      <c r="W780" s="30"/>
      <c r="X780" s="30"/>
      <c r="Y780" s="30"/>
      <c r="Z780" s="30"/>
      <c r="AA780" s="30"/>
      <c r="AB780" s="30"/>
      <c r="AC780" s="30"/>
      <c r="AD780" s="30"/>
      <c r="AE780" s="30"/>
      <c r="AF780" s="30"/>
      <c r="AG780" s="30"/>
      <c r="AH780" s="30"/>
      <c r="AI780" s="30"/>
      <c r="AJ780" s="30"/>
      <c r="AK780" s="30"/>
      <c r="AL780" s="30"/>
      <c r="AM780" s="30"/>
      <c r="AN780" s="30"/>
      <c r="AO780" s="30"/>
      <c r="AP780" s="30"/>
      <c r="AQ780" s="30"/>
      <c r="AR780" s="30"/>
      <c r="AS780" s="30"/>
      <c r="AT780" s="30"/>
      <c r="AU780" s="30"/>
    </row>
    <row r="781" spans="1:47" s="193" customFormat="1" ht="24">
      <c r="A781" s="53" t="s">
        <v>1284</v>
      </c>
      <c r="B781" s="201">
        <v>998722203</v>
      </c>
      <c r="C781" s="202"/>
      <c r="D781" s="220" t="s">
        <v>957</v>
      </c>
      <c r="E781" s="221" t="s">
        <v>6</v>
      </c>
      <c r="F781" s="222">
        <v>0.0112</v>
      </c>
      <c r="G781" s="223">
        <f>H765+H774</f>
        <v>0</v>
      </c>
      <c r="H781" s="224">
        <f t="shared" si="39"/>
        <v>0</v>
      </c>
      <c r="J781" s="208"/>
      <c r="K781" s="30"/>
      <c r="L781" s="30"/>
      <c r="M781" s="30"/>
      <c r="N781" s="30"/>
      <c r="O781" s="30"/>
      <c r="P781" s="30"/>
      <c r="Q781" s="30"/>
      <c r="R781" s="30"/>
      <c r="S781" s="30"/>
      <c r="T781" s="30"/>
      <c r="U781" s="30"/>
      <c r="V781" s="30"/>
      <c r="W781" s="30"/>
      <c r="X781" s="30"/>
      <c r="Y781" s="30"/>
      <c r="Z781" s="30"/>
      <c r="AA781" s="30"/>
      <c r="AB781" s="30"/>
      <c r="AC781" s="30"/>
      <c r="AD781" s="30"/>
      <c r="AE781" s="30"/>
      <c r="AF781" s="30"/>
      <c r="AG781" s="30"/>
      <c r="AH781" s="30"/>
      <c r="AI781" s="30"/>
      <c r="AJ781" s="30"/>
      <c r="AK781" s="30"/>
      <c r="AL781" s="30"/>
      <c r="AM781" s="30"/>
      <c r="AN781" s="30"/>
      <c r="AO781" s="30"/>
      <c r="AP781" s="30"/>
      <c r="AQ781" s="30"/>
      <c r="AR781" s="30"/>
      <c r="AS781" s="30"/>
      <c r="AT781" s="30"/>
      <c r="AU781" s="30"/>
    </row>
    <row r="782" spans="1:47" s="193" customFormat="1" ht="12">
      <c r="A782" s="53" t="s">
        <v>1285</v>
      </c>
      <c r="B782" s="201"/>
      <c r="C782" s="202"/>
      <c r="D782" s="225" t="s">
        <v>956</v>
      </c>
      <c r="E782" s="221"/>
      <c r="F782" s="211"/>
      <c r="G782" s="226"/>
      <c r="H782" s="227"/>
      <c r="J782" s="208"/>
      <c r="K782" s="30"/>
      <c r="L782" s="30"/>
      <c r="M782" s="30"/>
      <c r="N782" s="30"/>
      <c r="O782" s="30"/>
      <c r="P782" s="30"/>
      <c r="Q782" s="30"/>
      <c r="R782" s="30"/>
      <c r="S782" s="30"/>
      <c r="T782" s="30"/>
      <c r="U782" s="30"/>
      <c r="V782" s="30"/>
      <c r="W782" s="30"/>
      <c r="X782" s="30"/>
      <c r="Y782" s="30"/>
      <c r="Z782" s="30"/>
      <c r="AA782" s="30"/>
      <c r="AB782" s="30"/>
      <c r="AC782" s="30"/>
      <c r="AD782" s="30"/>
      <c r="AE782" s="30"/>
      <c r="AF782" s="30"/>
      <c r="AG782" s="30"/>
      <c r="AH782" s="30"/>
      <c r="AI782" s="30"/>
      <c r="AJ782" s="30"/>
      <c r="AK782" s="30"/>
      <c r="AL782" s="30"/>
      <c r="AM782" s="30"/>
      <c r="AN782" s="30"/>
      <c r="AO782" s="30"/>
      <c r="AP782" s="30"/>
      <c r="AQ782" s="30"/>
      <c r="AR782" s="30"/>
      <c r="AS782" s="30"/>
      <c r="AT782" s="30"/>
      <c r="AU782" s="30"/>
    </row>
    <row r="783" spans="1:9" ht="12">
      <c r="A783" s="53" t="s">
        <v>1286</v>
      </c>
      <c r="B783" s="22"/>
      <c r="D783" s="171" t="s">
        <v>906</v>
      </c>
      <c r="E783" s="151" t="s">
        <v>672</v>
      </c>
      <c r="F783" s="200" t="s">
        <v>38</v>
      </c>
      <c r="G783" s="153"/>
      <c r="H783" s="152">
        <f>SUM(H784:H785)</f>
        <v>0</v>
      </c>
      <c r="I783" s="30"/>
    </row>
    <row r="784" spans="1:11" ht="24">
      <c r="A784" s="53" t="s">
        <v>1287</v>
      </c>
      <c r="B784" s="22" t="s">
        <v>1159</v>
      </c>
      <c r="D784" s="228" t="s">
        <v>1328</v>
      </c>
      <c r="E784" s="156" t="s">
        <v>91</v>
      </c>
      <c r="F784" s="154">
        <f>(9*2)</f>
        <v>18</v>
      </c>
      <c r="G784" s="229"/>
      <c r="H784" s="45">
        <f aca="true" t="shared" si="40" ref="H784:H785">ROUND((F784*G784),2)</f>
        <v>0</v>
      </c>
      <c r="I784" s="230"/>
      <c r="J784" s="30"/>
      <c r="K784" s="231"/>
    </row>
    <row r="785" spans="1:9" ht="12">
      <c r="A785" s="53" t="s">
        <v>1288</v>
      </c>
      <c r="B785" s="22" t="s">
        <v>910</v>
      </c>
      <c r="D785" s="228" t="s">
        <v>1158</v>
      </c>
      <c r="E785" s="156" t="s">
        <v>88</v>
      </c>
      <c r="F785" s="154">
        <v>156</v>
      </c>
      <c r="G785" s="229"/>
      <c r="H785" s="45">
        <f t="shared" si="40"/>
        <v>0</v>
      </c>
      <c r="I785" s="30"/>
    </row>
    <row r="786" spans="1:47" s="193" customFormat="1" ht="12">
      <c r="A786" s="53" t="s">
        <v>1289</v>
      </c>
      <c r="B786" s="22"/>
      <c r="C786" s="22"/>
      <c r="D786" s="167"/>
      <c r="E786" s="151"/>
      <c r="F786" s="34"/>
      <c r="G786" s="153"/>
      <c r="H786" s="152"/>
      <c r="J786" s="159"/>
      <c r="K786" s="30"/>
      <c r="L786" s="30"/>
      <c r="M786" s="30"/>
      <c r="N786" s="30"/>
      <c r="O786" s="30"/>
      <c r="P786" s="30"/>
      <c r="Q786" s="30"/>
      <c r="R786" s="30"/>
      <c r="S786" s="30"/>
      <c r="T786" s="30"/>
      <c r="U786" s="30"/>
      <c r="V786" s="30"/>
      <c r="W786" s="30"/>
      <c r="X786" s="30"/>
      <c r="Y786" s="30"/>
      <c r="Z786" s="30"/>
      <c r="AA786" s="30"/>
      <c r="AB786" s="30"/>
      <c r="AC786" s="30"/>
      <c r="AD786" s="30"/>
      <c r="AE786" s="30"/>
      <c r="AF786" s="30"/>
      <c r="AG786" s="30"/>
      <c r="AH786" s="30"/>
      <c r="AI786" s="30"/>
      <c r="AJ786" s="30"/>
      <c r="AK786" s="30"/>
      <c r="AL786" s="30"/>
      <c r="AM786" s="30"/>
      <c r="AN786" s="30"/>
      <c r="AO786" s="30"/>
      <c r="AP786" s="30"/>
      <c r="AQ786" s="30"/>
      <c r="AR786" s="30"/>
      <c r="AS786" s="30"/>
      <c r="AT786" s="30"/>
      <c r="AU786" s="30"/>
    </row>
    <row r="787" spans="1:47" s="193" customFormat="1" ht="12">
      <c r="A787" s="53" t="s">
        <v>1290</v>
      </c>
      <c r="B787" s="21"/>
      <c r="C787" s="22"/>
      <c r="D787" s="232" t="s">
        <v>911</v>
      </c>
      <c r="E787" s="164" t="s">
        <v>6</v>
      </c>
      <c r="F787" s="200" t="s">
        <v>38</v>
      </c>
      <c r="G787" s="33"/>
      <c r="H787" s="35">
        <f>SUM(H788:H803)</f>
        <v>0</v>
      </c>
      <c r="J787" s="159"/>
      <c r="K787" s="30"/>
      <c r="L787" s="30"/>
      <c r="M787" s="30"/>
      <c r="N787" s="30"/>
      <c r="O787" s="30"/>
      <c r="P787" s="30"/>
      <c r="Q787" s="30"/>
      <c r="R787" s="30"/>
      <c r="S787" s="30"/>
      <c r="T787" s="30"/>
      <c r="U787" s="30"/>
      <c r="V787" s="30"/>
      <c r="W787" s="30"/>
      <c r="X787" s="30"/>
      <c r="Y787" s="30"/>
      <c r="Z787" s="30"/>
      <c r="AA787" s="30"/>
      <c r="AB787" s="30"/>
      <c r="AC787" s="30"/>
      <c r="AD787" s="30"/>
      <c r="AE787" s="30"/>
      <c r="AF787" s="30"/>
      <c r="AG787" s="30"/>
      <c r="AH787" s="30"/>
      <c r="AI787" s="30"/>
      <c r="AJ787" s="30"/>
      <c r="AK787" s="30"/>
      <c r="AL787" s="30"/>
      <c r="AM787" s="30"/>
      <c r="AN787" s="30"/>
      <c r="AO787" s="30"/>
      <c r="AP787" s="30"/>
      <c r="AQ787" s="30"/>
      <c r="AR787" s="30"/>
      <c r="AS787" s="30"/>
      <c r="AT787" s="30"/>
      <c r="AU787" s="30"/>
    </row>
    <row r="788" spans="1:47" s="193" customFormat="1" ht="12">
      <c r="A788" s="53" t="s">
        <v>1291</v>
      </c>
      <c r="B788" s="21">
        <v>32103000</v>
      </c>
      <c r="C788" s="22"/>
      <c r="D788" s="79" t="s">
        <v>952</v>
      </c>
      <c r="E788" s="37" t="s">
        <v>91</v>
      </c>
      <c r="F788" s="154">
        <v>1</v>
      </c>
      <c r="G788" s="181"/>
      <c r="H788" s="45">
        <f aca="true" t="shared" si="41" ref="H788:H803">ROUND((F788*G788),2)</f>
        <v>0</v>
      </c>
      <c r="J788" s="159"/>
      <c r="K788" s="30"/>
      <c r="L788" s="30"/>
      <c r="M788" s="30"/>
      <c r="N788" s="30"/>
      <c r="O788" s="30"/>
      <c r="P788" s="30"/>
      <c r="Q788" s="30"/>
      <c r="R788" s="30"/>
      <c r="S788" s="30"/>
      <c r="T788" s="30"/>
      <c r="U788" s="30"/>
      <c r="V788" s="30"/>
      <c r="W788" s="30"/>
      <c r="X788" s="30"/>
      <c r="Y788" s="30"/>
      <c r="Z788" s="30"/>
      <c r="AA788" s="30"/>
      <c r="AB788" s="30"/>
      <c r="AC788" s="30"/>
      <c r="AD788" s="30"/>
      <c r="AE788" s="30"/>
      <c r="AF788" s="30"/>
      <c r="AG788" s="30"/>
      <c r="AH788" s="30"/>
      <c r="AI788" s="30"/>
      <c r="AJ788" s="30"/>
      <c r="AK788" s="30"/>
      <c r="AL788" s="30"/>
      <c r="AM788" s="30"/>
      <c r="AN788" s="30"/>
      <c r="AO788" s="30"/>
      <c r="AP788" s="30"/>
      <c r="AQ788" s="30"/>
      <c r="AR788" s="30"/>
      <c r="AS788" s="30"/>
      <c r="AT788" s="30"/>
      <c r="AU788" s="30"/>
    </row>
    <row r="789" spans="1:47" s="193" customFormat="1" ht="12">
      <c r="A789" s="53" t="s">
        <v>1292</v>
      </c>
      <c r="B789" s="21"/>
      <c r="C789" s="22"/>
      <c r="D789" s="79" t="s">
        <v>953</v>
      </c>
      <c r="E789" s="24" t="s">
        <v>91</v>
      </c>
      <c r="F789" s="154">
        <v>1</v>
      </c>
      <c r="G789" s="181"/>
      <c r="H789" s="45">
        <f t="shared" si="41"/>
        <v>0</v>
      </c>
      <c r="J789" s="159"/>
      <c r="K789" s="30"/>
      <c r="L789" s="30"/>
      <c r="M789" s="30"/>
      <c r="N789" s="30"/>
      <c r="O789" s="30"/>
      <c r="P789" s="30"/>
      <c r="Q789" s="30"/>
      <c r="R789" s="30"/>
      <c r="S789" s="30"/>
      <c r="T789" s="30"/>
      <c r="U789" s="30"/>
      <c r="V789" s="30"/>
      <c r="W789" s="30"/>
      <c r="X789" s="30"/>
      <c r="Y789" s="30"/>
      <c r="Z789" s="30"/>
      <c r="AA789" s="30"/>
      <c r="AB789" s="30"/>
      <c r="AC789" s="30"/>
      <c r="AD789" s="30"/>
      <c r="AE789" s="30"/>
      <c r="AF789" s="30"/>
      <c r="AG789" s="30"/>
      <c r="AH789" s="30"/>
      <c r="AI789" s="30"/>
      <c r="AJ789" s="30"/>
      <c r="AK789" s="30"/>
      <c r="AL789" s="30"/>
      <c r="AM789" s="30"/>
      <c r="AN789" s="30"/>
      <c r="AO789" s="30"/>
      <c r="AP789" s="30"/>
      <c r="AQ789" s="30"/>
      <c r="AR789" s="30"/>
      <c r="AS789" s="30"/>
      <c r="AT789" s="30"/>
      <c r="AU789" s="30"/>
    </row>
    <row r="790" spans="1:47" s="193" customFormat="1" ht="12">
      <c r="A790" s="53" t="s">
        <v>1293</v>
      </c>
      <c r="B790" s="21"/>
      <c r="C790" s="22"/>
      <c r="D790" s="30"/>
      <c r="E790" s="233"/>
      <c r="F790" s="174"/>
      <c r="G790" s="26"/>
      <c r="H790" s="27"/>
      <c r="J790" s="159"/>
      <c r="K790" s="30"/>
      <c r="L790" s="30"/>
      <c r="M790" s="30"/>
      <c r="N790" s="30"/>
      <c r="O790" s="30"/>
      <c r="P790" s="30"/>
      <c r="Q790" s="30"/>
      <c r="R790" s="30"/>
      <c r="S790" s="30"/>
      <c r="T790" s="30"/>
      <c r="U790" s="30"/>
      <c r="V790" s="30"/>
      <c r="W790" s="30"/>
      <c r="X790" s="30"/>
      <c r="Y790" s="30"/>
      <c r="Z790" s="30"/>
      <c r="AA790" s="30"/>
      <c r="AB790" s="30"/>
      <c r="AC790" s="30"/>
      <c r="AD790" s="30"/>
      <c r="AE790" s="30"/>
      <c r="AF790" s="30"/>
      <c r="AG790" s="30"/>
      <c r="AH790" s="30"/>
      <c r="AI790" s="30"/>
      <c r="AJ790" s="30"/>
      <c r="AK790" s="30"/>
      <c r="AL790" s="30"/>
      <c r="AM790" s="30"/>
      <c r="AN790" s="30"/>
      <c r="AO790" s="30"/>
      <c r="AP790" s="30"/>
      <c r="AQ790" s="30"/>
      <c r="AR790" s="30"/>
      <c r="AS790" s="30"/>
      <c r="AT790" s="30"/>
      <c r="AU790" s="30"/>
    </row>
    <row r="791" spans="1:47" s="193" customFormat="1" ht="12">
      <c r="A791" s="53" t="s">
        <v>1294</v>
      </c>
      <c r="B791" s="21">
        <v>34303000</v>
      </c>
      <c r="C791" s="22"/>
      <c r="D791" s="30" t="s">
        <v>913</v>
      </c>
      <c r="E791" s="37" t="s">
        <v>91</v>
      </c>
      <c r="F791" s="174">
        <v>2</v>
      </c>
      <c r="G791" s="181"/>
      <c r="H791" s="45">
        <f t="shared" si="41"/>
        <v>0</v>
      </c>
      <c r="J791" s="159"/>
      <c r="K791" s="30"/>
      <c r="L791" s="30"/>
      <c r="M791" s="30"/>
      <c r="N791" s="30"/>
      <c r="O791" s="30"/>
      <c r="P791" s="30"/>
      <c r="Q791" s="30"/>
      <c r="R791" s="30"/>
      <c r="S791" s="30"/>
      <c r="T791" s="30"/>
      <c r="U791" s="30"/>
      <c r="V791" s="30"/>
      <c r="W791" s="30"/>
      <c r="X791" s="30"/>
      <c r="Y791" s="30"/>
      <c r="Z791" s="30"/>
      <c r="AA791" s="30"/>
      <c r="AB791" s="30"/>
      <c r="AC791" s="30"/>
      <c r="AD791" s="30"/>
      <c r="AE791" s="30"/>
      <c r="AF791" s="30"/>
      <c r="AG791" s="30"/>
      <c r="AH791" s="30"/>
      <c r="AI791" s="30"/>
      <c r="AJ791" s="30"/>
      <c r="AK791" s="30"/>
      <c r="AL791" s="30"/>
      <c r="AM791" s="30"/>
      <c r="AN791" s="30"/>
      <c r="AO791" s="30"/>
      <c r="AP791" s="30"/>
      <c r="AQ791" s="30"/>
      <c r="AR791" s="30"/>
      <c r="AS791" s="30"/>
      <c r="AT791" s="30"/>
      <c r="AU791" s="30"/>
    </row>
    <row r="792" spans="1:47" s="193" customFormat="1" ht="24">
      <c r="A792" s="53" t="s">
        <v>1295</v>
      </c>
      <c r="B792" s="21">
        <v>34203000</v>
      </c>
      <c r="C792" s="22"/>
      <c r="D792" s="30" t="s">
        <v>950</v>
      </c>
      <c r="E792" s="37" t="s">
        <v>91</v>
      </c>
      <c r="F792" s="174">
        <v>1</v>
      </c>
      <c r="G792" s="181"/>
      <c r="H792" s="45">
        <f t="shared" si="41"/>
        <v>0</v>
      </c>
      <c r="J792" s="159"/>
      <c r="K792" s="30"/>
      <c r="L792" s="30"/>
      <c r="M792" s="30"/>
      <c r="N792" s="30"/>
      <c r="O792" s="30"/>
      <c r="P792" s="30"/>
      <c r="Q792" s="30"/>
      <c r="R792" s="30"/>
      <c r="S792" s="30"/>
      <c r="T792" s="30"/>
      <c r="U792" s="30"/>
      <c r="V792" s="30"/>
      <c r="W792" s="30"/>
      <c r="X792" s="30"/>
      <c r="Y792" s="30"/>
      <c r="Z792" s="30"/>
      <c r="AA792" s="30"/>
      <c r="AB792" s="30"/>
      <c r="AC792" s="30"/>
      <c r="AD792" s="30"/>
      <c r="AE792" s="30"/>
      <c r="AF792" s="30"/>
      <c r="AG792" s="30"/>
      <c r="AH792" s="30"/>
      <c r="AI792" s="30"/>
      <c r="AJ792" s="30"/>
      <c r="AK792" s="30"/>
      <c r="AL792" s="30"/>
      <c r="AM792" s="30"/>
      <c r="AN792" s="30"/>
      <c r="AO792" s="30"/>
      <c r="AP792" s="30"/>
      <c r="AQ792" s="30"/>
      <c r="AR792" s="30"/>
      <c r="AS792" s="30"/>
      <c r="AT792" s="30"/>
      <c r="AU792" s="30"/>
    </row>
    <row r="793" spans="1:47" s="193" customFormat="1" ht="12">
      <c r="A793" s="53" t="s">
        <v>1296</v>
      </c>
      <c r="B793" s="21">
        <v>34503000</v>
      </c>
      <c r="C793" s="22"/>
      <c r="D793" s="30" t="s">
        <v>914</v>
      </c>
      <c r="E793" s="37" t="s">
        <v>91</v>
      </c>
      <c r="F793" s="154">
        <v>2</v>
      </c>
      <c r="G793" s="181"/>
      <c r="H793" s="45">
        <f t="shared" si="41"/>
        <v>0</v>
      </c>
      <c r="J793" s="159"/>
      <c r="K793" s="30"/>
      <c r="L793" s="30"/>
      <c r="M793" s="30"/>
      <c r="N793" s="30"/>
      <c r="O793" s="30"/>
      <c r="P793" s="30"/>
      <c r="Q793" s="30"/>
      <c r="R793" s="30"/>
      <c r="S793" s="30"/>
      <c r="T793" s="30"/>
      <c r="U793" s="30"/>
      <c r="V793" s="30"/>
      <c r="W793" s="30"/>
      <c r="X793" s="30"/>
      <c r="Y793" s="30"/>
      <c r="Z793" s="30"/>
      <c r="AA793" s="30"/>
      <c r="AB793" s="30"/>
      <c r="AC793" s="30"/>
      <c r="AD793" s="30"/>
      <c r="AE793" s="30"/>
      <c r="AF793" s="30"/>
      <c r="AG793" s="30"/>
      <c r="AH793" s="30"/>
      <c r="AI793" s="30"/>
      <c r="AJ793" s="30"/>
      <c r="AK793" s="30"/>
      <c r="AL793" s="30"/>
      <c r="AM793" s="30"/>
      <c r="AN793" s="30"/>
      <c r="AO793" s="30"/>
      <c r="AP793" s="30"/>
      <c r="AQ793" s="30"/>
      <c r="AR793" s="30"/>
      <c r="AS793" s="30"/>
      <c r="AT793" s="30"/>
      <c r="AU793" s="30"/>
    </row>
    <row r="794" spans="1:47" s="193" customFormat="1" ht="12">
      <c r="A794" s="53" t="s">
        <v>1297</v>
      </c>
      <c r="B794" s="21">
        <v>39203000</v>
      </c>
      <c r="C794" s="22"/>
      <c r="D794" s="79" t="s">
        <v>951</v>
      </c>
      <c r="E794" s="233" t="s">
        <v>912</v>
      </c>
      <c r="F794" s="154">
        <v>1</v>
      </c>
      <c r="G794" s="181"/>
      <c r="H794" s="45">
        <f t="shared" si="41"/>
        <v>0</v>
      </c>
      <c r="J794" s="159"/>
      <c r="K794" s="30"/>
      <c r="L794" s="30"/>
      <c r="M794" s="30"/>
      <c r="N794" s="30"/>
      <c r="O794" s="30"/>
      <c r="P794" s="30"/>
      <c r="Q794" s="30"/>
      <c r="R794" s="30"/>
      <c r="S794" s="30"/>
      <c r="T794" s="30"/>
      <c r="U794" s="30"/>
      <c r="V794" s="30"/>
      <c r="W794" s="30"/>
      <c r="X794" s="30"/>
      <c r="Y794" s="30"/>
      <c r="Z794" s="30"/>
      <c r="AA794" s="30"/>
      <c r="AB794" s="30"/>
      <c r="AC794" s="30"/>
      <c r="AD794" s="30"/>
      <c r="AE794" s="30"/>
      <c r="AF794" s="30"/>
      <c r="AG794" s="30"/>
      <c r="AH794" s="30"/>
      <c r="AI794" s="30"/>
      <c r="AJ794" s="30"/>
      <c r="AK794" s="30"/>
      <c r="AL794" s="30"/>
      <c r="AM794" s="30"/>
      <c r="AN794" s="30"/>
      <c r="AO794" s="30"/>
      <c r="AP794" s="30"/>
      <c r="AQ794" s="30"/>
      <c r="AR794" s="30"/>
      <c r="AS794" s="30"/>
      <c r="AT794" s="30"/>
      <c r="AU794" s="30"/>
    </row>
    <row r="795" spans="1:47" s="193" customFormat="1" ht="12">
      <c r="A795" s="53" t="s">
        <v>1298</v>
      </c>
      <c r="B795" s="21"/>
      <c r="C795" s="22"/>
      <c r="D795" s="36" t="s">
        <v>1354</v>
      </c>
      <c r="E795" s="233"/>
      <c r="F795" s="174"/>
      <c r="G795" s="26"/>
      <c r="H795" s="27"/>
      <c r="J795" s="159"/>
      <c r="K795" s="30"/>
      <c r="L795" s="30"/>
      <c r="M795" s="30"/>
      <c r="N795" s="30"/>
      <c r="O795" s="30"/>
      <c r="P795" s="30"/>
      <c r="Q795" s="30"/>
      <c r="R795" s="30"/>
      <c r="S795" s="30"/>
      <c r="T795" s="30"/>
      <c r="U795" s="30"/>
      <c r="V795" s="30"/>
      <c r="W795" s="30"/>
      <c r="X795" s="30"/>
      <c r="Y795" s="30"/>
      <c r="Z795" s="30"/>
      <c r="AA795" s="30"/>
      <c r="AB795" s="30"/>
      <c r="AC795" s="30"/>
      <c r="AD795" s="30"/>
      <c r="AE795" s="30"/>
      <c r="AF795" s="30"/>
      <c r="AG795" s="30"/>
      <c r="AH795" s="30"/>
      <c r="AI795" s="30"/>
      <c r="AJ795" s="30"/>
      <c r="AK795" s="30"/>
      <c r="AL795" s="30"/>
      <c r="AM795" s="30"/>
      <c r="AN795" s="30"/>
      <c r="AO795" s="30"/>
      <c r="AP795" s="30"/>
      <c r="AQ795" s="30"/>
      <c r="AR795" s="30"/>
      <c r="AS795" s="30"/>
      <c r="AT795" s="30"/>
      <c r="AU795" s="30"/>
    </row>
    <row r="796" spans="1:47" s="193" customFormat="1" ht="12">
      <c r="A796" s="53" t="s">
        <v>1299</v>
      </c>
      <c r="B796" s="22" t="s">
        <v>1350</v>
      </c>
      <c r="C796" s="22"/>
      <c r="D796" s="30" t="s">
        <v>954</v>
      </c>
      <c r="E796" s="233" t="s">
        <v>912</v>
      </c>
      <c r="F796" s="174">
        <v>1</v>
      </c>
      <c r="G796" s="181"/>
      <c r="H796" s="45">
        <f t="shared" si="41"/>
        <v>0</v>
      </c>
      <c r="J796" s="159"/>
      <c r="K796" s="30"/>
      <c r="L796" s="30"/>
      <c r="M796" s="30"/>
      <c r="N796" s="30"/>
      <c r="O796" s="30"/>
      <c r="P796" s="30"/>
      <c r="Q796" s="30"/>
      <c r="R796" s="30"/>
      <c r="S796" s="30"/>
      <c r="T796" s="30"/>
      <c r="U796" s="30"/>
      <c r="V796" s="30"/>
      <c r="W796" s="30"/>
      <c r="X796" s="30"/>
      <c r="Y796" s="30"/>
      <c r="Z796" s="30"/>
      <c r="AA796" s="30"/>
      <c r="AB796" s="30"/>
      <c r="AC796" s="30"/>
      <c r="AD796" s="30"/>
      <c r="AE796" s="30"/>
      <c r="AF796" s="30"/>
      <c r="AG796" s="30"/>
      <c r="AH796" s="30"/>
      <c r="AI796" s="30"/>
      <c r="AJ796" s="30"/>
      <c r="AK796" s="30"/>
      <c r="AL796" s="30"/>
      <c r="AM796" s="30"/>
      <c r="AN796" s="30"/>
      <c r="AO796" s="30"/>
      <c r="AP796" s="30"/>
      <c r="AQ796" s="30"/>
      <c r="AR796" s="30"/>
      <c r="AS796" s="30"/>
      <c r="AT796" s="30"/>
      <c r="AU796" s="30"/>
    </row>
    <row r="797" spans="1:47" s="193" customFormat="1" ht="12">
      <c r="A797" s="53" t="s">
        <v>1300</v>
      </c>
      <c r="B797" s="21">
        <v>13254000</v>
      </c>
      <c r="C797" s="22"/>
      <c r="D797" s="30" t="s">
        <v>1152</v>
      </c>
      <c r="E797" s="233" t="s">
        <v>912</v>
      </c>
      <c r="F797" s="174">
        <v>1</v>
      </c>
      <c r="G797" s="181"/>
      <c r="H797" s="45">
        <f t="shared" si="41"/>
        <v>0</v>
      </c>
      <c r="J797" s="159"/>
      <c r="K797" s="30"/>
      <c r="L797" s="30"/>
      <c r="M797" s="30"/>
      <c r="N797" s="30"/>
      <c r="O797" s="30"/>
      <c r="P797" s="30"/>
      <c r="Q797" s="30"/>
      <c r="R797" s="30"/>
      <c r="S797" s="30"/>
      <c r="T797" s="30"/>
      <c r="U797" s="30"/>
      <c r="V797" s="30"/>
      <c r="W797" s="30"/>
      <c r="X797" s="30"/>
      <c r="Y797" s="30"/>
      <c r="Z797" s="30"/>
      <c r="AA797" s="30"/>
      <c r="AB797" s="30"/>
      <c r="AC797" s="30"/>
      <c r="AD797" s="30"/>
      <c r="AE797" s="30"/>
      <c r="AF797" s="30"/>
      <c r="AG797" s="30"/>
      <c r="AH797" s="30"/>
      <c r="AI797" s="30"/>
      <c r="AJ797" s="30"/>
      <c r="AK797" s="30"/>
      <c r="AL797" s="30"/>
      <c r="AM797" s="30"/>
      <c r="AN797" s="30"/>
      <c r="AO797" s="30"/>
      <c r="AP797" s="30"/>
      <c r="AQ797" s="30"/>
      <c r="AR797" s="30"/>
      <c r="AS797" s="30"/>
      <c r="AT797" s="30"/>
      <c r="AU797" s="30"/>
    </row>
    <row r="798" spans="1:47" s="193" customFormat="1" ht="12">
      <c r="A798" s="53" t="s">
        <v>1301</v>
      </c>
      <c r="B798" s="22" t="s">
        <v>1349</v>
      </c>
      <c r="C798" s="22"/>
      <c r="D798" s="30" t="s">
        <v>1155</v>
      </c>
      <c r="E798" s="233" t="s">
        <v>912</v>
      </c>
      <c r="F798" s="174">
        <v>1</v>
      </c>
      <c r="G798" s="181"/>
      <c r="H798" s="45">
        <f t="shared" si="41"/>
        <v>0</v>
      </c>
      <c r="J798" s="159"/>
      <c r="K798" s="30"/>
      <c r="L798" s="30"/>
      <c r="M798" s="30"/>
      <c r="N798" s="30"/>
      <c r="O798" s="30"/>
      <c r="P798" s="30"/>
      <c r="Q798" s="30"/>
      <c r="R798" s="30"/>
      <c r="S798" s="30"/>
      <c r="T798" s="30"/>
      <c r="U798" s="30"/>
      <c r="V798" s="30"/>
      <c r="W798" s="30"/>
      <c r="X798" s="30"/>
      <c r="Y798" s="30"/>
      <c r="Z798" s="30"/>
      <c r="AA798" s="30"/>
      <c r="AB798" s="30"/>
      <c r="AC798" s="30"/>
      <c r="AD798" s="30"/>
      <c r="AE798" s="30"/>
      <c r="AF798" s="30"/>
      <c r="AG798" s="30"/>
      <c r="AH798" s="30"/>
      <c r="AI798" s="30"/>
      <c r="AJ798" s="30"/>
      <c r="AK798" s="30"/>
      <c r="AL798" s="30"/>
      <c r="AM798" s="30"/>
      <c r="AN798" s="30"/>
      <c r="AO798" s="30"/>
      <c r="AP798" s="30"/>
      <c r="AQ798" s="30"/>
      <c r="AR798" s="30"/>
      <c r="AS798" s="30"/>
      <c r="AT798" s="30"/>
      <c r="AU798" s="30"/>
    </row>
    <row r="799" spans="1:47" s="193" customFormat="1" ht="12">
      <c r="A799" s="53" t="s">
        <v>1302</v>
      </c>
      <c r="B799" s="22" t="s">
        <v>1351</v>
      </c>
      <c r="C799" s="22"/>
      <c r="D799" s="30" t="s">
        <v>955</v>
      </c>
      <c r="E799" s="233" t="s">
        <v>912</v>
      </c>
      <c r="F799" s="154">
        <v>1</v>
      </c>
      <c r="G799" s="181"/>
      <c r="H799" s="45">
        <f t="shared" si="41"/>
        <v>0</v>
      </c>
      <c r="J799" s="159"/>
      <c r="K799" s="30"/>
      <c r="L799" s="30"/>
      <c r="M799" s="30"/>
      <c r="N799" s="30"/>
      <c r="O799" s="30"/>
      <c r="P799" s="30"/>
      <c r="Q799" s="30"/>
      <c r="R799" s="30"/>
      <c r="S799" s="30"/>
      <c r="T799" s="30"/>
      <c r="U799" s="30"/>
      <c r="V799" s="30"/>
      <c r="W799" s="30"/>
      <c r="X799" s="30"/>
      <c r="Y799" s="30"/>
      <c r="Z799" s="30"/>
      <c r="AA799" s="30"/>
      <c r="AB799" s="30"/>
      <c r="AC799" s="30"/>
      <c r="AD799" s="30"/>
      <c r="AE799" s="30"/>
      <c r="AF799" s="30"/>
      <c r="AG799" s="30"/>
      <c r="AH799" s="30"/>
      <c r="AI799" s="30"/>
      <c r="AJ799" s="30"/>
      <c r="AK799" s="30"/>
      <c r="AL799" s="30"/>
      <c r="AM799" s="30"/>
      <c r="AN799" s="30"/>
      <c r="AO799" s="30"/>
      <c r="AP799" s="30"/>
      <c r="AQ799" s="30"/>
      <c r="AR799" s="30"/>
      <c r="AS799" s="30"/>
      <c r="AT799" s="30"/>
      <c r="AU799" s="30"/>
    </row>
    <row r="800" spans="1:43" ht="60.6">
      <c r="A800" s="53" t="s">
        <v>1303</v>
      </c>
      <c r="B800" s="39">
        <v>91003000</v>
      </c>
      <c r="C800" s="40"/>
      <c r="D800" s="155" t="s">
        <v>1359</v>
      </c>
      <c r="E800" s="42" t="s">
        <v>912</v>
      </c>
      <c r="F800" s="43">
        <v>1</v>
      </c>
      <c r="G800" s="85"/>
      <c r="H800" s="45">
        <f t="shared" si="41"/>
        <v>0</v>
      </c>
      <c r="AQ800" s="31"/>
    </row>
    <row r="801" spans="1:43" ht="63.6" customHeight="1">
      <c r="A801" s="53" t="s">
        <v>1304</v>
      </c>
      <c r="B801" s="39">
        <v>91003000</v>
      </c>
      <c r="C801" s="40"/>
      <c r="D801" s="83" t="s">
        <v>1352</v>
      </c>
      <c r="E801" s="42" t="s">
        <v>912</v>
      </c>
      <c r="F801" s="43">
        <v>1</v>
      </c>
      <c r="G801" s="85"/>
      <c r="H801" s="45">
        <f t="shared" si="41"/>
        <v>0</v>
      </c>
      <c r="AQ801" s="31"/>
    </row>
    <row r="802" spans="1:43" ht="31.95" customHeight="1">
      <c r="A802" s="53" t="s">
        <v>1305</v>
      </c>
      <c r="B802" s="39">
        <v>997013501</v>
      </c>
      <c r="C802" s="40"/>
      <c r="D802" s="107" t="s">
        <v>1358</v>
      </c>
      <c r="E802" s="42" t="s">
        <v>117</v>
      </c>
      <c r="F802" s="43">
        <v>3.02</v>
      </c>
      <c r="G802" s="85"/>
      <c r="H802" s="45">
        <f t="shared" si="41"/>
        <v>0</v>
      </c>
      <c r="AQ802" s="31"/>
    </row>
    <row r="803" spans="1:43" ht="42.6" customHeight="1">
      <c r="A803" s="53" t="s">
        <v>1306</v>
      </c>
      <c r="B803" s="39">
        <v>997013509</v>
      </c>
      <c r="C803" s="40"/>
      <c r="D803" s="83" t="s">
        <v>1360</v>
      </c>
      <c r="E803" s="42" t="s">
        <v>117</v>
      </c>
      <c r="F803" s="43">
        <f>(3.02*20)</f>
        <v>60.4</v>
      </c>
      <c r="G803" s="85"/>
      <c r="H803" s="45">
        <f t="shared" si="41"/>
        <v>0</v>
      </c>
      <c r="AQ803" s="31"/>
    </row>
    <row r="804" spans="1:43" ht="13.95" customHeight="1">
      <c r="A804" s="53"/>
      <c r="B804" s="39"/>
      <c r="C804" s="40"/>
      <c r="D804" s="128"/>
      <c r="E804" s="80"/>
      <c r="F804" s="43"/>
      <c r="G804" s="85"/>
      <c r="H804" s="45"/>
      <c r="AQ804" s="31"/>
    </row>
    <row r="805" spans="1:43" ht="13.95" customHeight="1">
      <c r="A805" s="53"/>
      <c r="B805" s="39"/>
      <c r="C805" s="40"/>
      <c r="D805" s="128"/>
      <c r="E805" s="80"/>
      <c r="F805" s="43"/>
      <c r="G805" s="85"/>
      <c r="H805" s="45"/>
      <c r="AQ805" s="31"/>
    </row>
    <row r="806" spans="1:43" ht="13.95" customHeight="1">
      <c r="A806" s="53"/>
      <c r="B806" s="39"/>
      <c r="C806" s="40"/>
      <c r="D806" s="128"/>
      <c r="E806" s="80"/>
      <c r="F806" s="43"/>
      <c r="G806" s="85"/>
      <c r="H806" s="45"/>
      <c r="AQ806" s="31"/>
    </row>
    <row r="807" spans="1:43" ht="15">
      <c r="A807" s="53"/>
      <c r="B807" s="39"/>
      <c r="C807" s="40"/>
      <c r="D807" s="128"/>
      <c r="E807" s="80"/>
      <c r="F807" s="43"/>
      <c r="G807" s="85"/>
      <c r="H807" s="45"/>
      <c r="AQ807" s="31"/>
    </row>
    <row r="808" spans="1:43" ht="15">
      <c r="A808" s="53"/>
      <c r="B808" s="39"/>
      <c r="C808" s="40"/>
      <c r="D808" s="128"/>
      <c r="E808" s="80"/>
      <c r="F808" s="81"/>
      <c r="G808" s="234"/>
      <c r="H808" s="84"/>
      <c r="AQ808" s="31"/>
    </row>
    <row r="809" spans="1:43" ht="15">
      <c r="A809" s="53"/>
      <c r="B809" s="39"/>
      <c r="C809" s="40"/>
      <c r="D809" s="128"/>
      <c r="E809" s="80"/>
      <c r="F809" s="81"/>
      <c r="G809" s="234"/>
      <c r="H809" s="84"/>
      <c r="AQ809" s="31"/>
    </row>
    <row r="810" spans="1:43" ht="15">
      <c r="A810" s="53"/>
      <c r="B810" s="39"/>
      <c r="C810" s="40"/>
      <c r="D810" s="128"/>
      <c r="E810" s="80"/>
      <c r="F810" s="81"/>
      <c r="G810" s="234"/>
      <c r="H810" s="84"/>
      <c r="AQ810" s="31"/>
    </row>
    <row r="811" spans="1:43" ht="15">
      <c r="A811" s="53"/>
      <c r="B811" s="39"/>
      <c r="C811" s="40"/>
      <c r="D811" s="128"/>
      <c r="E811" s="80"/>
      <c r="F811" s="81"/>
      <c r="G811" s="234"/>
      <c r="H811" s="84"/>
      <c r="AQ811" s="31"/>
    </row>
    <row r="812" spans="1:43" ht="15">
      <c r="A812" s="53"/>
      <c r="B812" s="39"/>
      <c r="C812" s="40"/>
      <c r="D812" s="128"/>
      <c r="E812" s="80"/>
      <c r="F812" s="81"/>
      <c r="G812" s="234"/>
      <c r="H812" s="84"/>
      <c r="AQ812" s="31"/>
    </row>
    <row r="813" spans="1:43" ht="15">
      <c r="A813" s="53"/>
      <c r="B813" s="39"/>
      <c r="C813" s="40"/>
      <c r="D813" s="128"/>
      <c r="E813" s="80"/>
      <c r="F813" s="81"/>
      <c r="G813" s="234"/>
      <c r="H813" s="84"/>
      <c r="AQ813" s="31"/>
    </row>
    <row r="814" spans="1:43" ht="15">
      <c r="A814" s="53"/>
      <c r="B814" s="39"/>
      <c r="C814" s="40"/>
      <c r="D814" s="128"/>
      <c r="E814" s="80"/>
      <c r="F814" s="81"/>
      <c r="G814" s="234"/>
      <c r="H814" s="84"/>
      <c r="AQ814" s="31"/>
    </row>
    <row r="815" spans="1:43" ht="15">
      <c r="A815" s="53"/>
      <c r="B815" s="39"/>
      <c r="C815" s="40"/>
      <c r="D815" s="128"/>
      <c r="E815" s="80"/>
      <c r="F815" s="81"/>
      <c r="G815" s="234"/>
      <c r="H815" s="84"/>
      <c r="AQ815" s="31"/>
    </row>
    <row r="816" spans="1:43" ht="15">
      <c r="A816" s="53"/>
      <c r="B816" s="39"/>
      <c r="C816" s="40"/>
      <c r="D816" s="128"/>
      <c r="E816" s="80"/>
      <c r="F816" s="81"/>
      <c r="G816" s="234"/>
      <c r="H816" s="84"/>
      <c r="AQ816" s="31"/>
    </row>
    <row r="817" spans="1:43" ht="15">
      <c r="A817" s="53"/>
      <c r="B817" s="39"/>
      <c r="C817" s="40"/>
      <c r="D817" s="128"/>
      <c r="E817" s="80"/>
      <c r="F817" s="81"/>
      <c r="G817" s="234"/>
      <c r="H817" s="84"/>
      <c r="AQ817" s="31"/>
    </row>
    <row r="818" spans="1:43" ht="15">
      <c r="A818" s="53"/>
      <c r="B818" s="39"/>
      <c r="C818" s="40"/>
      <c r="D818" s="128"/>
      <c r="E818" s="80"/>
      <c r="F818" s="81"/>
      <c r="G818" s="234"/>
      <c r="H818" s="84"/>
      <c r="AQ818" s="31"/>
    </row>
    <row r="819" spans="1:43" ht="15">
      <c r="A819" s="53"/>
      <c r="B819" s="39"/>
      <c r="C819" s="40"/>
      <c r="D819" s="128"/>
      <c r="E819" s="80"/>
      <c r="F819" s="81"/>
      <c r="G819" s="234"/>
      <c r="H819" s="84"/>
      <c r="AQ819" s="31"/>
    </row>
    <row r="820" spans="1:43" ht="15">
      <c r="A820" s="53"/>
      <c r="B820" s="39"/>
      <c r="C820" s="40"/>
      <c r="D820" s="128"/>
      <c r="E820" s="80"/>
      <c r="F820" s="81"/>
      <c r="G820" s="234"/>
      <c r="H820" s="84"/>
      <c r="AQ820" s="31"/>
    </row>
    <row r="821" spans="1:43" ht="15">
      <c r="A821" s="53"/>
      <c r="B821" s="39"/>
      <c r="C821" s="40"/>
      <c r="D821" s="128"/>
      <c r="E821" s="80"/>
      <c r="F821" s="81"/>
      <c r="G821" s="234"/>
      <c r="H821" s="84"/>
      <c r="AQ821" s="31"/>
    </row>
    <row r="822" spans="1:43" ht="15">
      <c r="A822" s="53"/>
      <c r="B822" s="39"/>
      <c r="C822" s="40"/>
      <c r="D822" s="128"/>
      <c r="E822" s="80"/>
      <c r="F822" s="81"/>
      <c r="G822" s="234"/>
      <c r="H822" s="84"/>
      <c r="AQ822" s="31"/>
    </row>
    <row r="823" spans="1:43" ht="15">
      <c r="A823" s="53"/>
      <c r="B823" s="39"/>
      <c r="C823" s="40"/>
      <c r="D823" s="128"/>
      <c r="E823" s="80"/>
      <c r="F823" s="81"/>
      <c r="G823" s="234"/>
      <c r="H823" s="84"/>
      <c r="AQ823" s="31"/>
    </row>
    <row r="824" spans="1:43" ht="15">
      <c r="A824" s="53"/>
      <c r="B824" s="39"/>
      <c r="C824" s="40"/>
      <c r="D824" s="128"/>
      <c r="E824" s="80"/>
      <c r="F824" s="81"/>
      <c r="G824" s="234"/>
      <c r="H824" s="84"/>
      <c r="AQ824" s="31"/>
    </row>
    <row r="825" spans="1:43" ht="15">
      <c r="A825" s="53"/>
      <c r="B825" s="39"/>
      <c r="C825" s="40"/>
      <c r="D825" s="128"/>
      <c r="E825" s="80"/>
      <c r="F825" s="81"/>
      <c r="G825" s="234"/>
      <c r="H825" s="84"/>
      <c r="AQ825" s="31"/>
    </row>
    <row r="826" spans="1:43" ht="15">
      <c r="A826" s="53"/>
      <c r="B826" s="39"/>
      <c r="C826" s="40"/>
      <c r="D826" s="128"/>
      <c r="E826" s="80"/>
      <c r="F826" s="81"/>
      <c r="G826" s="234"/>
      <c r="H826" s="84"/>
      <c r="AQ826" s="31"/>
    </row>
    <row r="827" spans="1:45" s="193" customFormat="1" ht="13.95" customHeight="1">
      <c r="A827" s="235"/>
      <c r="B827" s="155"/>
      <c r="C827" s="32"/>
      <c r="D827" s="236"/>
      <c r="E827" s="151"/>
      <c r="F827" s="174"/>
      <c r="G827" s="181"/>
      <c r="H827" s="65"/>
      <c r="J827" s="198"/>
      <c r="K827" s="30"/>
      <c r="L827" s="30"/>
      <c r="M827" s="30"/>
      <c r="N827" s="30"/>
      <c r="O827" s="30"/>
      <c r="P827" s="30"/>
      <c r="Q827" s="30"/>
      <c r="R827" s="30"/>
      <c r="S827" s="30"/>
      <c r="T827" s="30"/>
      <c r="U827" s="30"/>
      <c r="V827" s="30"/>
      <c r="W827" s="30"/>
      <c r="X827" s="30"/>
      <c r="Y827" s="30"/>
      <c r="Z827" s="30"/>
      <c r="AA827" s="30"/>
      <c r="AB827" s="30"/>
      <c r="AC827" s="30"/>
      <c r="AD827" s="30"/>
      <c r="AE827" s="30"/>
      <c r="AF827" s="30"/>
      <c r="AG827" s="30"/>
      <c r="AH827" s="30"/>
      <c r="AI827" s="30"/>
      <c r="AJ827" s="30"/>
      <c r="AK827" s="30"/>
      <c r="AL827" s="30"/>
      <c r="AM827" s="30"/>
      <c r="AN827" s="30"/>
      <c r="AO827" s="30"/>
      <c r="AP827" s="30"/>
      <c r="AQ827" s="30"/>
      <c r="AR827" s="30"/>
      <c r="AS827" s="30"/>
    </row>
    <row r="828" spans="1:45" s="193" customFormat="1" ht="13.95" customHeight="1">
      <c r="A828" s="235"/>
      <c r="B828" s="155"/>
      <c r="C828" s="172"/>
      <c r="D828" s="237"/>
      <c r="E828" s="238"/>
      <c r="F828" s="239"/>
      <c r="G828" s="240"/>
      <c r="H828" s="65"/>
      <c r="J828" s="198"/>
      <c r="K828" s="30"/>
      <c r="L828" s="30"/>
      <c r="M828" s="30"/>
      <c r="N828" s="30"/>
      <c r="O828" s="30"/>
      <c r="P828" s="30"/>
      <c r="Q828" s="30"/>
      <c r="R828" s="30"/>
      <c r="S828" s="30"/>
      <c r="T828" s="30"/>
      <c r="U828" s="30"/>
      <c r="V828" s="30"/>
      <c r="W828" s="30"/>
      <c r="X828" s="30"/>
      <c r="Y828" s="30"/>
      <c r="Z828" s="30"/>
      <c r="AA828" s="30"/>
      <c r="AB828" s="30"/>
      <c r="AC828" s="30"/>
      <c r="AD828" s="30"/>
      <c r="AE828" s="30"/>
      <c r="AF828" s="30"/>
      <c r="AG828" s="30"/>
      <c r="AH828" s="30"/>
      <c r="AI828" s="30"/>
      <c r="AJ828" s="30"/>
      <c r="AK828" s="30"/>
      <c r="AL828" s="30"/>
      <c r="AM828" s="30"/>
      <c r="AN828" s="30"/>
      <c r="AO828" s="30"/>
      <c r="AP828" s="30"/>
      <c r="AQ828" s="30"/>
      <c r="AR828" s="30"/>
      <c r="AS828" s="30"/>
    </row>
    <row r="829" spans="1:45" s="193" customFormat="1" ht="13.95" customHeight="1">
      <c r="A829" s="235"/>
      <c r="B829" s="155"/>
      <c r="C829" s="79"/>
      <c r="D829" s="241"/>
      <c r="E829" s="157"/>
      <c r="F829" s="242"/>
      <c r="G829" s="181"/>
      <c r="H829" s="65"/>
      <c r="J829" s="198"/>
      <c r="K829" s="30"/>
      <c r="L829" s="30"/>
      <c r="M829" s="30"/>
      <c r="N829" s="30"/>
      <c r="O829" s="30"/>
      <c r="P829" s="30"/>
      <c r="Q829" s="30"/>
      <c r="R829" s="30"/>
      <c r="S829" s="30"/>
      <c r="T829" s="30"/>
      <c r="U829" s="30"/>
      <c r="V829" s="30"/>
      <c r="W829" s="30"/>
      <c r="X829" s="30"/>
      <c r="Y829" s="30"/>
      <c r="Z829" s="30"/>
      <c r="AA829" s="30"/>
      <c r="AB829" s="30"/>
      <c r="AC829" s="30"/>
      <c r="AD829" s="30"/>
      <c r="AE829" s="30"/>
      <c r="AF829" s="30"/>
      <c r="AG829" s="30"/>
      <c r="AH829" s="30"/>
      <c r="AI829" s="30"/>
      <c r="AJ829" s="30"/>
      <c r="AK829" s="30"/>
      <c r="AL829" s="30"/>
      <c r="AM829" s="30"/>
      <c r="AN829" s="30"/>
      <c r="AO829" s="30"/>
      <c r="AP829" s="30"/>
      <c r="AQ829" s="30"/>
      <c r="AR829" s="30"/>
      <c r="AS829" s="30"/>
    </row>
    <row r="830" spans="1:45" s="193" customFormat="1" ht="13.95" customHeight="1">
      <c r="A830" s="235"/>
      <c r="B830" s="155"/>
      <c r="C830" s="171"/>
      <c r="D830" s="241"/>
      <c r="E830" s="151"/>
      <c r="F830" s="25"/>
      <c r="G830" s="181"/>
      <c r="H830" s="65"/>
      <c r="J830" s="198"/>
      <c r="K830" s="30"/>
      <c r="L830" s="30"/>
      <c r="M830" s="30"/>
      <c r="N830" s="30"/>
      <c r="O830" s="30"/>
      <c r="P830" s="30"/>
      <c r="Q830" s="30"/>
      <c r="R830" s="30"/>
      <c r="S830" s="30"/>
      <c r="T830" s="30"/>
      <c r="U830" s="30"/>
      <c r="V830" s="30"/>
      <c r="W830" s="30"/>
      <c r="X830" s="30"/>
      <c r="Y830" s="30"/>
      <c r="Z830" s="30"/>
      <c r="AA830" s="30"/>
      <c r="AB830" s="30"/>
      <c r="AC830" s="30"/>
      <c r="AD830" s="30"/>
      <c r="AE830" s="30"/>
      <c r="AF830" s="30"/>
      <c r="AG830" s="30"/>
      <c r="AH830" s="30"/>
      <c r="AI830" s="30"/>
      <c r="AJ830" s="30"/>
      <c r="AK830" s="30"/>
      <c r="AL830" s="30"/>
      <c r="AM830" s="30"/>
      <c r="AN830" s="30"/>
      <c r="AO830" s="30"/>
      <c r="AP830" s="30"/>
      <c r="AQ830" s="30"/>
      <c r="AR830" s="30"/>
      <c r="AS830" s="30"/>
    </row>
    <row r="831" spans="1:45" s="193" customFormat="1" ht="13.95" customHeight="1">
      <c r="A831" s="235"/>
      <c r="B831" s="155"/>
      <c r="C831" s="30"/>
      <c r="D831" s="237"/>
      <c r="E831" s="243"/>
      <c r="F831" s="239"/>
      <c r="G831" s="240"/>
      <c r="H831" s="65"/>
      <c r="J831" s="198"/>
      <c r="K831" s="30"/>
      <c r="L831" s="30"/>
      <c r="M831" s="30"/>
      <c r="N831" s="30"/>
      <c r="O831" s="30"/>
      <c r="P831" s="30"/>
      <c r="Q831" s="30"/>
      <c r="R831" s="30"/>
      <c r="S831" s="30"/>
      <c r="T831" s="30"/>
      <c r="U831" s="30"/>
      <c r="V831" s="30"/>
      <c r="W831" s="30"/>
      <c r="X831" s="30"/>
      <c r="Y831" s="30"/>
      <c r="Z831" s="30"/>
      <c r="AA831" s="30"/>
      <c r="AB831" s="30"/>
      <c r="AC831" s="30"/>
      <c r="AD831" s="30"/>
      <c r="AE831" s="30"/>
      <c r="AF831" s="30"/>
      <c r="AG831" s="30"/>
      <c r="AH831" s="30"/>
      <c r="AI831" s="30"/>
      <c r="AJ831" s="30"/>
      <c r="AK831" s="30"/>
      <c r="AL831" s="30"/>
      <c r="AM831" s="30"/>
      <c r="AN831" s="30"/>
      <c r="AO831" s="30"/>
      <c r="AP831" s="30"/>
      <c r="AQ831" s="30"/>
      <c r="AR831" s="30"/>
      <c r="AS831" s="30"/>
    </row>
    <row r="832" spans="1:43" ht="15">
      <c r="A832" s="53"/>
      <c r="B832" s="39"/>
      <c r="C832" s="40"/>
      <c r="D832" s="128"/>
      <c r="E832" s="80"/>
      <c r="F832" s="81"/>
      <c r="G832" s="234"/>
      <c r="H832" s="84"/>
      <c r="AQ832" s="31"/>
    </row>
    <row r="833" spans="1:43" ht="15">
      <c r="A833" s="53"/>
      <c r="B833" s="39"/>
      <c r="C833" s="40"/>
      <c r="D833" s="128"/>
      <c r="E833" s="80"/>
      <c r="F833" s="81"/>
      <c r="G833" s="234"/>
      <c r="H833" s="84"/>
      <c r="AQ833" s="31"/>
    </row>
    <row r="834" spans="1:43" ht="15">
      <c r="A834" s="53"/>
      <c r="B834" s="39"/>
      <c r="C834" s="40"/>
      <c r="D834" s="128"/>
      <c r="E834" s="80"/>
      <c r="F834" s="81"/>
      <c r="G834" s="234"/>
      <c r="H834" s="84"/>
      <c r="AQ834" s="31"/>
    </row>
    <row r="835" spans="1:43" ht="15">
      <c r="A835" s="53"/>
      <c r="B835" s="39"/>
      <c r="C835" s="40"/>
      <c r="D835" s="128"/>
      <c r="E835" s="80"/>
      <c r="F835" s="81"/>
      <c r="G835" s="234"/>
      <c r="H835" s="84"/>
      <c r="AQ835" s="31"/>
    </row>
    <row r="836" spans="1:43" ht="15">
      <c r="A836" s="53"/>
      <c r="B836" s="39"/>
      <c r="C836" s="40"/>
      <c r="D836" s="128"/>
      <c r="E836" s="80"/>
      <c r="F836" s="81"/>
      <c r="G836" s="234"/>
      <c r="H836" s="84"/>
      <c r="AQ836" s="31"/>
    </row>
    <row r="837" spans="1:43" ht="15">
      <c r="A837" s="53"/>
      <c r="B837" s="39"/>
      <c r="C837" s="40"/>
      <c r="D837" s="128"/>
      <c r="E837" s="80"/>
      <c r="F837" s="81"/>
      <c r="G837" s="234"/>
      <c r="H837" s="84"/>
      <c r="AQ837" s="31"/>
    </row>
    <row r="838" spans="1:43" ht="15">
      <c r="A838" s="53"/>
      <c r="B838" s="39"/>
      <c r="C838" s="40"/>
      <c r="D838" s="128"/>
      <c r="E838" s="80"/>
      <c r="F838" s="81"/>
      <c r="G838" s="234"/>
      <c r="H838" s="84"/>
      <c r="AQ838" s="31"/>
    </row>
    <row r="839" spans="1:43" ht="15">
      <c r="A839" s="53"/>
      <c r="B839" s="39"/>
      <c r="C839" s="40"/>
      <c r="D839" s="128"/>
      <c r="E839" s="80"/>
      <c r="F839" s="81"/>
      <c r="G839" s="234"/>
      <c r="H839" s="84"/>
      <c r="AQ839" s="31"/>
    </row>
    <row r="840" spans="1:43" ht="15">
      <c r="A840" s="53"/>
      <c r="B840" s="39"/>
      <c r="C840" s="40"/>
      <c r="D840" s="128"/>
      <c r="E840" s="80"/>
      <c r="F840" s="81"/>
      <c r="G840" s="234"/>
      <c r="H840" s="84"/>
      <c r="AQ840" s="31"/>
    </row>
    <row r="841" spans="1:43" ht="15">
      <c r="A841" s="53"/>
      <c r="B841" s="39"/>
      <c r="C841" s="40"/>
      <c r="D841" s="128"/>
      <c r="E841" s="80"/>
      <c r="F841" s="81"/>
      <c r="G841" s="234"/>
      <c r="H841" s="84"/>
      <c r="AQ841" s="31"/>
    </row>
    <row r="842" spans="1:43" ht="15">
      <c r="A842" s="53"/>
      <c r="B842" s="39"/>
      <c r="C842" s="40"/>
      <c r="D842" s="128"/>
      <c r="E842" s="80"/>
      <c r="F842" s="81"/>
      <c r="G842" s="234"/>
      <c r="H842" s="84"/>
      <c r="AQ842" s="31"/>
    </row>
    <row r="843" spans="1:43" ht="15">
      <c r="A843" s="53"/>
      <c r="B843" s="39"/>
      <c r="C843" s="40"/>
      <c r="D843" s="128"/>
      <c r="E843" s="80"/>
      <c r="F843" s="81"/>
      <c r="G843" s="234"/>
      <c r="H843" s="84"/>
      <c r="AQ843" s="31"/>
    </row>
    <row r="844" spans="1:43" ht="15">
      <c r="A844" s="53"/>
      <c r="B844" s="39"/>
      <c r="C844" s="40"/>
      <c r="D844" s="128"/>
      <c r="E844" s="80"/>
      <c r="F844" s="81"/>
      <c r="G844" s="234"/>
      <c r="H844" s="84"/>
      <c r="AQ844" s="31"/>
    </row>
    <row r="845" spans="1:43" ht="15">
      <c r="A845" s="53"/>
      <c r="B845" s="39"/>
      <c r="C845" s="40"/>
      <c r="D845" s="128"/>
      <c r="E845" s="80"/>
      <c r="F845" s="81"/>
      <c r="G845" s="234"/>
      <c r="H845" s="84"/>
      <c r="AQ845" s="31"/>
    </row>
    <row r="846" spans="1:43" ht="15">
      <c r="A846" s="53"/>
      <c r="B846" s="39"/>
      <c r="C846" s="40"/>
      <c r="D846" s="128"/>
      <c r="E846" s="80"/>
      <c r="F846" s="81"/>
      <c r="G846" s="234"/>
      <c r="H846" s="84"/>
      <c r="AQ846" s="31"/>
    </row>
    <row r="847" spans="1:43" ht="15">
      <c r="A847" s="53"/>
      <c r="B847" s="39"/>
      <c r="C847" s="40"/>
      <c r="D847" s="128"/>
      <c r="E847" s="80"/>
      <c r="F847" s="81"/>
      <c r="G847" s="234"/>
      <c r="H847" s="84"/>
      <c r="AQ847" s="31"/>
    </row>
    <row r="848" spans="1:43" ht="15">
      <c r="A848" s="53"/>
      <c r="B848" s="39"/>
      <c r="C848" s="40"/>
      <c r="D848" s="128"/>
      <c r="E848" s="80"/>
      <c r="F848" s="81"/>
      <c r="G848" s="234"/>
      <c r="H848" s="84"/>
      <c r="AQ848" s="31"/>
    </row>
    <row r="849" spans="1:43" ht="15">
      <c r="A849" s="53"/>
      <c r="B849" s="39"/>
      <c r="C849" s="40"/>
      <c r="D849" s="128"/>
      <c r="E849" s="80"/>
      <c r="F849" s="81"/>
      <c r="G849" s="234"/>
      <c r="H849" s="84"/>
      <c r="AQ849" s="31"/>
    </row>
    <row r="850" spans="1:43" ht="15">
      <c r="A850" s="53"/>
      <c r="B850" s="39"/>
      <c r="C850" s="40"/>
      <c r="D850" s="128"/>
      <c r="E850" s="80"/>
      <c r="F850" s="81"/>
      <c r="G850" s="234"/>
      <c r="H850" s="84"/>
      <c r="AQ850" s="31"/>
    </row>
    <row r="851" spans="1:43" ht="15">
      <c r="A851" s="53"/>
      <c r="B851" s="39"/>
      <c r="C851" s="40"/>
      <c r="D851" s="128"/>
      <c r="E851" s="80"/>
      <c r="F851" s="81"/>
      <c r="G851" s="234"/>
      <c r="H851" s="84"/>
      <c r="AQ851" s="31"/>
    </row>
    <row r="852" spans="1:43" ht="15">
      <c r="A852" s="53"/>
      <c r="B852" s="39"/>
      <c r="C852" s="40"/>
      <c r="D852" s="128"/>
      <c r="E852" s="80"/>
      <c r="F852" s="81"/>
      <c r="G852" s="234"/>
      <c r="H852" s="84"/>
      <c r="AQ852" s="31"/>
    </row>
    <row r="853" spans="1:43" ht="15">
      <c r="A853" s="53"/>
      <c r="B853" s="39"/>
      <c r="C853" s="40"/>
      <c r="D853" s="128"/>
      <c r="E853" s="80"/>
      <c r="F853" s="81"/>
      <c r="G853" s="234"/>
      <c r="H853" s="84"/>
      <c r="AQ853" s="31"/>
    </row>
    <row r="854" spans="1:43" ht="15">
      <c r="A854" s="53"/>
      <c r="B854" s="39"/>
      <c r="C854" s="40"/>
      <c r="D854" s="128"/>
      <c r="E854" s="80"/>
      <c r="F854" s="81"/>
      <c r="G854" s="234"/>
      <c r="H854" s="84"/>
      <c r="AQ854" s="31"/>
    </row>
    <row r="855" spans="1:43" ht="15">
      <c r="A855" s="53"/>
      <c r="B855" s="39"/>
      <c r="C855" s="40"/>
      <c r="D855" s="128"/>
      <c r="E855" s="80"/>
      <c r="F855" s="81"/>
      <c r="G855" s="234"/>
      <c r="H855" s="84"/>
      <c r="AQ855" s="31"/>
    </row>
    <row r="856" spans="1:43" ht="15">
      <c r="A856" s="53"/>
      <c r="B856" s="39"/>
      <c r="C856" s="40"/>
      <c r="D856" s="128"/>
      <c r="E856" s="80"/>
      <c r="F856" s="81"/>
      <c r="G856" s="234"/>
      <c r="H856" s="84"/>
      <c r="AQ856" s="31"/>
    </row>
    <row r="857" spans="1:43" ht="15">
      <c r="A857" s="53"/>
      <c r="B857" s="39"/>
      <c r="C857" s="40"/>
      <c r="D857" s="128"/>
      <c r="E857" s="80"/>
      <c r="F857" s="81"/>
      <c r="G857" s="234"/>
      <c r="H857" s="84"/>
      <c r="AQ857" s="31"/>
    </row>
    <row r="858" spans="1:43" ht="15">
      <c r="A858" s="53"/>
      <c r="B858" s="39"/>
      <c r="C858" s="40"/>
      <c r="D858" s="128"/>
      <c r="E858" s="80"/>
      <c r="F858" s="81"/>
      <c r="G858" s="234"/>
      <c r="H858" s="84"/>
      <c r="AQ858" s="31"/>
    </row>
    <row r="859" spans="1:43" ht="15">
      <c r="A859" s="53"/>
      <c r="B859" s="39"/>
      <c r="C859" s="40"/>
      <c r="D859" s="128"/>
      <c r="E859" s="80"/>
      <c r="F859" s="81"/>
      <c r="G859" s="234"/>
      <c r="H859" s="84"/>
      <c r="AQ859" s="31"/>
    </row>
    <row r="860" spans="1:43" ht="15">
      <c r="A860" s="53"/>
      <c r="B860" s="39"/>
      <c r="C860" s="40"/>
      <c r="D860" s="128"/>
      <c r="E860" s="80"/>
      <c r="F860" s="81"/>
      <c r="G860" s="234"/>
      <c r="H860" s="84"/>
      <c r="AQ860" s="31"/>
    </row>
    <row r="861" spans="1:43" ht="15">
      <c r="A861" s="53"/>
      <c r="B861" s="39"/>
      <c r="C861" s="40"/>
      <c r="D861" s="128"/>
      <c r="E861" s="80"/>
      <c r="F861" s="81"/>
      <c r="G861" s="234"/>
      <c r="H861" s="84"/>
      <c r="AQ861" s="31"/>
    </row>
    <row r="862" spans="1:43" ht="15">
      <c r="A862" s="53"/>
      <c r="B862" s="39"/>
      <c r="C862" s="40"/>
      <c r="D862" s="128"/>
      <c r="E862" s="80"/>
      <c r="F862" s="81"/>
      <c r="G862" s="234"/>
      <c r="H862" s="84"/>
      <c r="AQ862" s="31"/>
    </row>
    <row r="863" spans="1:43" ht="15">
      <c r="A863" s="53"/>
      <c r="B863" s="39"/>
      <c r="C863" s="40"/>
      <c r="D863" s="128"/>
      <c r="E863" s="80"/>
      <c r="F863" s="81"/>
      <c r="G863" s="234"/>
      <c r="H863" s="84"/>
      <c r="AQ863" s="31"/>
    </row>
    <row r="864" spans="1:43" ht="15">
      <c r="A864" s="53"/>
      <c r="B864" s="39"/>
      <c r="C864" s="40"/>
      <c r="D864" s="128"/>
      <c r="E864" s="80"/>
      <c r="F864" s="81"/>
      <c r="G864" s="234"/>
      <c r="H864" s="84"/>
      <c r="AQ864" s="31"/>
    </row>
    <row r="865" spans="1:43" ht="15">
      <c r="A865" s="53"/>
      <c r="B865" s="39"/>
      <c r="C865" s="40"/>
      <c r="D865" s="128"/>
      <c r="E865" s="80"/>
      <c r="F865" s="81"/>
      <c r="G865" s="234"/>
      <c r="H865" s="84"/>
      <c r="AQ865" s="31"/>
    </row>
    <row r="866" spans="1:43" ht="15">
      <c r="A866" s="53"/>
      <c r="B866" s="39"/>
      <c r="C866" s="40"/>
      <c r="D866" s="128"/>
      <c r="E866" s="80"/>
      <c r="F866" s="81"/>
      <c r="G866" s="234"/>
      <c r="H866" s="84"/>
      <c r="AQ866" s="31"/>
    </row>
    <row r="867" spans="1:43" ht="15">
      <c r="A867" s="53"/>
      <c r="B867" s="39"/>
      <c r="C867" s="40"/>
      <c r="D867" s="128"/>
      <c r="E867" s="80"/>
      <c r="F867" s="81"/>
      <c r="G867" s="234"/>
      <c r="H867" s="84"/>
      <c r="AQ867" s="31"/>
    </row>
    <row r="868" spans="1:43" ht="15">
      <c r="A868" s="53"/>
      <c r="B868" s="39"/>
      <c r="C868" s="40"/>
      <c r="D868" s="128"/>
      <c r="E868" s="80"/>
      <c r="F868" s="81"/>
      <c r="G868" s="234"/>
      <c r="H868" s="84"/>
      <c r="AQ868" s="31"/>
    </row>
    <row r="869" spans="1:43" ht="15">
      <c r="A869" s="53"/>
      <c r="B869" s="39"/>
      <c r="C869" s="40"/>
      <c r="D869" s="128"/>
      <c r="E869" s="80"/>
      <c r="F869" s="81"/>
      <c r="G869" s="234"/>
      <c r="H869" s="84"/>
      <c r="AQ869" s="31"/>
    </row>
    <row r="870" spans="1:43" ht="15">
      <c r="A870" s="53"/>
      <c r="B870" s="39"/>
      <c r="C870" s="40"/>
      <c r="D870" s="128"/>
      <c r="E870" s="80"/>
      <c r="F870" s="81"/>
      <c r="G870" s="234"/>
      <c r="H870" s="84"/>
      <c r="AQ870" s="31"/>
    </row>
    <row r="871" spans="1:43" ht="15">
      <c r="A871" s="53"/>
      <c r="B871" s="39"/>
      <c r="C871" s="40"/>
      <c r="D871" s="128"/>
      <c r="E871" s="80"/>
      <c r="F871" s="81"/>
      <c r="G871" s="234"/>
      <c r="H871" s="84"/>
      <c r="AQ871" s="31"/>
    </row>
    <row r="872" spans="1:43" ht="15">
      <c r="A872" s="53"/>
      <c r="B872" s="39"/>
      <c r="C872" s="40"/>
      <c r="D872" s="128"/>
      <c r="E872" s="80"/>
      <c r="F872" s="81"/>
      <c r="G872" s="234"/>
      <c r="H872" s="84"/>
      <c r="AQ872" s="31"/>
    </row>
    <row r="873" spans="1:43" ht="15">
      <c r="A873" s="53"/>
      <c r="B873" s="39"/>
      <c r="C873" s="40"/>
      <c r="D873" s="128"/>
      <c r="E873" s="80"/>
      <c r="F873" s="81"/>
      <c r="G873" s="234"/>
      <c r="H873" s="84"/>
      <c r="AQ873" s="31"/>
    </row>
    <row r="874" spans="1:43" ht="15">
      <c r="A874" s="53"/>
      <c r="B874" s="39"/>
      <c r="C874" s="40"/>
      <c r="D874" s="128"/>
      <c r="E874" s="80"/>
      <c r="F874" s="81"/>
      <c r="G874" s="234"/>
      <c r="H874" s="84"/>
      <c r="AQ874" s="31"/>
    </row>
    <row r="875" spans="1:43" ht="15">
      <c r="A875" s="53"/>
      <c r="B875" s="39"/>
      <c r="C875" s="40"/>
      <c r="D875" s="128"/>
      <c r="E875" s="80"/>
      <c r="F875" s="81"/>
      <c r="G875" s="234"/>
      <c r="H875" s="84"/>
      <c r="AQ875" s="31"/>
    </row>
    <row r="876" spans="1:43" ht="15">
      <c r="A876" s="53"/>
      <c r="B876" s="39"/>
      <c r="C876" s="40"/>
      <c r="D876" s="128"/>
      <c r="E876" s="80"/>
      <c r="F876" s="81"/>
      <c r="G876" s="234"/>
      <c r="H876" s="84"/>
      <c r="AQ876" s="31"/>
    </row>
    <row r="877" spans="1:43" ht="15">
      <c r="A877" s="53"/>
      <c r="B877" s="39"/>
      <c r="C877" s="40"/>
      <c r="D877" s="128"/>
      <c r="E877" s="80"/>
      <c r="F877" s="81"/>
      <c r="G877" s="234"/>
      <c r="H877" s="84"/>
      <c r="AQ877" s="31"/>
    </row>
    <row r="878" spans="1:43" ht="15">
      <c r="A878" s="53"/>
      <c r="B878" s="39"/>
      <c r="C878" s="40"/>
      <c r="D878" s="128"/>
      <c r="E878" s="80"/>
      <c r="F878" s="81"/>
      <c r="G878" s="234"/>
      <c r="H878" s="84"/>
      <c r="AQ878" s="31"/>
    </row>
    <row r="879" spans="1:43" ht="15">
      <c r="A879" s="53"/>
      <c r="B879" s="39"/>
      <c r="C879" s="40"/>
      <c r="D879" s="128"/>
      <c r="E879" s="80"/>
      <c r="F879" s="81"/>
      <c r="G879" s="234"/>
      <c r="H879" s="84"/>
      <c r="AQ879" s="31"/>
    </row>
    <row r="880" spans="1:43" ht="15">
      <c r="A880" s="53"/>
      <c r="B880" s="39"/>
      <c r="C880" s="40"/>
      <c r="D880" s="128"/>
      <c r="E880" s="80"/>
      <c r="F880" s="81"/>
      <c r="G880" s="234"/>
      <c r="H880" s="84"/>
      <c r="AQ880" s="31"/>
    </row>
    <row r="881" spans="1:43" ht="15">
      <c r="A881" s="53"/>
      <c r="B881" s="39"/>
      <c r="C881" s="40"/>
      <c r="D881" s="128"/>
      <c r="E881" s="80"/>
      <c r="F881" s="81"/>
      <c r="G881" s="234"/>
      <c r="H881" s="84"/>
      <c r="AQ881" s="31"/>
    </row>
    <row r="882" spans="1:43" ht="15">
      <c r="A882" s="53"/>
      <c r="B882" s="39"/>
      <c r="C882" s="40"/>
      <c r="D882" s="128"/>
      <c r="E882" s="80"/>
      <c r="F882" s="81"/>
      <c r="G882" s="234"/>
      <c r="H882" s="84"/>
      <c r="AQ882" s="31"/>
    </row>
    <row r="883" spans="1:43" ht="15">
      <c r="A883" s="53"/>
      <c r="B883" s="39"/>
      <c r="C883" s="40"/>
      <c r="D883" s="128"/>
      <c r="E883" s="80"/>
      <c r="F883" s="81"/>
      <c r="G883" s="234"/>
      <c r="H883" s="84"/>
      <c r="AQ883" s="31"/>
    </row>
    <row r="884" spans="1:43" ht="15">
      <c r="A884" s="53"/>
      <c r="B884" s="39"/>
      <c r="C884" s="40"/>
      <c r="D884" s="128"/>
      <c r="E884" s="80"/>
      <c r="F884" s="81"/>
      <c r="G884" s="234"/>
      <c r="H884" s="84"/>
      <c r="AQ884" s="31"/>
    </row>
    <row r="885" spans="1:43" ht="15">
      <c r="A885" s="53"/>
      <c r="B885" s="39"/>
      <c r="C885" s="40"/>
      <c r="D885" s="128"/>
      <c r="E885" s="80"/>
      <c r="F885" s="81"/>
      <c r="G885" s="234"/>
      <c r="H885" s="84"/>
      <c r="AQ885" s="31"/>
    </row>
    <row r="886" spans="1:43" ht="15">
      <c r="A886" s="53"/>
      <c r="B886" s="39"/>
      <c r="C886" s="40"/>
      <c r="D886" s="128"/>
      <c r="E886" s="80"/>
      <c r="F886" s="81"/>
      <c r="G886" s="234"/>
      <c r="H886" s="84"/>
      <c r="AQ886" s="31"/>
    </row>
    <row r="887" spans="1:43" ht="15">
      <c r="A887" s="53"/>
      <c r="B887" s="39"/>
      <c r="C887" s="40"/>
      <c r="D887" s="128"/>
      <c r="E887" s="80"/>
      <c r="F887" s="81"/>
      <c r="G887" s="234"/>
      <c r="H887" s="84"/>
      <c r="AQ887" s="31"/>
    </row>
    <row r="888" spans="1:43" ht="15">
      <c r="A888" s="53"/>
      <c r="B888" s="39"/>
      <c r="C888" s="40"/>
      <c r="D888" s="128"/>
      <c r="E888" s="80"/>
      <c r="F888" s="81"/>
      <c r="G888" s="234"/>
      <c r="H888" s="84"/>
      <c r="AQ888" s="31"/>
    </row>
    <row r="889" spans="1:43" ht="15">
      <c r="A889" s="53"/>
      <c r="B889" s="39"/>
      <c r="C889" s="40"/>
      <c r="D889" s="128"/>
      <c r="E889" s="80"/>
      <c r="F889" s="81"/>
      <c r="G889" s="234"/>
      <c r="H889" s="84"/>
      <c r="AQ889" s="31"/>
    </row>
    <row r="890" spans="1:43" ht="15">
      <c r="A890" s="53"/>
      <c r="B890" s="39"/>
      <c r="C890" s="40"/>
      <c r="D890" s="128"/>
      <c r="E890" s="80"/>
      <c r="F890" s="81"/>
      <c r="G890" s="234"/>
      <c r="H890" s="84"/>
      <c r="AQ890" s="31"/>
    </row>
    <row r="891" spans="1:43" ht="15">
      <c r="A891" s="53"/>
      <c r="B891" s="39"/>
      <c r="C891" s="40"/>
      <c r="D891" s="128"/>
      <c r="E891" s="80"/>
      <c r="F891" s="81"/>
      <c r="G891" s="234"/>
      <c r="H891" s="84"/>
      <c r="AQ891" s="31"/>
    </row>
    <row r="892" spans="1:43" ht="15">
      <c r="A892" s="53"/>
      <c r="B892" s="39"/>
      <c r="C892" s="40"/>
      <c r="D892" s="128"/>
      <c r="E892" s="80"/>
      <c r="F892" s="81"/>
      <c r="G892" s="234"/>
      <c r="H892" s="84"/>
      <c r="AQ892" s="31"/>
    </row>
    <row r="893" spans="1:43" ht="15">
      <c r="A893" s="53"/>
      <c r="B893" s="39"/>
      <c r="C893" s="40"/>
      <c r="D893" s="128"/>
      <c r="E893" s="80"/>
      <c r="F893" s="81"/>
      <c r="G893" s="234"/>
      <c r="H893" s="84"/>
      <c r="AQ893" s="31"/>
    </row>
    <row r="894" spans="1:43" ht="15">
      <c r="A894" s="53"/>
      <c r="B894" s="39"/>
      <c r="C894" s="40"/>
      <c r="D894" s="128"/>
      <c r="E894" s="80"/>
      <c r="F894" s="81"/>
      <c r="G894" s="234"/>
      <c r="H894" s="84"/>
      <c r="AQ894" s="31"/>
    </row>
    <row r="895" spans="1:43" ht="15">
      <c r="A895" s="53"/>
      <c r="B895" s="39"/>
      <c r="C895" s="40"/>
      <c r="D895" s="128"/>
      <c r="E895" s="80"/>
      <c r="F895" s="81"/>
      <c r="G895" s="234"/>
      <c r="H895" s="84"/>
      <c r="AQ895" s="31"/>
    </row>
    <row r="896" spans="1:43" ht="15">
      <c r="A896" s="53"/>
      <c r="B896" s="39"/>
      <c r="C896" s="40"/>
      <c r="D896" s="128"/>
      <c r="E896" s="80"/>
      <c r="F896" s="81"/>
      <c r="G896" s="234"/>
      <c r="H896" s="84"/>
      <c r="AQ896" s="31"/>
    </row>
    <row r="897" spans="1:43" ht="15">
      <c r="A897" s="53"/>
      <c r="B897" s="39"/>
      <c r="C897" s="40"/>
      <c r="D897" s="128"/>
      <c r="E897" s="80"/>
      <c r="F897" s="81"/>
      <c r="G897" s="234"/>
      <c r="H897" s="84"/>
      <c r="AQ897" s="31"/>
    </row>
    <row r="898" spans="1:43" ht="15">
      <c r="A898" s="53"/>
      <c r="B898" s="39"/>
      <c r="C898" s="40"/>
      <c r="D898" s="128"/>
      <c r="E898" s="80"/>
      <c r="F898" s="81"/>
      <c r="G898" s="234"/>
      <c r="H898" s="84"/>
      <c r="AQ898" s="31"/>
    </row>
    <row r="899" spans="1:43" ht="15">
      <c r="A899" s="53"/>
      <c r="B899" s="39"/>
      <c r="C899" s="40"/>
      <c r="D899" s="128"/>
      <c r="E899" s="80"/>
      <c r="F899" s="81"/>
      <c r="G899" s="234"/>
      <c r="H899" s="84"/>
      <c r="AQ899" s="31"/>
    </row>
    <row r="900" spans="1:43" ht="15">
      <c r="A900" s="53"/>
      <c r="B900" s="39"/>
      <c r="C900" s="40"/>
      <c r="D900" s="128"/>
      <c r="E900" s="80"/>
      <c r="F900" s="81"/>
      <c r="G900" s="234"/>
      <c r="H900" s="84"/>
      <c r="AQ900" s="31"/>
    </row>
    <row r="901" spans="1:43" ht="15">
      <c r="A901" s="53"/>
      <c r="B901" s="39"/>
      <c r="C901" s="40"/>
      <c r="D901" s="128"/>
      <c r="E901" s="80"/>
      <c r="F901" s="81"/>
      <c r="G901" s="234"/>
      <c r="H901" s="84"/>
      <c r="AQ901" s="31"/>
    </row>
    <row r="902" spans="1:43" ht="15">
      <c r="A902" s="53"/>
      <c r="B902" s="39"/>
      <c r="C902" s="40"/>
      <c r="D902" s="128"/>
      <c r="E902" s="80"/>
      <c r="F902" s="81"/>
      <c r="G902" s="234"/>
      <c r="H902" s="84"/>
      <c r="AQ902" s="31"/>
    </row>
    <row r="903" spans="1:43" ht="15">
      <c r="A903" s="53"/>
      <c r="B903" s="39"/>
      <c r="C903" s="40"/>
      <c r="D903" s="128"/>
      <c r="E903" s="80"/>
      <c r="F903" s="81"/>
      <c r="G903" s="234"/>
      <c r="H903" s="84"/>
      <c r="AQ903" s="31"/>
    </row>
    <row r="904" spans="1:43" ht="15">
      <c r="A904" s="53"/>
      <c r="B904" s="39"/>
      <c r="C904" s="40"/>
      <c r="D904" s="128"/>
      <c r="E904" s="80"/>
      <c r="F904" s="81"/>
      <c r="G904" s="234"/>
      <c r="H904" s="84"/>
      <c r="AQ904" s="31"/>
    </row>
    <row r="905" spans="1:43" ht="15">
      <c r="A905" s="53"/>
      <c r="B905" s="39"/>
      <c r="C905" s="40"/>
      <c r="D905" s="128"/>
      <c r="E905" s="80"/>
      <c r="F905" s="81"/>
      <c r="G905" s="234"/>
      <c r="H905" s="84"/>
      <c r="AQ905" s="31"/>
    </row>
    <row r="906" spans="1:43" ht="15">
      <c r="A906" s="53"/>
      <c r="B906" s="39"/>
      <c r="C906" s="40"/>
      <c r="D906" s="128"/>
      <c r="E906" s="80"/>
      <c r="F906" s="81"/>
      <c r="G906" s="234"/>
      <c r="H906" s="84"/>
      <c r="AQ906" s="31"/>
    </row>
    <row r="907" spans="1:43" ht="15">
      <c r="A907" s="53"/>
      <c r="B907" s="39"/>
      <c r="C907" s="40"/>
      <c r="D907" s="128"/>
      <c r="E907" s="80"/>
      <c r="F907" s="81"/>
      <c r="G907" s="234"/>
      <c r="H907" s="84"/>
      <c r="AQ907" s="31"/>
    </row>
    <row r="908" spans="1:43" ht="15">
      <c r="A908" s="53"/>
      <c r="B908" s="39"/>
      <c r="C908" s="40"/>
      <c r="D908" s="128"/>
      <c r="E908" s="80"/>
      <c r="F908" s="81"/>
      <c r="G908" s="234"/>
      <c r="H908" s="84"/>
      <c r="AQ908" s="31"/>
    </row>
    <row r="909" spans="2:43" ht="15">
      <c r="B909" s="39"/>
      <c r="C909" s="40"/>
      <c r="D909" s="128"/>
      <c r="E909" s="80"/>
      <c r="F909" s="81"/>
      <c r="G909" s="234"/>
      <c r="H909" s="84"/>
      <c r="AQ909" s="31"/>
    </row>
    <row r="910" spans="2:43" ht="15">
      <c r="B910" s="39"/>
      <c r="C910" s="40"/>
      <c r="D910" s="128"/>
      <c r="E910" s="80"/>
      <c r="F910" s="81"/>
      <c r="G910" s="234"/>
      <c r="H910" s="84"/>
      <c r="AQ910" s="31"/>
    </row>
    <row r="911" spans="2:43" ht="15">
      <c r="B911" s="39"/>
      <c r="C911" s="40"/>
      <c r="D911" s="128"/>
      <c r="E911" s="80"/>
      <c r="F911" s="81"/>
      <c r="G911" s="234"/>
      <c r="H911" s="84"/>
      <c r="AQ911" s="31"/>
    </row>
    <row r="912" spans="2:43" ht="15">
      <c r="B912" s="39"/>
      <c r="C912" s="40"/>
      <c r="D912" s="128"/>
      <c r="E912" s="80"/>
      <c r="F912" s="81"/>
      <c r="G912" s="234"/>
      <c r="H912" s="84"/>
      <c r="AQ912" s="31"/>
    </row>
    <row r="913" spans="2:43" ht="15">
      <c r="B913" s="39"/>
      <c r="C913" s="40"/>
      <c r="D913" s="128"/>
      <c r="E913" s="80"/>
      <c r="F913" s="81"/>
      <c r="G913" s="234"/>
      <c r="H913" s="84"/>
      <c r="AQ913" s="31"/>
    </row>
    <row r="914" spans="2:43" ht="15">
      <c r="B914" s="39"/>
      <c r="C914" s="40"/>
      <c r="D914" s="128"/>
      <c r="E914" s="80"/>
      <c r="F914" s="81"/>
      <c r="G914" s="234"/>
      <c r="H914" s="84"/>
      <c r="AQ914" s="31"/>
    </row>
    <row r="915" spans="2:43" ht="15">
      <c r="B915" s="39"/>
      <c r="C915" s="40"/>
      <c r="D915" s="128"/>
      <c r="E915" s="80"/>
      <c r="F915" s="81"/>
      <c r="G915" s="234"/>
      <c r="H915" s="84"/>
      <c r="AQ915" s="31"/>
    </row>
    <row r="916" spans="2:43" ht="15">
      <c r="B916" s="39"/>
      <c r="C916" s="40"/>
      <c r="D916" s="128"/>
      <c r="E916" s="80"/>
      <c r="F916" s="81"/>
      <c r="G916" s="234"/>
      <c r="H916" s="84"/>
      <c r="AQ916" s="31"/>
    </row>
    <row r="917" spans="2:43" ht="15">
      <c r="B917" s="39"/>
      <c r="C917" s="40"/>
      <c r="D917" s="128"/>
      <c r="E917" s="80"/>
      <c r="F917" s="81"/>
      <c r="G917" s="234"/>
      <c r="H917" s="84"/>
      <c r="AQ917" s="31"/>
    </row>
    <row r="918" spans="2:43" ht="15">
      <c r="B918" s="39"/>
      <c r="C918" s="40"/>
      <c r="D918" s="128"/>
      <c r="E918" s="80"/>
      <c r="F918" s="81"/>
      <c r="G918" s="234"/>
      <c r="H918" s="84"/>
      <c r="AQ918" s="31"/>
    </row>
    <row r="919" spans="2:43" ht="15">
      <c r="B919" s="39"/>
      <c r="C919" s="40"/>
      <c r="D919" s="128"/>
      <c r="E919" s="80"/>
      <c r="F919" s="81"/>
      <c r="G919" s="234"/>
      <c r="H919" s="84"/>
      <c r="AQ919" s="31"/>
    </row>
    <row r="920" spans="2:43" ht="15">
      <c r="B920" s="39"/>
      <c r="C920" s="40"/>
      <c r="D920" s="128"/>
      <c r="E920" s="80"/>
      <c r="F920" s="81"/>
      <c r="G920" s="234"/>
      <c r="H920" s="84"/>
      <c r="AQ920" s="31"/>
    </row>
    <row r="921" spans="2:43" ht="15">
      <c r="B921" s="39"/>
      <c r="C921" s="40"/>
      <c r="D921" s="128"/>
      <c r="E921" s="80"/>
      <c r="F921" s="81"/>
      <c r="G921" s="234"/>
      <c r="H921" s="84"/>
      <c r="AQ921" s="31"/>
    </row>
    <row r="922" spans="2:43" ht="15">
      <c r="B922" s="39"/>
      <c r="C922" s="40"/>
      <c r="D922" s="128"/>
      <c r="E922" s="80"/>
      <c r="F922" s="81"/>
      <c r="G922" s="234"/>
      <c r="H922" s="84"/>
      <c r="AQ922" s="31"/>
    </row>
    <row r="923" spans="2:43" ht="15">
      <c r="B923" s="39"/>
      <c r="C923" s="40"/>
      <c r="D923" s="128"/>
      <c r="E923" s="80"/>
      <c r="F923" s="81"/>
      <c r="G923" s="234"/>
      <c r="H923" s="84"/>
      <c r="AQ923" s="31"/>
    </row>
    <row r="924" spans="2:43" ht="15">
      <c r="B924" s="39"/>
      <c r="C924" s="40"/>
      <c r="D924" s="128"/>
      <c r="E924" s="80"/>
      <c r="F924" s="81"/>
      <c r="G924" s="234"/>
      <c r="H924" s="84"/>
      <c r="AQ924" s="31"/>
    </row>
    <row r="925" spans="2:43" ht="15">
      <c r="B925" s="39"/>
      <c r="C925" s="40"/>
      <c r="D925" s="128"/>
      <c r="E925" s="80"/>
      <c r="F925" s="81"/>
      <c r="G925" s="234"/>
      <c r="H925" s="84"/>
      <c r="AQ925" s="31"/>
    </row>
    <row r="926" spans="2:43" ht="15">
      <c r="B926" s="39"/>
      <c r="C926" s="40"/>
      <c r="D926" s="128"/>
      <c r="E926" s="80"/>
      <c r="F926" s="81"/>
      <c r="G926" s="234"/>
      <c r="H926" s="84"/>
      <c r="AQ926" s="31"/>
    </row>
    <row r="927" spans="2:43" ht="15">
      <c r="B927" s="39"/>
      <c r="C927" s="40"/>
      <c r="D927" s="128"/>
      <c r="E927" s="80"/>
      <c r="F927" s="81"/>
      <c r="G927" s="234"/>
      <c r="H927" s="84"/>
      <c r="AQ927" s="31"/>
    </row>
    <row r="928" spans="2:43" ht="15">
      <c r="B928" s="39"/>
      <c r="C928" s="40"/>
      <c r="D928" s="128"/>
      <c r="E928" s="80"/>
      <c r="F928" s="81"/>
      <c r="G928" s="234"/>
      <c r="H928" s="84"/>
      <c r="AQ928" s="31"/>
    </row>
    <row r="929" spans="2:43" ht="15">
      <c r="B929" s="39"/>
      <c r="C929" s="40"/>
      <c r="D929" s="128"/>
      <c r="E929" s="80"/>
      <c r="F929" s="81"/>
      <c r="G929" s="234"/>
      <c r="H929" s="84"/>
      <c r="AQ929" s="31"/>
    </row>
    <row r="930" spans="2:43" ht="15">
      <c r="B930" s="39"/>
      <c r="C930" s="40"/>
      <c r="D930" s="128"/>
      <c r="E930" s="80"/>
      <c r="F930" s="81"/>
      <c r="G930" s="234"/>
      <c r="H930" s="84"/>
      <c r="AQ930" s="31"/>
    </row>
    <row r="931" spans="2:43" ht="15">
      <c r="B931" s="39"/>
      <c r="C931" s="40"/>
      <c r="D931" s="128"/>
      <c r="E931" s="80"/>
      <c r="F931" s="81"/>
      <c r="G931" s="234"/>
      <c r="H931" s="84"/>
      <c r="AQ931" s="31"/>
    </row>
    <row r="932" spans="2:43" ht="15">
      <c r="B932" s="39"/>
      <c r="C932" s="40"/>
      <c r="D932" s="128"/>
      <c r="E932" s="80"/>
      <c r="F932" s="81"/>
      <c r="G932" s="234"/>
      <c r="H932" s="84"/>
      <c r="AQ932" s="31"/>
    </row>
    <row r="933" spans="2:43" ht="15">
      <c r="B933" s="39"/>
      <c r="C933" s="40"/>
      <c r="D933" s="128"/>
      <c r="E933" s="80"/>
      <c r="F933" s="81"/>
      <c r="G933" s="234"/>
      <c r="H933" s="84"/>
      <c r="AQ933" s="31"/>
    </row>
    <row r="934" spans="2:43" ht="15">
      <c r="B934" s="39"/>
      <c r="C934" s="40"/>
      <c r="D934" s="128"/>
      <c r="E934" s="80"/>
      <c r="F934" s="81"/>
      <c r="G934" s="234"/>
      <c r="H934" s="84"/>
      <c r="AQ934" s="31"/>
    </row>
    <row r="935" spans="2:43" ht="15">
      <c r="B935" s="39"/>
      <c r="C935" s="40"/>
      <c r="D935" s="128"/>
      <c r="E935" s="80"/>
      <c r="F935" s="81"/>
      <c r="G935" s="234"/>
      <c r="H935" s="84"/>
      <c r="AQ935" s="31"/>
    </row>
    <row r="936" spans="2:43" ht="15">
      <c r="B936" s="39"/>
      <c r="C936" s="40"/>
      <c r="D936" s="128"/>
      <c r="E936" s="80"/>
      <c r="F936" s="81"/>
      <c r="G936" s="234"/>
      <c r="H936" s="84"/>
      <c r="AQ936" s="31"/>
    </row>
    <row r="937" spans="2:43" ht="15">
      <c r="B937" s="39"/>
      <c r="C937" s="40"/>
      <c r="D937" s="128"/>
      <c r="E937" s="80"/>
      <c r="F937" s="81"/>
      <c r="G937" s="234"/>
      <c r="H937" s="84"/>
      <c r="AQ937" s="31"/>
    </row>
    <row r="938" spans="2:43" ht="15">
      <c r="B938" s="39"/>
      <c r="C938" s="40"/>
      <c r="D938" s="128"/>
      <c r="E938" s="80"/>
      <c r="F938" s="81"/>
      <c r="G938" s="234"/>
      <c r="H938" s="84"/>
      <c r="AQ938" s="31"/>
    </row>
    <row r="939" spans="2:43" ht="15">
      <c r="B939" s="39"/>
      <c r="C939" s="40"/>
      <c r="D939" s="128"/>
      <c r="E939" s="80"/>
      <c r="F939" s="81"/>
      <c r="G939" s="234"/>
      <c r="H939" s="84"/>
      <c r="AQ939" s="31"/>
    </row>
    <row r="940" spans="2:43" ht="15">
      <c r="B940" s="39"/>
      <c r="C940" s="40"/>
      <c r="D940" s="128"/>
      <c r="E940" s="80"/>
      <c r="F940" s="81"/>
      <c r="G940" s="234"/>
      <c r="H940" s="84"/>
      <c r="AQ940" s="31"/>
    </row>
    <row r="941" spans="2:43" ht="15">
      <c r="B941" s="39"/>
      <c r="C941" s="40"/>
      <c r="D941" s="128"/>
      <c r="E941" s="80"/>
      <c r="F941" s="81"/>
      <c r="G941" s="234"/>
      <c r="H941" s="84"/>
      <c r="AQ941" s="31"/>
    </row>
    <row r="942" spans="2:43" ht="15">
      <c r="B942" s="39"/>
      <c r="C942" s="40"/>
      <c r="D942" s="128"/>
      <c r="E942" s="80"/>
      <c r="F942" s="81"/>
      <c r="G942" s="234"/>
      <c r="H942" s="84"/>
      <c r="AQ942" s="31"/>
    </row>
    <row r="943" spans="2:43" ht="15">
      <c r="B943" s="39"/>
      <c r="C943" s="40"/>
      <c r="D943" s="128"/>
      <c r="E943" s="80"/>
      <c r="F943" s="81"/>
      <c r="G943" s="234"/>
      <c r="H943" s="84"/>
      <c r="AQ943" s="31"/>
    </row>
    <row r="944" spans="2:43" ht="15">
      <c r="B944" s="39"/>
      <c r="C944" s="40"/>
      <c r="D944" s="128"/>
      <c r="E944" s="80"/>
      <c r="F944" s="81"/>
      <c r="G944" s="234"/>
      <c r="H944" s="84"/>
      <c r="AQ944" s="31"/>
    </row>
    <row r="945" spans="2:43" ht="15">
      <c r="B945" s="39"/>
      <c r="C945" s="40"/>
      <c r="D945" s="128"/>
      <c r="E945" s="80"/>
      <c r="F945" s="81"/>
      <c r="G945" s="234"/>
      <c r="H945" s="84"/>
      <c r="AQ945" s="31"/>
    </row>
    <row r="946" spans="2:43" ht="15">
      <c r="B946" s="39"/>
      <c r="C946" s="40"/>
      <c r="D946" s="128"/>
      <c r="E946" s="80"/>
      <c r="F946" s="81"/>
      <c r="G946" s="234"/>
      <c r="H946" s="84"/>
      <c r="AQ946" s="31"/>
    </row>
    <row r="947" spans="2:43" ht="15">
      <c r="B947" s="39"/>
      <c r="C947" s="40"/>
      <c r="D947" s="128"/>
      <c r="E947" s="80"/>
      <c r="F947" s="81"/>
      <c r="G947" s="234"/>
      <c r="H947" s="84"/>
      <c r="AQ947" s="31"/>
    </row>
    <row r="948" spans="2:43" ht="15">
      <c r="B948" s="39"/>
      <c r="C948" s="40"/>
      <c r="D948" s="128"/>
      <c r="E948" s="80"/>
      <c r="F948" s="81"/>
      <c r="G948" s="234"/>
      <c r="H948" s="84"/>
      <c r="AQ948" s="31"/>
    </row>
    <row r="949" spans="2:43" ht="15">
      <c r="B949" s="39"/>
      <c r="C949" s="40"/>
      <c r="D949" s="128"/>
      <c r="E949" s="80"/>
      <c r="F949" s="81"/>
      <c r="G949" s="234"/>
      <c r="H949" s="84"/>
      <c r="AQ949" s="31"/>
    </row>
    <row r="950" spans="2:43" ht="15">
      <c r="B950" s="39"/>
      <c r="C950" s="40"/>
      <c r="D950" s="128"/>
      <c r="E950" s="80"/>
      <c r="F950" s="81"/>
      <c r="G950" s="234"/>
      <c r="H950" s="84"/>
      <c r="AQ950" s="31"/>
    </row>
    <row r="951" spans="2:43" ht="15">
      <c r="B951" s="39"/>
      <c r="C951" s="40"/>
      <c r="D951" s="128"/>
      <c r="E951" s="80"/>
      <c r="F951" s="81"/>
      <c r="G951" s="234"/>
      <c r="H951" s="84"/>
      <c r="AQ951" s="31"/>
    </row>
    <row r="952" spans="2:43" ht="15">
      <c r="B952" s="39"/>
      <c r="C952" s="40"/>
      <c r="D952" s="128"/>
      <c r="E952" s="80"/>
      <c r="F952" s="81"/>
      <c r="G952" s="234"/>
      <c r="H952" s="84"/>
      <c r="AQ952" s="31"/>
    </row>
    <row r="953" spans="2:43" ht="15">
      <c r="B953" s="39"/>
      <c r="C953" s="40"/>
      <c r="D953" s="128"/>
      <c r="E953" s="80"/>
      <c r="F953" s="81"/>
      <c r="G953" s="234"/>
      <c r="H953" s="84"/>
      <c r="AQ953" s="31"/>
    </row>
    <row r="954" spans="2:43" ht="15">
      <c r="B954" s="39"/>
      <c r="C954" s="40"/>
      <c r="D954" s="128"/>
      <c r="E954" s="80"/>
      <c r="F954" s="81"/>
      <c r="G954" s="234"/>
      <c r="H954" s="84"/>
      <c r="AQ954" s="31"/>
    </row>
    <row r="955" spans="2:43" ht="15">
      <c r="B955" s="39"/>
      <c r="C955" s="40"/>
      <c r="D955" s="128"/>
      <c r="E955" s="80"/>
      <c r="F955" s="81"/>
      <c r="G955" s="234"/>
      <c r="H955" s="84"/>
      <c r="AQ955" s="31"/>
    </row>
    <row r="956" spans="2:43" ht="15">
      <c r="B956" s="39"/>
      <c r="C956" s="40"/>
      <c r="D956" s="128"/>
      <c r="E956" s="80"/>
      <c r="F956" s="81"/>
      <c r="G956" s="234"/>
      <c r="H956" s="84"/>
      <c r="AQ956" s="31"/>
    </row>
    <row r="957" spans="2:43" ht="15">
      <c r="B957" s="39"/>
      <c r="C957" s="40"/>
      <c r="D957" s="128"/>
      <c r="E957" s="80"/>
      <c r="F957" s="81"/>
      <c r="G957" s="234"/>
      <c r="H957" s="84"/>
      <c r="AQ957" s="31"/>
    </row>
    <row r="958" spans="2:43" ht="15">
      <c r="B958" s="39"/>
      <c r="C958" s="40"/>
      <c r="D958" s="128"/>
      <c r="E958" s="80"/>
      <c r="F958" s="81"/>
      <c r="G958" s="234"/>
      <c r="H958" s="84"/>
      <c r="AQ958" s="31"/>
    </row>
    <row r="959" spans="2:43" ht="15">
      <c r="B959" s="39"/>
      <c r="C959" s="40"/>
      <c r="D959" s="128"/>
      <c r="E959" s="80"/>
      <c r="F959" s="81"/>
      <c r="G959" s="234"/>
      <c r="H959" s="84"/>
      <c r="AQ959" s="31"/>
    </row>
    <row r="960" spans="2:43" ht="15">
      <c r="B960" s="39"/>
      <c r="C960" s="40"/>
      <c r="D960" s="128"/>
      <c r="E960" s="80"/>
      <c r="F960" s="81"/>
      <c r="G960" s="234"/>
      <c r="H960" s="84"/>
      <c r="AQ960" s="31"/>
    </row>
    <row r="961" spans="2:43" ht="15">
      <c r="B961" s="39"/>
      <c r="C961" s="40"/>
      <c r="D961" s="128"/>
      <c r="E961" s="80"/>
      <c r="F961" s="81"/>
      <c r="G961" s="234"/>
      <c r="H961" s="84"/>
      <c r="AQ961" s="31"/>
    </row>
    <row r="962" spans="2:43" ht="15">
      <c r="B962" s="39"/>
      <c r="C962" s="40"/>
      <c r="D962" s="128"/>
      <c r="E962" s="80"/>
      <c r="F962" s="81"/>
      <c r="G962" s="234"/>
      <c r="H962" s="84"/>
      <c r="AQ962" s="31"/>
    </row>
    <row r="963" spans="2:43" ht="15">
      <c r="B963" s="39"/>
      <c r="C963" s="40"/>
      <c r="D963" s="128"/>
      <c r="E963" s="80"/>
      <c r="F963" s="81"/>
      <c r="G963" s="234"/>
      <c r="H963" s="84"/>
      <c r="AQ963" s="31"/>
    </row>
    <row r="964" spans="2:43" ht="15">
      <c r="B964" s="39"/>
      <c r="C964" s="40"/>
      <c r="D964" s="128"/>
      <c r="E964" s="80"/>
      <c r="F964" s="81"/>
      <c r="G964" s="234"/>
      <c r="H964" s="84"/>
      <c r="AQ964" s="31"/>
    </row>
    <row r="965" spans="2:43" ht="15">
      <c r="B965" s="39"/>
      <c r="C965" s="40"/>
      <c r="D965" s="128"/>
      <c r="E965" s="80"/>
      <c r="F965" s="81"/>
      <c r="G965" s="234"/>
      <c r="H965" s="84"/>
      <c r="AQ965" s="31"/>
    </row>
    <row r="966" spans="2:43" ht="15">
      <c r="B966" s="39"/>
      <c r="C966" s="40"/>
      <c r="D966" s="128"/>
      <c r="E966" s="80"/>
      <c r="F966" s="81"/>
      <c r="G966" s="234"/>
      <c r="H966" s="84"/>
      <c r="AQ966" s="31"/>
    </row>
    <row r="967" spans="2:43" ht="15">
      <c r="B967" s="39"/>
      <c r="C967" s="40"/>
      <c r="D967" s="128"/>
      <c r="E967" s="80"/>
      <c r="F967" s="81"/>
      <c r="G967" s="234"/>
      <c r="H967" s="84"/>
      <c r="AQ967" s="31"/>
    </row>
    <row r="968" spans="2:43" ht="15">
      <c r="B968" s="39"/>
      <c r="C968" s="40"/>
      <c r="D968" s="128"/>
      <c r="E968" s="80"/>
      <c r="F968" s="81"/>
      <c r="G968" s="234"/>
      <c r="H968" s="84"/>
      <c r="AQ968" s="31"/>
    </row>
    <row r="969" spans="2:43" ht="15">
      <c r="B969" s="39"/>
      <c r="C969" s="40"/>
      <c r="D969" s="128"/>
      <c r="E969" s="80"/>
      <c r="F969" s="81"/>
      <c r="G969" s="234"/>
      <c r="H969" s="84"/>
      <c r="AQ969" s="31"/>
    </row>
    <row r="970" spans="2:43" ht="15">
      <c r="B970" s="39"/>
      <c r="C970" s="40"/>
      <c r="D970" s="128"/>
      <c r="E970" s="80"/>
      <c r="F970" s="81"/>
      <c r="G970" s="234"/>
      <c r="H970" s="84"/>
      <c r="AQ970" s="31"/>
    </row>
    <row r="971" spans="2:43" ht="15">
      <c r="B971" s="39"/>
      <c r="C971" s="40"/>
      <c r="D971" s="128"/>
      <c r="E971" s="80"/>
      <c r="F971" s="81"/>
      <c r="G971" s="234"/>
      <c r="H971" s="84"/>
      <c r="AQ971" s="31"/>
    </row>
    <row r="972" spans="2:43" ht="15">
      <c r="B972" s="39"/>
      <c r="C972" s="40"/>
      <c r="D972" s="128"/>
      <c r="E972" s="80"/>
      <c r="F972" s="81"/>
      <c r="G972" s="234"/>
      <c r="H972" s="84"/>
      <c r="AQ972" s="31"/>
    </row>
    <row r="973" spans="2:43" ht="15">
      <c r="B973" s="39"/>
      <c r="C973" s="40"/>
      <c r="D973" s="128"/>
      <c r="E973" s="80"/>
      <c r="F973" s="81"/>
      <c r="G973" s="234"/>
      <c r="H973" s="84"/>
      <c r="AQ973" s="31"/>
    </row>
    <row r="974" spans="2:43" ht="15">
      <c r="B974" s="39"/>
      <c r="C974" s="40"/>
      <c r="D974" s="128"/>
      <c r="E974" s="80"/>
      <c r="F974" s="81"/>
      <c r="G974" s="234"/>
      <c r="H974" s="84"/>
      <c r="AQ974" s="31"/>
    </row>
    <row r="975" spans="2:43" ht="15">
      <c r="B975" s="39"/>
      <c r="C975" s="40"/>
      <c r="D975" s="128"/>
      <c r="E975" s="80"/>
      <c r="F975" s="81"/>
      <c r="G975" s="234"/>
      <c r="H975" s="84"/>
      <c r="AQ975" s="31"/>
    </row>
    <row r="976" spans="2:43" ht="15">
      <c r="B976" s="39"/>
      <c r="C976" s="40"/>
      <c r="D976" s="128"/>
      <c r="E976" s="80"/>
      <c r="F976" s="81"/>
      <c r="G976" s="234"/>
      <c r="H976" s="84"/>
      <c r="AQ976" s="31"/>
    </row>
    <row r="977" spans="2:43" ht="15">
      <c r="B977" s="39"/>
      <c r="C977" s="40"/>
      <c r="D977" s="128"/>
      <c r="E977" s="80"/>
      <c r="F977" s="81"/>
      <c r="G977" s="234"/>
      <c r="H977" s="84"/>
      <c r="AQ977" s="31"/>
    </row>
    <row r="978" spans="2:43" ht="15">
      <c r="B978" s="39"/>
      <c r="C978" s="40"/>
      <c r="D978" s="128"/>
      <c r="E978" s="80"/>
      <c r="F978" s="81"/>
      <c r="G978" s="234"/>
      <c r="H978" s="84"/>
      <c r="AQ978" s="31"/>
    </row>
    <row r="979" spans="2:43" ht="15">
      <c r="B979" s="39"/>
      <c r="C979" s="40"/>
      <c r="D979" s="128"/>
      <c r="E979" s="80"/>
      <c r="F979" s="81"/>
      <c r="G979" s="234"/>
      <c r="H979" s="84"/>
      <c r="AQ979" s="31"/>
    </row>
    <row r="980" spans="2:43" ht="15">
      <c r="B980" s="39"/>
      <c r="C980" s="40"/>
      <c r="D980" s="128"/>
      <c r="E980" s="80"/>
      <c r="F980" s="81"/>
      <c r="G980" s="234"/>
      <c r="H980" s="84"/>
      <c r="AQ980" s="31"/>
    </row>
    <row r="981" spans="2:43" ht="15">
      <c r="B981" s="39"/>
      <c r="C981" s="40"/>
      <c r="D981" s="128"/>
      <c r="E981" s="80"/>
      <c r="F981" s="81"/>
      <c r="G981" s="234"/>
      <c r="H981" s="84"/>
      <c r="AQ981" s="31"/>
    </row>
    <row r="982" spans="2:43" ht="15">
      <c r="B982" s="39"/>
      <c r="C982" s="40"/>
      <c r="D982" s="128"/>
      <c r="E982" s="80"/>
      <c r="F982" s="81"/>
      <c r="G982" s="234"/>
      <c r="H982" s="84"/>
      <c r="AQ982" s="31"/>
    </row>
    <row r="983" spans="2:43" ht="15">
      <c r="B983" s="39"/>
      <c r="C983" s="40"/>
      <c r="D983" s="128"/>
      <c r="E983" s="80"/>
      <c r="F983" s="81"/>
      <c r="G983" s="234"/>
      <c r="H983" s="84"/>
      <c r="AQ983" s="31"/>
    </row>
    <row r="984" spans="2:43" ht="15">
      <c r="B984" s="39"/>
      <c r="C984" s="40"/>
      <c r="D984" s="128"/>
      <c r="E984" s="80"/>
      <c r="F984" s="81"/>
      <c r="G984" s="234"/>
      <c r="H984" s="84"/>
      <c r="AQ984" s="31"/>
    </row>
    <row r="985" spans="2:43" ht="15">
      <c r="B985" s="39"/>
      <c r="C985" s="40"/>
      <c r="D985" s="128"/>
      <c r="E985" s="80"/>
      <c r="F985" s="81"/>
      <c r="G985" s="234"/>
      <c r="H985" s="84"/>
      <c r="AQ985" s="31"/>
    </row>
    <row r="986" spans="2:43" ht="15">
      <c r="B986" s="39"/>
      <c r="C986" s="40"/>
      <c r="D986" s="128"/>
      <c r="E986" s="80"/>
      <c r="F986" s="81"/>
      <c r="G986" s="234"/>
      <c r="H986" s="84"/>
      <c r="AQ986" s="31"/>
    </row>
    <row r="987" spans="2:43" ht="15">
      <c r="B987" s="39"/>
      <c r="C987" s="40"/>
      <c r="D987" s="128"/>
      <c r="E987" s="80"/>
      <c r="F987" s="81"/>
      <c r="G987" s="234"/>
      <c r="H987" s="84"/>
      <c r="AQ987" s="31"/>
    </row>
    <row r="988" spans="2:43" ht="15">
      <c r="B988" s="39"/>
      <c r="C988" s="40"/>
      <c r="D988" s="128"/>
      <c r="E988" s="80"/>
      <c r="F988" s="81"/>
      <c r="G988" s="234"/>
      <c r="H988" s="84"/>
      <c r="AQ988" s="31"/>
    </row>
    <row r="989" spans="2:43" ht="15">
      <c r="B989" s="39"/>
      <c r="C989" s="40"/>
      <c r="D989" s="128"/>
      <c r="E989" s="80"/>
      <c r="F989" s="81"/>
      <c r="G989" s="234"/>
      <c r="H989" s="84"/>
      <c r="AQ989" s="31"/>
    </row>
    <row r="990" spans="2:43" ht="15">
      <c r="B990" s="39"/>
      <c r="C990" s="40"/>
      <c r="D990" s="128"/>
      <c r="E990" s="80"/>
      <c r="F990" s="81"/>
      <c r="G990" s="234"/>
      <c r="H990" s="84"/>
      <c r="AQ990" s="31"/>
    </row>
    <row r="991" spans="2:43" ht="15">
      <c r="B991" s="39"/>
      <c r="C991" s="40"/>
      <c r="D991" s="128"/>
      <c r="E991" s="80"/>
      <c r="F991" s="81"/>
      <c r="G991" s="234"/>
      <c r="H991" s="84"/>
      <c r="AQ991" s="31"/>
    </row>
    <row r="992" spans="2:43" ht="15">
      <c r="B992" s="39"/>
      <c r="C992" s="40"/>
      <c r="D992" s="128"/>
      <c r="E992" s="80"/>
      <c r="F992" s="81"/>
      <c r="G992" s="234"/>
      <c r="H992" s="84"/>
      <c r="AQ992" s="31"/>
    </row>
    <row r="993" spans="2:43" ht="15">
      <c r="B993" s="39"/>
      <c r="C993" s="40"/>
      <c r="D993" s="128"/>
      <c r="E993" s="80"/>
      <c r="F993" s="81"/>
      <c r="G993" s="234"/>
      <c r="H993" s="84"/>
      <c r="AQ993" s="31"/>
    </row>
    <row r="994" spans="2:43" ht="15">
      <c r="B994" s="39"/>
      <c r="C994" s="40"/>
      <c r="D994" s="128"/>
      <c r="E994" s="80"/>
      <c r="F994" s="81"/>
      <c r="G994" s="234"/>
      <c r="H994" s="84"/>
      <c r="AQ994" s="31"/>
    </row>
    <row r="995" spans="2:43" ht="15">
      <c r="B995" s="39"/>
      <c r="C995" s="40"/>
      <c r="D995" s="128"/>
      <c r="E995" s="80"/>
      <c r="F995" s="81"/>
      <c r="G995" s="234"/>
      <c r="H995" s="84"/>
      <c r="AQ995" s="31"/>
    </row>
    <row r="996" spans="2:43" ht="15">
      <c r="B996" s="39"/>
      <c r="C996" s="40"/>
      <c r="D996" s="128"/>
      <c r="E996" s="80"/>
      <c r="F996" s="81"/>
      <c r="G996" s="234"/>
      <c r="H996" s="84"/>
      <c r="AQ996" s="31"/>
    </row>
    <row r="997" spans="2:43" ht="15">
      <c r="B997" s="39"/>
      <c r="C997" s="40"/>
      <c r="D997" s="128"/>
      <c r="E997" s="80"/>
      <c r="F997" s="81"/>
      <c r="G997" s="234"/>
      <c r="H997" s="84"/>
      <c r="AQ997" s="31"/>
    </row>
    <row r="998" spans="2:43" ht="15">
      <c r="B998" s="39"/>
      <c r="C998" s="40"/>
      <c r="D998" s="128"/>
      <c r="E998" s="80"/>
      <c r="F998" s="81"/>
      <c r="G998" s="234"/>
      <c r="H998" s="84"/>
      <c r="AQ998" s="31"/>
    </row>
    <row r="999" spans="2:43" ht="15">
      <c r="B999" s="39"/>
      <c r="C999" s="40"/>
      <c r="D999" s="128"/>
      <c r="E999" s="80"/>
      <c r="F999" s="81"/>
      <c r="G999" s="234"/>
      <c r="H999" s="84"/>
      <c r="AQ999" s="31"/>
    </row>
    <row r="1000" spans="2:43" ht="15">
      <c r="B1000" s="39"/>
      <c r="C1000" s="40"/>
      <c r="D1000" s="128"/>
      <c r="E1000" s="80"/>
      <c r="F1000" s="81"/>
      <c r="G1000" s="234"/>
      <c r="H1000" s="84"/>
      <c r="AQ1000" s="31"/>
    </row>
    <row r="1001" spans="2:43" ht="15">
      <c r="B1001" s="39"/>
      <c r="C1001" s="40"/>
      <c r="D1001" s="128"/>
      <c r="E1001" s="80"/>
      <c r="F1001" s="81"/>
      <c r="G1001" s="234"/>
      <c r="H1001" s="84"/>
      <c r="AQ1001" s="31"/>
    </row>
    <row r="1002" spans="2:43" ht="15">
      <c r="B1002" s="39"/>
      <c r="C1002" s="40"/>
      <c r="D1002" s="128"/>
      <c r="E1002" s="80"/>
      <c r="F1002" s="81"/>
      <c r="G1002" s="234"/>
      <c r="H1002" s="84"/>
      <c r="AQ1002" s="31"/>
    </row>
    <row r="1003" spans="2:43" ht="15">
      <c r="B1003" s="39"/>
      <c r="C1003" s="40"/>
      <c r="D1003" s="128"/>
      <c r="E1003" s="80"/>
      <c r="F1003" s="81"/>
      <c r="G1003" s="234"/>
      <c r="H1003" s="84"/>
      <c r="AQ1003" s="31"/>
    </row>
    <row r="1004" spans="2:43" ht="15">
      <c r="B1004" s="39"/>
      <c r="C1004" s="40"/>
      <c r="D1004" s="128"/>
      <c r="E1004" s="80"/>
      <c r="F1004" s="81"/>
      <c r="G1004" s="234"/>
      <c r="H1004" s="84"/>
      <c r="AQ1004" s="31"/>
    </row>
    <row r="1005" spans="2:43" ht="15">
      <c r="B1005" s="39"/>
      <c r="C1005" s="40"/>
      <c r="D1005" s="128"/>
      <c r="E1005" s="80"/>
      <c r="F1005" s="81"/>
      <c r="G1005" s="234"/>
      <c r="H1005" s="84"/>
      <c r="AQ1005" s="31"/>
    </row>
    <row r="1006" spans="2:43" ht="15">
      <c r="B1006" s="39"/>
      <c r="C1006" s="40"/>
      <c r="D1006" s="128"/>
      <c r="E1006" s="80"/>
      <c r="F1006" s="81"/>
      <c r="G1006" s="234"/>
      <c r="H1006" s="84"/>
      <c r="AQ1006" s="31"/>
    </row>
    <row r="1007" spans="2:43" ht="15">
      <c r="B1007" s="39"/>
      <c r="C1007" s="40"/>
      <c r="D1007" s="128"/>
      <c r="E1007" s="80"/>
      <c r="F1007" s="81"/>
      <c r="G1007" s="234"/>
      <c r="H1007" s="84"/>
      <c r="AQ1007" s="31"/>
    </row>
    <row r="1008" spans="2:43" ht="15">
      <c r="B1008" s="39"/>
      <c r="C1008" s="40"/>
      <c r="D1008" s="128"/>
      <c r="E1008" s="80"/>
      <c r="F1008" s="81"/>
      <c r="G1008" s="234"/>
      <c r="H1008" s="84"/>
      <c r="AQ1008" s="31"/>
    </row>
    <row r="1009" spans="2:43" ht="15">
      <c r="B1009" s="39"/>
      <c r="C1009" s="40"/>
      <c r="D1009" s="128"/>
      <c r="E1009" s="80"/>
      <c r="F1009" s="81"/>
      <c r="G1009" s="234"/>
      <c r="H1009" s="84"/>
      <c r="AQ1009" s="31"/>
    </row>
    <row r="1010" spans="2:43" ht="15">
      <c r="B1010" s="39"/>
      <c r="C1010" s="40"/>
      <c r="D1010" s="128"/>
      <c r="E1010" s="80"/>
      <c r="F1010" s="81"/>
      <c r="G1010" s="234"/>
      <c r="H1010" s="84"/>
      <c r="AQ1010" s="31"/>
    </row>
    <row r="1011" spans="2:43" ht="15">
      <c r="B1011" s="39"/>
      <c r="C1011" s="40"/>
      <c r="D1011" s="128"/>
      <c r="E1011" s="80"/>
      <c r="F1011" s="81"/>
      <c r="G1011" s="234"/>
      <c r="H1011" s="84"/>
      <c r="AQ1011" s="31"/>
    </row>
    <row r="1012" spans="2:43" ht="15">
      <c r="B1012" s="39"/>
      <c r="C1012" s="40"/>
      <c r="D1012" s="128"/>
      <c r="E1012" s="80"/>
      <c r="F1012" s="81"/>
      <c r="G1012" s="234"/>
      <c r="H1012" s="84"/>
      <c r="AQ1012" s="31"/>
    </row>
    <row r="1013" spans="2:43" ht="15">
      <c r="B1013" s="39"/>
      <c r="C1013" s="40"/>
      <c r="D1013" s="128"/>
      <c r="E1013" s="80"/>
      <c r="F1013" s="81"/>
      <c r="G1013" s="234"/>
      <c r="H1013" s="84"/>
      <c r="AQ1013" s="31"/>
    </row>
    <row r="1014" spans="2:43" ht="15">
      <c r="B1014" s="39"/>
      <c r="C1014" s="40"/>
      <c r="D1014" s="128"/>
      <c r="E1014" s="80"/>
      <c r="F1014" s="81"/>
      <c r="G1014" s="234"/>
      <c r="H1014" s="84"/>
      <c r="AQ1014" s="31"/>
    </row>
    <row r="1015" spans="2:43" ht="15">
      <c r="B1015" s="39"/>
      <c r="C1015" s="40"/>
      <c r="D1015" s="128"/>
      <c r="E1015" s="80"/>
      <c r="F1015" s="81"/>
      <c r="G1015" s="234"/>
      <c r="H1015" s="84"/>
      <c r="AQ1015" s="31"/>
    </row>
    <row r="1016" spans="2:43" ht="15">
      <c r="B1016" s="39"/>
      <c r="C1016" s="40"/>
      <c r="D1016" s="128"/>
      <c r="E1016" s="80"/>
      <c r="F1016" s="81"/>
      <c r="G1016" s="234"/>
      <c r="H1016" s="84"/>
      <c r="AQ1016" s="31"/>
    </row>
    <row r="1017" spans="2:43" ht="15">
      <c r="B1017" s="39"/>
      <c r="C1017" s="40"/>
      <c r="D1017" s="128"/>
      <c r="E1017" s="80"/>
      <c r="F1017" s="81"/>
      <c r="G1017" s="234"/>
      <c r="H1017" s="84"/>
      <c r="AQ1017" s="31"/>
    </row>
    <row r="1018" spans="2:43" ht="15">
      <c r="B1018" s="39"/>
      <c r="C1018" s="40"/>
      <c r="D1018" s="128"/>
      <c r="E1018" s="80"/>
      <c r="F1018" s="81"/>
      <c r="G1018" s="234"/>
      <c r="H1018" s="84"/>
      <c r="AQ1018" s="31"/>
    </row>
    <row r="1019" spans="1:10" ht="24">
      <c r="A1019" s="20" t="s">
        <v>915</v>
      </c>
      <c r="D1019" s="167"/>
      <c r="E1019" s="244"/>
      <c r="F1019" s="245"/>
      <c r="G1019" s="158"/>
      <c r="H1019" s="163"/>
      <c r="J1019" s="159"/>
    </row>
    <row r="1020" spans="1:10" ht="24">
      <c r="A1020" s="20" t="s">
        <v>916</v>
      </c>
      <c r="E1020" s="246"/>
      <c r="G1020" s="229"/>
      <c r="H1020" s="152"/>
      <c r="J1020" s="159"/>
    </row>
    <row r="1021" spans="1:10" ht="24">
      <c r="A1021" s="20" t="s">
        <v>917</v>
      </c>
      <c r="J1021" s="159"/>
    </row>
    <row r="1022" spans="1:10" ht="24">
      <c r="A1022" s="20" t="s">
        <v>918</v>
      </c>
      <c r="J1022" s="159"/>
    </row>
    <row r="1023" spans="1:10" ht="24">
      <c r="A1023" s="20" t="s">
        <v>919</v>
      </c>
      <c r="J1023" s="159"/>
    </row>
    <row r="1024" ht="15">
      <c r="J1024" s="159"/>
    </row>
    <row r="1025" ht="15">
      <c r="J1025" s="159"/>
    </row>
    <row r="1026" ht="15">
      <c r="J1026" s="159"/>
    </row>
    <row r="1027" ht="15">
      <c r="J1027" s="159"/>
    </row>
    <row r="1028" ht="15">
      <c r="J1028" s="159"/>
    </row>
    <row r="1029" ht="15">
      <c r="J1029" s="159"/>
    </row>
    <row r="1030" ht="15">
      <c r="J1030" s="159"/>
    </row>
    <row r="1031" ht="15">
      <c r="J1031" s="159"/>
    </row>
    <row r="1032" ht="15">
      <c r="J1032" s="159"/>
    </row>
    <row r="1033" ht="15">
      <c r="J1033" s="159"/>
    </row>
    <row r="1034" ht="15">
      <c r="J1034" s="159"/>
    </row>
    <row r="1035" ht="15">
      <c r="J1035" s="159"/>
    </row>
    <row r="1036" ht="15">
      <c r="J1036" s="159"/>
    </row>
    <row r="1037" ht="15">
      <c r="J1037" s="159"/>
    </row>
    <row r="1038" ht="15">
      <c r="J1038" s="159"/>
    </row>
    <row r="1039" ht="15">
      <c r="J1039" s="159"/>
    </row>
    <row r="1040" ht="15">
      <c r="J1040" s="159"/>
    </row>
    <row r="1041" ht="15">
      <c r="J1041" s="159"/>
    </row>
    <row r="1042" ht="15">
      <c r="J1042" s="159"/>
    </row>
    <row r="1043" ht="15">
      <c r="J1043" s="159"/>
    </row>
    <row r="1044" ht="15">
      <c r="J1044" s="159"/>
    </row>
    <row r="1045" ht="15">
      <c r="J1045" s="159"/>
    </row>
    <row r="1046" ht="15">
      <c r="J1046" s="159"/>
    </row>
    <row r="1047" ht="15">
      <c r="J1047" s="159"/>
    </row>
    <row r="1048" ht="15">
      <c r="J1048" s="159"/>
    </row>
    <row r="1049" ht="15">
      <c r="J1049" s="159"/>
    </row>
    <row r="1050" ht="15">
      <c r="J1050" s="159"/>
    </row>
    <row r="1051" ht="15">
      <c r="J1051" s="159"/>
    </row>
    <row r="1052" ht="15">
      <c r="J1052" s="159"/>
    </row>
    <row r="1053" ht="15">
      <c r="J1053" s="159"/>
    </row>
    <row r="1054" ht="15">
      <c r="J1054" s="159"/>
    </row>
    <row r="1055" ht="15">
      <c r="J1055" s="159"/>
    </row>
    <row r="1056" ht="15">
      <c r="J1056" s="159"/>
    </row>
    <row r="1057" ht="15">
      <c r="J1057" s="159"/>
    </row>
    <row r="1058" ht="15">
      <c r="J1058" s="159"/>
    </row>
    <row r="1059" ht="15">
      <c r="J1059" s="159"/>
    </row>
    <row r="1060" ht="15">
      <c r="J1060" s="159"/>
    </row>
    <row r="1061" ht="15">
      <c r="J1061" s="159"/>
    </row>
    <row r="1062" ht="15">
      <c r="J1062" s="159"/>
    </row>
    <row r="1063" ht="15">
      <c r="J1063" s="159"/>
    </row>
    <row r="1064" ht="15">
      <c r="J1064" s="159"/>
    </row>
    <row r="1065" ht="15">
      <c r="J1065" s="159"/>
    </row>
    <row r="1066" ht="15">
      <c r="J1066" s="159"/>
    </row>
    <row r="1067" ht="15">
      <c r="J1067" s="159"/>
    </row>
    <row r="1068" ht="15">
      <c r="J1068" s="159"/>
    </row>
    <row r="1069" ht="15">
      <c r="J1069" s="159"/>
    </row>
    <row r="1070" ht="15">
      <c r="J1070" s="159"/>
    </row>
    <row r="1071" ht="15">
      <c r="J1071" s="159"/>
    </row>
    <row r="1072" ht="15">
      <c r="J1072" s="159"/>
    </row>
    <row r="1073" ht="15">
      <c r="J1073" s="159"/>
    </row>
    <row r="1074" ht="15">
      <c r="J1074" s="159"/>
    </row>
    <row r="1075" ht="15">
      <c r="J1075" s="159"/>
    </row>
    <row r="1076" ht="15">
      <c r="J1076" s="159"/>
    </row>
    <row r="1077" ht="15">
      <c r="J1077" s="159"/>
    </row>
    <row r="1078" ht="15">
      <c r="J1078" s="159"/>
    </row>
    <row r="1079" ht="15">
      <c r="J1079" s="159"/>
    </row>
    <row r="1080" ht="15">
      <c r="J1080" s="159"/>
    </row>
    <row r="1081" ht="15">
      <c r="J1081" s="159"/>
    </row>
    <row r="1082" ht="15">
      <c r="J1082" s="159"/>
    </row>
    <row r="1083" ht="15">
      <c r="J1083" s="159"/>
    </row>
    <row r="1084" ht="15">
      <c r="J1084" s="159"/>
    </row>
    <row r="1085" ht="15">
      <c r="J1085" s="159"/>
    </row>
    <row r="1086" ht="15">
      <c r="J1086" s="159"/>
    </row>
    <row r="1087" ht="15">
      <c r="J1087" s="159"/>
    </row>
    <row r="1088" ht="15">
      <c r="J1088" s="159"/>
    </row>
    <row r="1089" ht="15">
      <c r="J1089" s="159"/>
    </row>
    <row r="1090" ht="15">
      <c r="J1090" s="159"/>
    </row>
    <row r="1091" ht="15">
      <c r="J1091" s="159"/>
    </row>
    <row r="1092" ht="15">
      <c r="J1092" s="159"/>
    </row>
    <row r="1093" ht="15">
      <c r="J1093" s="159"/>
    </row>
    <row r="1094" ht="15">
      <c r="J1094" s="159"/>
    </row>
    <row r="1095" ht="15">
      <c r="J1095" s="159"/>
    </row>
    <row r="1096" ht="15">
      <c r="J1096" s="159"/>
    </row>
    <row r="1097" ht="15">
      <c r="J1097" s="159"/>
    </row>
    <row r="1098" ht="15">
      <c r="J1098" s="159"/>
    </row>
    <row r="1099" ht="15">
      <c r="J1099" s="159"/>
    </row>
    <row r="1100" ht="15">
      <c r="J1100" s="159"/>
    </row>
    <row r="1101" ht="15">
      <c r="J1101" s="159"/>
    </row>
    <row r="1102" ht="15">
      <c r="J1102" s="159"/>
    </row>
    <row r="1103" ht="15">
      <c r="J1103" s="159"/>
    </row>
    <row r="1104" ht="15">
      <c r="J1104" s="159"/>
    </row>
    <row r="1105" ht="15">
      <c r="J1105" s="159"/>
    </row>
    <row r="1106" ht="15">
      <c r="J1106" s="159"/>
    </row>
    <row r="1107" ht="15">
      <c r="J1107" s="159"/>
    </row>
    <row r="1108" ht="15">
      <c r="J1108" s="159"/>
    </row>
    <row r="1109" ht="15">
      <c r="J1109" s="159"/>
    </row>
    <row r="1110" ht="15">
      <c r="J1110" s="159"/>
    </row>
    <row r="1111" ht="15">
      <c r="J1111" s="159"/>
    </row>
    <row r="1112" ht="15">
      <c r="J1112" s="159"/>
    </row>
    <row r="1113" ht="15">
      <c r="J1113" s="159"/>
    </row>
    <row r="1114" ht="15">
      <c r="J1114" s="159"/>
    </row>
    <row r="1115" ht="15">
      <c r="J1115" s="159"/>
    </row>
    <row r="1116" ht="15">
      <c r="J1116" s="159"/>
    </row>
    <row r="1117" ht="15">
      <c r="J1117" s="159"/>
    </row>
    <row r="1118" ht="15">
      <c r="J1118" s="159"/>
    </row>
    <row r="1119" ht="15">
      <c r="J1119" s="159"/>
    </row>
    <row r="1120" ht="15">
      <c r="J1120" s="159"/>
    </row>
    <row r="1121" ht="15">
      <c r="J1121" s="159"/>
    </row>
    <row r="1122" ht="15">
      <c r="J1122" s="159"/>
    </row>
    <row r="1123" ht="15">
      <c r="J1123" s="159"/>
    </row>
    <row r="1124" ht="15">
      <c r="J1124" s="159"/>
    </row>
    <row r="1125" ht="15">
      <c r="J1125" s="159"/>
    </row>
    <row r="1126" ht="15">
      <c r="J1126" s="159"/>
    </row>
    <row r="1127" ht="15">
      <c r="J1127" s="159"/>
    </row>
    <row r="1128" ht="15">
      <c r="J1128" s="159"/>
    </row>
    <row r="1129" ht="15">
      <c r="J1129" s="159"/>
    </row>
    <row r="1130" ht="15">
      <c r="J1130" s="159"/>
    </row>
    <row r="1131" ht="15">
      <c r="J1131" s="159"/>
    </row>
    <row r="1132" ht="15">
      <c r="J1132" s="159"/>
    </row>
    <row r="1133" ht="15">
      <c r="J1133" s="159"/>
    </row>
    <row r="1134" ht="15">
      <c r="J1134" s="159"/>
    </row>
    <row r="1135" ht="15">
      <c r="J1135" s="159"/>
    </row>
    <row r="1136" ht="15">
      <c r="J1136" s="159"/>
    </row>
    <row r="1137" ht="15">
      <c r="J1137" s="159"/>
    </row>
    <row r="1138" ht="15">
      <c r="J1138" s="159"/>
    </row>
    <row r="1139" ht="15">
      <c r="J1139" s="159"/>
    </row>
    <row r="1140" ht="15">
      <c r="J1140" s="159"/>
    </row>
    <row r="1141" ht="15">
      <c r="J1141" s="159"/>
    </row>
    <row r="1142" ht="15">
      <c r="J1142" s="159"/>
    </row>
    <row r="1143" ht="15">
      <c r="J1143" s="159"/>
    </row>
    <row r="1144" ht="15">
      <c r="J1144" s="159"/>
    </row>
    <row r="1145" ht="15">
      <c r="J1145" s="159"/>
    </row>
    <row r="1146" ht="15">
      <c r="J1146" s="159"/>
    </row>
    <row r="1147" ht="15">
      <c r="J1147" s="159"/>
    </row>
    <row r="1148" ht="15">
      <c r="J1148" s="159"/>
    </row>
    <row r="1149" ht="15">
      <c r="J1149" s="159"/>
    </row>
    <row r="1150" ht="15">
      <c r="J1150" s="159"/>
    </row>
    <row r="1151" ht="15">
      <c r="J1151" s="159"/>
    </row>
    <row r="1152" ht="15">
      <c r="J1152" s="159"/>
    </row>
    <row r="1153" ht="15">
      <c r="J1153" s="159"/>
    </row>
    <row r="1154" ht="15">
      <c r="J1154" s="159"/>
    </row>
    <row r="1155" ht="15">
      <c r="J1155" s="159"/>
    </row>
    <row r="1156" ht="15">
      <c r="J1156" s="159"/>
    </row>
    <row r="1157" ht="15">
      <c r="J1157" s="159"/>
    </row>
    <row r="1158" ht="15">
      <c r="J1158" s="159"/>
    </row>
    <row r="1159" ht="15">
      <c r="J1159" s="159"/>
    </row>
    <row r="1160" ht="15">
      <c r="J1160" s="159"/>
    </row>
    <row r="1161" ht="15">
      <c r="J1161" s="159"/>
    </row>
    <row r="1162" ht="15">
      <c r="J1162" s="159"/>
    </row>
    <row r="1163" ht="15">
      <c r="J1163" s="159"/>
    </row>
    <row r="1164" ht="15">
      <c r="J1164" s="159"/>
    </row>
    <row r="1165" ht="15">
      <c r="J1165" s="159"/>
    </row>
    <row r="1166" ht="15">
      <c r="J1166" s="159"/>
    </row>
    <row r="1167" ht="15">
      <c r="J1167" s="159"/>
    </row>
    <row r="1168" ht="15">
      <c r="J1168" s="159"/>
    </row>
    <row r="1169" ht="15">
      <c r="J1169" s="159"/>
    </row>
    <row r="1170" ht="15">
      <c r="J1170" s="159"/>
    </row>
    <row r="1171" ht="15">
      <c r="J1171" s="159"/>
    </row>
    <row r="1172" ht="15">
      <c r="J1172" s="159"/>
    </row>
    <row r="1173" ht="15">
      <c r="J1173" s="159"/>
    </row>
    <row r="1174" ht="15">
      <c r="J1174" s="159"/>
    </row>
    <row r="1175" ht="15">
      <c r="J1175" s="159"/>
    </row>
    <row r="1176" ht="15">
      <c r="J1176" s="159"/>
    </row>
    <row r="1177" ht="15">
      <c r="J1177" s="159"/>
    </row>
    <row r="1178" ht="15">
      <c r="J1178" s="159"/>
    </row>
    <row r="1179" ht="15">
      <c r="J1179" s="159"/>
    </row>
    <row r="1180" ht="15">
      <c r="J1180" s="159"/>
    </row>
    <row r="1181" ht="15">
      <c r="J1181" s="159"/>
    </row>
    <row r="1182" ht="15">
      <c r="J1182" s="159"/>
    </row>
    <row r="1183" ht="15">
      <c r="J1183" s="159"/>
    </row>
    <row r="1184" ht="15">
      <c r="J1184" s="159"/>
    </row>
    <row r="1185" ht="15">
      <c r="J1185" s="159"/>
    </row>
    <row r="1186" ht="15">
      <c r="J1186" s="159"/>
    </row>
    <row r="1187" ht="15">
      <c r="J1187" s="159"/>
    </row>
    <row r="1188" ht="15">
      <c r="J1188" s="159"/>
    </row>
    <row r="1189" ht="15">
      <c r="J1189" s="159"/>
    </row>
    <row r="1190" ht="15">
      <c r="J1190" s="159"/>
    </row>
  </sheetData>
  <sheetProtection algorithmName="SHA-512" hashValue="4FwzEy5BWOLgmXhp8h+bfhlSfgU14FAQ9vI4Lfm9nm5VOXhXTWY0V2GhtWrdRiL/yravGoRlG9f2HWdDC6kXFg==" saltValue="IlNxKhV2ZMS+q3PkKM2tBg==" spinCount="100000" sheet="1" objects="1" scenarios="1"/>
  <mergeCells count="1">
    <mergeCell ref="F1:I7"/>
  </mergeCells>
  <printOptions gridLines="1"/>
  <pageMargins left="0.4724409448818898" right="0.4724409448818898" top="0.7874015748031497" bottom="0.7874015748031497" header="0.31496062992125984" footer="0.31496062992125984"/>
  <pageSetup horizontalDpi="600" verticalDpi="600" orientation="portrait" paperSize="8" r:id="rId1"/>
  <headerFooter>
    <oddFooter>&amp;CStránka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6890B3-F248-457E-B7B6-0C2139D8DA73}">
  <dimension ref="A1:J379"/>
  <sheetViews>
    <sheetView workbookViewId="0" topLeftCell="A108">
      <selection activeCell="E320" sqref="E320"/>
    </sheetView>
  </sheetViews>
  <sheetFormatPr defaultColWidth="9.140625" defaultRowHeight="15"/>
  <cols>
    <col min="1" max="1" width="10.00390625" style="1" customWidth="1"/>
    <col min="2" max="2" width="61.8515625" style="3" customWidth="1"/>
    <col min="3" max="3" width="12.57421875" style="1" customWidth="1"/>
    <col min="4" max="16384" width="9.140625" style="1" customWidth="1"/>
  </cols>
  <sheetData>
    <row r="1" spans="1:3" ht="15">
      <c r="A1" s="8"/>
      <c r="B1" s="8"/>
      <c r="C1" s="8"/>
    </row>
    <row r="2" spans="1:3" ht="15">
      <c r="A2" s="8"/>
      <c r="B2" s="8"/>
      <c r="C2" s="8"/>
    </row>
    <row r="3" spans="1:4" ht="15.6">
      <c r="A3" s="8"/>
      <c r="B3" s="8"/>
      <c r="C3" s="8"/>
      <c r="D3" s="2"/>
    </row>
    <row r="4" spans="1:3" ht="15">
      <c r="A4" s="8"/>
      <c r="B4" s="6"/>
      <c r="C4" s="6"/>
    </row>
    <row r="5" spans="1:3" ht="15">
      <c r="A5" s="8"/>
      <c r="B5" s="6"/>
      <c r="C5" s="6"/>
    </row>
    <row r="6" spans="1:3" ht="15">
      <c r="A6" s="8"/>
      <c r="B6" s="8"/>
      <c r="C6" s="8"/>
    </row>
    <row r="7" spans="1:3" ht="15">
      <c r="A7" s="8"/>
      <c r="B7" s="8"/>
      <c r="C7" s="8"/>
    </row>
    <row r="8" spans="1:3" ht="15">
      <c r="A8" s="8"/>
      <c r="B8" s="8"/>
      <c r="C8" s="8"/>
    </row>
    <row r="9" spans="1:3" ht="15">
      <c r="A9" s="8"/>
      <c r="B9" s="8"/>
      <c r="C9" s="8"/>
    </row>
    <row r="10" spans="1:3" ht="21">
      <c r="A10" s="9"/>
      <c r="B10" s="19" t="s">
        <v>1430</v>
      </c>
      <c r="C10" s="9"/>
    </row>
    <row r="11" spans="1:3" ht="15">
      <c r="A11" s="8"/>
      <c r="B11" s="11"/>
      <c r="C11" s="8"/>
    </row>
    <row r="12" spans="1:10" ht="15">
      <c r="A12" s="8"/>
      <c r="B12" s="8"/>
      <c r="C12" s="8"/>
      <c r="D12" s="6"/>
      <c r="E12" s="6"/>
      <c r="F12" s="6"/>
      <c r="G12" s="6"/>
      <c r="H12" s="6"/>
      <c r="I12" s="6"/>
      <c r="J12" s="6"/>
    </row>
    <row r="13" spans="1:3" ht="15">
      <c r="A13" s="8"/>
      <c r="B13" s="11" t="s">
        <v>921</v>
      </c>
      <c r="C13" s="8"/>
    </row>
    <row r="14" spans="1:3" ht="13.8">
      <c r="A14" s="8"/>
      <c r="B14" s="12" t="s">
        <v>922</v>
      </c>
      <c r="C14" s="8"/>
    </row>
    <row r="15" spans="1:3" ht="15">
      <c r="A15" s="8"/>
      <c r="B15" s="8"/>
      <c r="C15" s="8"/>
    </row>
    <row r="16" spans="1:3" ht="13.8">
      <c r="A16" s="8"/>
      <c r="B16" s="12"/>
      <c r="C16" s="8"/>
    </row>
    <row r="17" spans="1:3" ht="15">
      <c r="A17" s="8"/>
      <c r="B17" s="5" t="s">
        <v>923</v>
      </c>
      <c r="C17" s="8"/>
    </row>
    <row r="18" spans="1:3" ht="26.4">
      <c r="A18" s="8"/>
      <c r="B18" s="18" t="s">
        <v>1</v>
      </c>
      <c r="C18" s="8"/>
    </row>
    <row r="19" spans="1:3" ht="15.6">
      <c r="A19" s="8"/>
      <c r="B19" s="2"/>
      <c r="C19" s="8"/>
    </row>
    <row r="20" spans="1:3" ht="15">
      <c r="A20" s="8"/>
      <c r="B20" s="11" t="s">
        <v>924</v>
      </c>
      <c r="C20" s="8"/>
    </row>
    <row r="21" spans="1:3" ht="15">
      <c r="A21" s="8"/>
      <c r="B21" s="14" t="s">
        <v>925</v>
      </c>
      <c r="C21" s="8"/>
    </row>
    <row r="22" spans="1:3" ht="15">
      <c r="A22" s="8"/>
      <c r="B22" s="14" t="s">
        <v>926</v>
      </c>
      <c r="C22" s="8"/>
    </row>
    <row r="23" spans="1:3" ht="15">
      <c r="A23" s="8"/>
      <c r="B23" s="5"/>
      <c r="C23" s="8"/>
    </row>
    <row r="24" spans="1:3" ht="15">
      <c r="A24" s="8"/>
      <c r="B24" s="5"/>
      <c r="C24" s="8"/>
    </row>
    <row r="25" spans="1:3" ht="15">
      <c r="A25" s="8"/>
      <c r="B25" s="5" t="s">
        <v>927</v>
      </c>
      <c r="C25" s="8"/>
    </row>
    <row r="26" spans="1:3" ht="15">
      <c r="A26" s="8"/>
      <c r="B26" s="13" t="s">
        <v>928</v>
      </c>
      <c r="C26" s="8"/>
    </row>
    <row r="27" spans="1:3" ht="13.8">
      <c r="A27" s="15"/>
      <c r="B27" s="13" t="s">
        <v>926</v>
      </c>
      <c r="C27" s="15"/>
    </row>
    <row r="28" spans="1:3" ht="15">
      <c r="A28" s="11"/>
      <c r="B28" s="11"/>
      <c r="C28" s="11"/>
    </row>
    <row r="29" spans="1:3" ht="15">
      <c r="A29" s="8"/>
      <c r="B29" s="5"/>
      <c r="C29" s="8"/>
    </row>
    <row r="30" spans="1:3" ht="15">
      <c r="A30" s="8"/>
      <c r="B30" s="11" t="s">
        <v>929</v>
      </c>
      <c r="C30" s="8"/>
    </row>
    <row r="31" spans="1:3" ht="15">
      <c r="A31" s="8"/>
      <c r="B31" s="7" t="s">
        <v>930</v>
      </c>
      <c r="C31" s="8"/>
    </row>
    <row r="32" spans="1:3" ht="15">
      <c r="A32" s="8"/>
      <c r="B32" s="5" t="s">
        <v>931</v>
      </c>
      <c r="C32" s="8"/>
    </row>
    <row r="33" spans="1:3" ht="15">
      <c r="A33" s="8"/>
      <c r="B33" s="11" t="s">
        <v>932</v>
      </c>
      <c r="C33" s="8"/>
    </row>
    <row r="34" spans="1:3" ht="15">
      <c r="A34" s="8"/>
      <c r="B34" s="11" t="s">
        <v>933</v>
      </c>
      <c r="C34" s="8"/>
    </row>
    <row r="35" spans="1:3" ht="15">
      <c r="A35" s="8"/>
      <c r="B35" s="11"/>
      <c r="C35" s="8"/>
    </row>
    <row r="36" spans="1:3" ht="15">
      <c r="A36" s="8"/>
      <c r="B36" s="11"/>
      <c r="C36" s="8"/>
    </row>
    <row r="37" spans="1:3" ht="15">
      <c r="A37" s="8"/>
      <c r="B37" s="8"/>
      <c r="C37" s="8"/>
    </row>
    <row r="38" spans="1:3" ht="15">
      <c r="A38" s="8"/>
      <c r="B38" s="8"/>
      <c r="C38" s="8"/>
    </row>
    <row r="39" spans="1:3" ht="15">
      <c r="A39" s="8"/>
      <c r="B39" s="8"/>
      <c r="C39" s="8"/>
    </row>
    <row r="40" spans="1:3" ht="15">
      <c r="A40" s="8"/>
      <c r="B40" s="8"/>
      <c r="C40" s="8"/>
    </row>
    <row r="41" spans="1:3" ht="15">
      <c r="A41" s="8"/>
      <c r="B41" s="11" t="s">
        <v>934</v>
      </c>
      <c r="C41" s="8"/>
    </row>
    <row r="42" spans="1:3" ht="12.75" customHeight="1">
      <c r="A42" s="8"/>
      <c r="B42" s="5" t="s">
        <v>935</v>
      </c>
      <c r="C42" s="8"/>
    </row>
    <row r="43" spans="1:3" ht="12.75" customHeight="1">
      <c r="A43" s="8"/>
      <c r="B43" s="11" t="s">
        <v>936</v>
      </c>
      <c r="C43" s="8"/>
    </row>
    <row r="44" spans="1:3" ht="15">
      <c r="A44" s="8"/>
      <c r="B44" s="11" t="s">
        <v>937</v>
      </c>
      <c r="C44" s="8"/>
    </row>
    <row r="45" spans="1:3" ht="15">
      <c r="A45" s="8"/>
      <c r="B45" s="11" t="s">
        <v>938</v>
      </c>
      <c r="C45" s="8"/>
    </row>
    <row r="46" spans="1:4" ht="15.6">
      <c r="A46" s="8"/>
      <c r="B46" s="11" t="s">
        <v>939</v>
      </c>
      <c r="C46" s="8"/>
      <c r="D46" s="2"/>
    </row>
    <row r="47" spans="1:3" ht="15">
      <c r="A47" s="8"/>
      <c r="B47" s="11" t="s">
        <v>940</v>
      </c>
      <c r="C47" s="8"/>
    </row>
    <row r="48" spans="1:3" ht="15">
      <c r="A48" s="8"/>
      <c r="B48" s="11"/>
      <c r="C48" s="8"/>
    </row>
    <row r="49" spans="1:3" ht="17.4">
      <c r="A49" s="8"/>
      <c r="B49" s="11"/>
      <c r="C49" s="16">
        <v>1</v>
      </c>
    </row>
    <row r="50" spans="1:3" ht="17.4">
      <c r="A50" s="8"/>
      <c r="B50" s="8"/>
      <c r="C50" s="16"/>
    </row>
    <row r="51" spans="1:3" ht="15">
      <c r="A51" s="17"/>
      <c r="B51" s="17"/>
      <c r="C51" s="17"/>
    </row>
    <row r="52" spans="1:3" ht="15">
      <c r="A52" s="8"/>
      <c r="B52" s="8"/>
      <c r="C52" s="8"/>
    </row>
    <row r="53" spans="1:3" ht="15">
      <c r="A53" s="8"/>
      <c r="B53" s="8"/>
      <c r="C53" s="8"/>
    </row>
    <row r="54" spans="1:3" ht="15">
      <c r="A54" s="8"/>
      <c r="B54" s="8"/>
      <c r="C54" s="8"/>
    </row>
    <row r="55" spans="1:3" ht="15">
      <c r="A55" s="8"/>
      <c r="B55" s="8"/>
      <c r="C55" s="8"/>
    </row>
    <row r="56" spans="1:3" ht="15">
      <c r="A56" s="8"/>
      <c r="B56" s="8"/>
      <c r="C56" s="8"/>
    </row>
    <row r="57" spans="1:10" ht="15">
      <c r="A57" s="8"/>
      <c r="B57" s="6"/>
      <c r="C57" s="6"/>
      <c r="D57" s="4"/>
      <c r="E57" s="4"/>
      <c r="F57" s="4"/>
      <c r="G57" s="4"/>
      <c r="H57" s="4"/>
      <c r="I57" s="4"/>
      <c r="J57" s="4"/>
    </row>
    <row r="58" spans="1:3" ht="15">
      <c r="A58" s="8"/>
      <c r="B58" s="6"/>
      <c r="C58" s="6"/>
    </row>
    <row r="59" spans="1:3" ht="15">
      <c r="A59" s="8"/>
      <c r="B59" s="8"/>
      <c r="C59" s="8"/>
    </row>
    <row r="60" spans="1:3" ht="15">
      <c r="A60" s="8"/>
      <c r="B60" s="8"/>
      <c r="C60" s="8"/>
    </row>
    <row r="61" spans="1:3" ht="15">
      <c r="A61" s="8"/>
      <c r="B61" s="8"/>
      <c r="C61" s="8"/>
    </row>
    <row r="62" spans="1:10" ht="15">
      <c r="A62" s="8"/>
      <c r="B62" s="8"/>
      <c r="C62" s="8"/>
      <c r="D62" s="6"/>
      <c r="E62" s="6"/>
      <c r="F62" s="6"/>
      <c r="G62" s="6"/>
      <c r="H62" s="6"/>
      <c r="I62" s="6"/>
      <c r="J62" s="6"/>
    </row>
    <row r="63" spans="1:10" ht="21">
      <c r="A63" s="9"/>
      <c r="B63" s="19" t="s">
        <v>1430</v>
      </c>
      <c r="C63" s="9"/>
      <c r="D63" s="6"/>
      <c r="E63" s="6"/>
      <c r="F63" s="6"/>
      <c r="G63" s="6"/>
      <c r="H63" s="6"/>
      <c r="I63" s="6"/>
      <c r="J63" s="6"/>
    </row>
    <row r="64" spans="1:10" ht="15">
      <c r="A64" s="8"/>
      <c r="B64" s="11"/>
      <c r="C64" s="8"/>
      <c r="D64" s="6"/>
      <c r="E64" s="6"/>
      <c r="F64" s="6"/>
      <c r="G64" s="6"/>
      <c r="H64" s="6"/>
      <c r="I64" s="6"/>
      <c r="J64" s="6"/>
    </row>
    <row r="65" spans="1:3" ht="15">
      <c r="A65" s="8"/>
      <c r="B65" s="8"/>
      <c r="C65" s="8"/>
    </row>
    <row r="66" spans="1:3" ht="15">
      <c r="A66" s="8"/>
      <c r="B66" s="11" t="s">
        <v>921</v>
      </c>
      <c r="C66" s="8"/>
    </row>
    <row r="67" spans="1:3" ht="13.8">
      <c r="A67" s="8"/>
      <c r="B67" s="12" t="s">
        <v>922</v>
      </c>
      <c r="C67" s="8"/>
    </row>
    <row r="68" spans="1:3" ht="15">
      <c r="A68" s="8"/>
      <c r="B68" s="8"/>
      <c r="C68" s="8"/>
    </row>
    <row r="69" spans="1:3" ht="15">
      <c r="A69" s="8"/>
      <c r="B69" s="8"/>
      <c r="C69" s="8"/>
    </row>
    <row r="70" spans="1:3" ht="15">
      <c r="A70" s="8"/>
      <c r="B70" s="5" t="s">
        <v>923</v>
      </c>
      <c r="C70" s="8"/>
    </row>
    <row r="71" spans="1:3" ht="24">
      <c r="A71" s="8"/>
      <c r="B71" s="13" t="s">
        <v>1</v>
      </c>
      <c r="C71" s="8"/>
    </row>
    <row r="72" spans="1:3" ht="15.6">
      <c r="A72" s="8"/>
      <c r="B72" s="2"/>
      <c r="C72" s="8"/>
    </row>
    <row r="73" spans="1:3" ht="15">
      <c r="A73" s="8"/>
      <c r="B73" s="11" t="s">
        <v>924</v>
      </c>
      <c r="C73" s="8"/>
    </row>
    <row r="74" spans="1:3" ht="15">
      <c r="A74" s="8"/>
      <c r="B74" s="14" t="s">
        <v>925</v>
      </c>
      <c r="C74" s="8"/>
    </row>
    <row r="75" spans="1:3" ht="15">
      <c r="A75" s="8"/>
      <c r="B75" s="14" t="s">
        <v>926</v>
      </c>
      <c r="C75" s="8"/>
    </row>
    <row r="76" spans="1:3" ht="15">
      <c r="A76" s="8"/>
      <c r="B76" s="5"/>
      <c r="C76" s="8"/>
    </row>
    <row r="77" spans="1:3" ht="15">
      <c r="A77" s="8"/>
      <c r="B77" s="5"/>
      <c r="C77" s="8"/>
    </row>
    <row r="78" spans="1:3" ht="15">
      <c r="A78" s="8"/>
      <c r="B78" s="5" t="s">
        <v>927</v>
      </c>
      <c r="C78" s="8"/>
    </row>
    <row r="79" spans="1:3" ht="15">
      <c r="A79" s="8"/>
      <c r="B79" s="13" t="s">
        <v>928</v>
      </c>
      <c r="C79" s="8"/>
    </row>
    <row r="80" spans="1:3" ht="13.8">
      <c r="A80" s="15"/>
      <c r="B80" s="13" t="s">
        <v>926</v>
      </c>
      <c r="C80" s="15"/>
    </row>
    <row r="81" spans="1:3" ht="15">
      <c r="A81" s="11"/>
      <c r="B81" s="11"/>
      <c r="C81" s="11"/>
    </row>
    <row r="82" spans="1:3" ht="15">
      <c r="A82" s="8"/>
      <c r="B82" s="5"/>
      <c r="C82" s="8"/>
    </row>
    <row r="83" spans="1:3" ht="15">
      <c r="A83" s="8"/>
      <c r="B83" s="11" t="s">
        <v>929</v>
      </c>
      <c r="C83" s="8"/>
    </row>
    <row r="84" spans="1:3" ht="15">
      <c r="A84" s="8"/>
      <c r="B84" s="7" t="s">
        <v>930</v>
      </c>
      <c r="C84" s="8"/>
    </row>
    <row r="85" spans="1:3" ht="15">
      <c r="A85" s="8"/>
      <c r="B85" s="5" t="s">
        <v>931</v>
      </c>
      <c r="C85" s="8"/>
    </row>
    <row r="86" spans="1:3" ht="15">
      <c r="A86" s="8"/>
      <c r="B86" s="11" t="s">
        <v>932</v>
      </c>
      <c r="C86" s="8"/>
    </row>
    <row r="87" spans="1:3" ht="15">
      <c r="A87" s="8"/>
      <c r="B87" s="11" t="s">
        <v>933</v>
      </c>
      <c r="C87" s="8"/>
    </row>
    <row r="88" spans="1:3" ht="15">
      <c r="A88" s="8"/>
      <c r="B88" s="11"/>
      <c r="C88" s="8"/>
    </row>
    <row r="89" spans="1:3" ht="15">
      <c r="A89" s="8"/>
      <c r="B89" s="11"/>
      <c r="C89" s="8"/>
    </row>
    <row r="90" spans="1:3" ht="15">
      <c r="A90" s="8"/>
      <c r="B90" s="8"/>
      <c r="C90" s="8"/>
    </row>
    <row r="91" spans="1:3" ht="15">
      <c r="A91" s="8"/>
      <c r="B91" s="8"/>
      <c r="C91" s="8"/>
    </row>
    <row r="92" spans="1:3" ht="15">
      <c r="A92" s="8"/>
      <c r="B92" s="8"/>
      <c r="C92" s="8"/>
    </row>
    <row r="93" spans="1:3" ht="15">
      <c r="A93" s="8"/>
      <c r="B93" s="8"/>
      <c r="C93" s="8"/>
    </row>
    <row r="94" spans="1:3" ht="15">
      <c r="A94" s="8"/>
      <c r="B94" s="11" t="s">
        <v>934</v>
      </c>
      <c r="C94" s="8"/>
    </row>
    <row r="95" spans="1:3" ht="12.75" customHeight="1">
      <c r="A95" s="8"/>
      <c r="B95" s="5" t="s">
        <v>935</v>
      </c>
      <c r="C95" s="8"/>
    </row>
    <row r="96" spans="1:3" ht="12.75" customHeight="1">
      <c r="A96" s="8"/>
      <c r="B96" s="11" t="s">
        <v>936</v>
      </c>
      <c r="C96" s="8"/>
    </row>
    <row r="97" spans="1:3" ht="15">
      <c r="A97" s="8"/>
      <c r="B97" s="11" t="s">
        <v>937</v>
      </c>
      <c r="C97" s="8"/>
    </row>
    <row r="98" spans="1:3" ht="15">
      <c r="A98" s="8"/>
      <c r="B98" s="11" t="s">
        <v>938</v>
      </c>
      <c r="C98" s="8"/>
    </row>
    <row r="99" spans="1:4" ht="15.6">
      <c r="A99" s="8"/>
      <c r="B99" s="11" t="s">
        <v>939</v>
      </c>
      <c r="C99" s="8"/>
      <c r="D99" s="2"/>
    </row>
    <row r="100" spans="1:3" ht="15">
      <c r="A100" s="8"/>
      <c r="B100" s="11" t="s">
        <v>940</v>
      </c>
      <c r="C100" s="8"/>
    </row>
    <row r="101" spans="1:3" ht="15">
      <c r="A101" s="8"/>
      <c r="B101" s="11"/>
      <c r="C101" s="8"/>
    </row>
    <row r="102" spans="1:3" ht="17.4">
      <c r="A102" s="8"/>
      <c r="B102" s="11"/>
      <c r="C102" s="16">
        <v>2</v>
      </c>
    </row>
    <row r="103" spans="1:3" ht="17.4">
      <c r="A103" s="8"/>
      <c r="B103" s="8"/>
      <c r="C103" s="16"/>
    </row>
    <row r="104" spans="1:3" ht="15">
      <c r="A104" s="17"/>
      <c r="B104" s="17"/>
      <c r="C104" s="17"/>
    </row>
    <row r="105" spans="1:3" ht="15">
      <c r="A105" s="8"/>
      <c r="B105" s="8"/>
      <c r="C105" s="8"/>
    </row>
    <row r="106" spans="1:3" ht="15">
      <c r="A106" s="8"/>
      <c r="B106" s="8"/>
      <c r="C106" s="8"/>
    </row>
    <row r="107" spans="1:3" ht="15">
      <c r="A107" s="8"/>
      <c r="B107" s="8"/>
      <c r="C107" s="8"/>
    </row>
    <row r="108" spans="1:3" ht="15">
      <c r="A108" s="8"/>
      <c r="B108" s="8"/>
      <c r="C108" s="8"/>
    </row>
    <row r="109" spans="1:3" ht="15">
      <c r="A109" s="8"/>
      <c r="B109" s="8"/>
      <c r="C109" s="8"/>
    </row>
    <row r="110" spans="1:10" ht="15">
      <c r="A110" s="8"/>
      <c r="B110" s="6"/>
      <c r="C110" s="6"/>
      <c r="D110" s="4"/>
      <c r="E110" s="4"/>
      <c r="F110" s="4"/>
      <c r="G110" s="4"/>
      <c r="H110" s="4"/>
      <c r="I110" s="4"/>
      <c r="J110" s="4"/>
    </row>
    <row r="111" spans="1:3" ht="15">
      <c r="A111" s="8"/>
      <c r="B111" s="6"/>
      <c r="C111" s="6"/>
    </row>
    <row r="112" spans="1:3" ht="15">
      <c r="A112" s="8"/>
      <c r="B112" s="8"/>
      <c r="C112" s="8"/>
    </row>
    <row r="113" spans="1:3" ht="15">
      <c r="A113" s="8"/>
      <c r="B113" s="8"/>
      <c r="C113" s="8"/>
    </row>
    <row r="114" spans="1:3" ht="15">
      <c r="A114" s="8"/>
      <c r="B114" s="8"/>
      <c r="C114" s="8"/>
    </row>
    <row r="115" spans="1:10" ht="15">
      <c r="A115" s="8"/>
      <c r="B115" s="8"/>
      <c r="C115" s="8"/>
      <c r="D115" s="6"/>
      <c r="E115" s="6"/>
      <c r="F115" s="6"/>
      <c r="G115" s="6"/>
      <c r="H115" s="6"/>
      <c r="I115" s="6"/>
      <c r="J115" s="6"/>
    </row>
    <row r="116" spans="1:10" ht="21">
      <c r="A116" s="9"/>
      <c r="B116" s="19" t="s">
        <v>1430</v>
      </c>
      <c r="C116" s="9"/>
      <c r="D116" s="6"/>
      <c r="E116" s="6"/>
      <c r="F116" s="6"/>
      <c r="G116" s="6"/>
      <c r="H116" s="6"/>
      <c r="I116" s="6"/>
      <c r="J116" s="6"/>
    </row>
    <row r="117" spans="1:10" ht="15">
      <c r="A117" s="8"/>
      <c r="B117" s="11"/>
      <c r="C117" s="8"/>
      <c r="D117" s="6"/>
      <c r="E117" s="6"/>
      <c r="F117" s="6"/>
      <c r="G117" s="6"/>
      <c r="H117" s="6"/>
      <c r="I117" s="6"/>
      <c r="J117" s="6"/>
    </row>
    <row r="118" spans="1:3" ht="15">
      <c r="A118" s="8"/>
      <c r="B118" s="8"/>
      <c r="C118" s="8"/>
    </row>
    <row r="119" spans="1:3" ht="15">
      <c r="A119" s="8"/>
      <c r="B119" s="11" t="s">
        <v>921</v>
      </c>
      <c r="C119" s="8"/>
    </row>
    <row r="120" spans="1:3" ht="13.8">
      <c r="A120" s="8"/>
      <c r="B120" s="12" t="s">
        <v>922</v>
      </c>
      <c r="C120" s="8"/>
    </row>
    <row r="121" spans="1:3" ht="15">
      <c r="A121" s="8"/>
      <c r="B121" s="8"/>
      <c r="C121" s="8"/>
    </row>
    <row r="122" spans="1:3" ht="15">
      <c r="A122" s="8"/>
      <c r="B122" s="8"/>
      <c r="C122" s="8"/>
    </row>
    <row r="123" spans="1:3" ht="15">
      <c r="A123" s="8"/>
      <c r="B123" s="5" t="s">
        <v>923</v>
      </c>
      <c r="C123" s="8"/>
    </row>
    <row r="124" spans="1:3" ht="24">
      <c r="A124" s="8"/>
      <c r="B124" s="13" t="s">
        <v>942</v>
      </c>
      <c r="C124" s="8"/>
    </row>
    <row r="125" spans="1:3" ht="15.6">
      <c r="A125" s="8"/>
      <c r="B125" s="2"/>
      <c r="C125" s="8"/>
    </row>
    <row r="126" spans="1:3" ht="15">
      <c r="A126" s="8"/>
      <c r="B126" s="11" t="s">
        <v>924</v>
      </c>
      <c r="C126" s="8"/>
    </row>
    <row r="127" spans="1:3" ht="15">
      <c r="A127" s="8"/>
      <c r="B127" s="14" t="s">
        <v>925</v>
      </c>
      <c r="C127" s="8"/>
    </row>
    <row r="128" spans="1:3" ht="15">
      <c r="A128" s="8"/>
      <c r="B128" s="14" t="s">
        <v>926</v>
      </c>
      <c r="C128" s="8"/>
    </row>
    <row r="129" spans="1:3" ht="15">
      <c r="A129" s="8"/>
      <c r="B129" s="5"/>
      <c r="C129" s="8"/>
    </row>
    <row r="130" spans="1:3" ht="15">
      <c r="A130" s="8"/>
      <c r="B130" s="5"/>
      <c r="C130" s="8"/>
    </row>
    <row r="131" spans="1:3" ht="15">
      <c r="A131" s="8"/>
      <c r="B131" s="5" t="s">
        <v>927</v>
      </c>
      <c r="C131" s="8"/>
    </row>
    <row r="132" spans="1:3" ht="15">
      <c r="A132" s="8"/>
      <c r="B132" s="13" t="s">
        <v>928</v>
      </c>
      <c r="C132" s="8"/>
    </row>
    <row r="133" spans="1:3" ht="13.8">
      <c r="A133" s="15"/>
      <c r="B133" s="13" t="s">
        <v>926</v>
      </c>
      <c r="C133" s="15"/>
    </row>
    <row r="134" spans="1:3" ht="15">
      <c r="A134" s="11"/>
      <c r="B134" s="11"/>
      <c r="C134" s="11"/>
    </row>
    <row r="135" spans="1:3" ht="15">
      <c r="A135" s="8"/>
      <c r="B135" s="5"/>
      <c r="C135" s="8"/>
    </row>
    <row r="136" spans="1:3" ht="15">
      <c r="A136" s="8"/>
      <c r="B136" s="11" t="s">
        <v>929</v>
      </c>
      <c r="C136" s="8"/>
    </row>
    <row r="137" spans="1:3" ht="15">
      <c r="A137" s="8"/>
      <c r="B137" s="7" t="s">
        <v>930</v>
      </c>
      <c r="C137" s="8"/>
    </row>
    <row r="138" spans="1:3" ht="15">
      <c r="A138" s="8"/>
      <c r="B138" s="5" t="s">
        <v>931</v>
      </c>
      <c r="C138" s="8"/>
    </row>
    <row r="139" spans="1:3" ht="15">
      <c r="A139" s="8"/>
      <c r="B139" s="11" t="s">
        <v>932</v>
      </c>
      <c r="C139" s="8"/>
    </row>
    <row r="140" spans="1:3" ht="15">
      <c r="A140" s="8"/>
      <c r="B140" s="11" t="s">
        <v>933</v>
      </c>
      <c r="C140" s="8"/>
    </row>
    <row r="141" spans="1:3" ht="15">
      <c r="A141" s="8"/>
      <c r="B141" s="11"/>
      <c r="C141" s="8"/>
    </row>
    <row r="142" spans="1:3" ht="15">
      <c r="A142" s="8"/>
      <c r="B142" s="11"/>
      <c r="C142" s="8"/>
    </row>
    <row r="143" spans="1:3" ht="15">
      <c r="A143" s="8"/>
      <c r="B143" s="8"/>
      <c r="C143" s="8"/>
    </row>
    <row r="144" spans="1:3" ht="15">
      <c r="A144" s="8"/>
      <c r="B144" s="8"/>
      <c r="C144" s="8"/>
    </row>
    <row r="145" spans="1:3" ht="15">
      <c r="A145" s="8"/>
      <c r="B145" s="8"/>
      <c r="C145" s="8"/>
    </row>
    <row r="146" spans="1:3" ht="15">
      <c r="A146" s="8"/>
      <c r="B146" s="8"/>
      <c r="C146" s="8"/>
    </row>
    <row r="147" spans="1:3" ht="15">
      <c r="A147" s="8"/>
      <c r="B147" s="11" t="s">
        <v>934</v>
      </c>
      <c r="C147" s="8"/>
    </row>
    <row r="148" spans="1:3" ht="12.75" customHeight="1">
      <c r="A148" s="8"/>
      <c r="B148" s="5" t="s">
        <v>935</v>
      </c>
      <c r="C148" s="8"/>
    </row>
    <row r="149" spans="1:3" ht="12.75" customHeight="1">
      <c r="A149" s="8"/>
      <c r="B149" s="11" t="s">
        <v>936</v>
      </c>
      <c r="C149" s="8"/>
    </row>
    <row r="150" spans="1:3" ht="15">
      <c r="A150" s="8"/>
      <c r="B150" s="11" t="s">
        <v>937</v>
      </c>
      <c r="C150" s="8"/>
    </row>
    <row r="151" spans="1:3" ht="15">
      <c r="A151" s="8"/>
      <c r="B151" s="11" t="s">
        <v>938</v>
      </c>
      <c r="C151" s="8"/>
    </row>
    <row r="152" spans="1:4" ht="15.6">
      <c r="A152" s="8"/>
      <c r="B152" s="11" t="s">
        <v>939</v>
      </c>
      <c r="C152" s="8"/>
      <c r="D152" s="2"/>
    </row>
    <row r="153" spans="1:3" ht="15">
      <c r="A153" s="8"/>
      <c r="B153" s="11" t="s">
        <v>940</v>
      </c>
      <c r="C153" s="8"/>
    </row>
    <row r="154" spans="1:3" ht="15">
      <c r="A154" s="8"/>
      <c r="B154" s="11"/>
      <c r="C154" s="8"/>
    </row>
    <row r="155" spans="1:3" ht="17.4">
      <c r="A155" s="8"/>
      <c r="B155" s="11"/>
      <c r="C155" s="16">
        <v>3</v>
      </c>
    </row>
    <row r="156" spans="1:3" ht="17.4">
      <c r="A156" s="8"/>
      <c r="B156" s="8"/>
      <c r="C156" s="16"/>
    </row>
    <row r="157" spans="1:3" ht="15">
      <c r="A157" s="17"/>
      <c r="B157" s="17"/>
      <c r="C157" s="17"/>
    </row>
    <row r="158" spans="1:3" ht="15">
      <c r="A158" s="8"/>
      <c r="B158" s="8"/>
      <c r="C158" s="8"/>
    </row>
    <row r="159" spans="1:3" ht="15">
      <c r="A159" s="8"/>
      <c r="B159" s="8"/>
      <c r="C159" s="8"/>
    </row>
    <row r="160" spans="1:3" ht="15">
      <c r="A160" s="8"/>
      <c r="B160" s="8"/>
      <c r="C160" s="8"/>
    </row>
    <row r="161" spans="1:3" ht="15">
      <c r="A161" s="8"/>
      <c r="B161" s="8"/>
      <c r="C161" s="8"/>
    </row>
    <row r="162" spans="1:3" ht="15">
      <c r="A162" s="8"/>
      <c r="B162" s="8"/>
      <c r="C162" s="8"/>
    </row>
    <row r="163" spans="1:10" ht="15">
      <c r="A163" s="8"/>
      <c r="B163" s="6"/>
      <c r="C163" s="6"/>
      <c r="D163" s="4"/>
      <c r="E163" s="4"/>
      <c r="F163" s="4"/>
      <c r="G163" s="4"/>
      <c r="H163" s="4"/>
      <c r="I163" s="4"/>
      <c r="J163" s="4"/>
    </row>
    <row r="164" spans="1:3" ht="15">
      <c r="A164" s="8"/>
      <c r="B164" s="6"/>
      <c r="C164" s="6"/>
    </row>
    <row r="165" spans="1:3" ht="15">
      <c r="A165" s="8"/>
      <c r="B165" s="8"/>
      <c r="C165" s="8"/>
    </row>
    <row r="166" spans="1:3" ht="15">
      <c r="A166" s="8"/>
      <c r="B166" s="8"/>
      <c r="C166" s="8"/>
    </row>
    <row r="167" spans="1:3" ht="15">
      <c r="A167" s="8"/>
      <c r="B167" s="8"/>
      <c r="C167" s="8"/>
    </row>
    <row r="168" spans="1:10" ht="15">
      <c r="A168" s="8"/>
      <c r="B168" s="8"/>
      <c r="C168" s="8"/>
      <c r="D168" s="6"/>
      <c r="E168" s="6"/>
      <c r="F168" s="6"/>
      <c r="G168" s="6"/>
      <c r="H168" s="6"/>
      <c r="I168" s="6"/>
      <c r="J168" s="6"/>
    </row>
    <row r="169" spans="1:10" ht="21">
      <c r="A169" s="9"/>
      <c r="B169" s="19" t="s">
        <v>1430</v>
      </c>
      <c r="C169" s="9"/>
      <c r="D169" s="6"/>
      <c r="E169" s="6"/>
      <c r="F169" s="6"/>
      <c r="G169" s="6"/>
      <c r="H169" s="6"/>
      <c r="I169" s="6"/>
      <c r="J169" s="6"/>
    </row>
    <row r="170" spans="1:10" ht="15">
      <c r="A170" s="8"/>
      <c r="B170" s="11"/>
      <c r="C170" s="8"/>
      <c r="D170" s="6"/>
      <c r="E170" s="6"/>
      <c r="F170" s="6"/>
      <c r="G170" s="6"/>
      <c r="H170" s="6"/>
      <c r="I170" s="6"/>
      <c r="J170" s="6"/>
    </row>
    <row r="171" spans="1:3" ht="15">
      <c r="A171" s="8"/>
      <c r="B171" s="8"/>
      <c r="C171" s="8"/>
    </row>
    <row r="172" spans="1:3" ht="15">
      <c r="A172" s="8"/>
      <c r="B172" s="11" t="s">
        <v>921</v>
      </c>
      <c r="C172" s="8"/>
    </row>
    <row r="173" spans="1:3" ht="13.8">
      <c r="A173" s="8"/>
      <c r="B173" s="12" t="s">
        <v>922</v>
      </c>
      <c r="C173" s="8"/>
    </row>
    <row r="174" spans="1:3" ht="15">
      <c r="A174" s="8"/>
      <c r="B174" s="8"/>
      <c r="C174" s="8"/>
    </row>
    <row r="175" spans="1:3" ht="15">
      <c r="A175" s="8"/>
      <c r="B175" s="8"/>
      <c r="C175" s="8"/>
    </row>
    <row r="176" spans="1:3" ht="15">
      <c r="A176" s="8"/>
      <c r="B176" s="5" t="s">
        <v>923</v>
      </c>
      <c r="C176" s="8"/>
    </row>
    <row r="177" spans="1:3" ht="24">
      <c r="A177" s="8"/>
      <c r="B177" s="13" t="s">
        <v>942</v>
      </c>
      <c r="C177" s="8"/>
    </row>
    <row r="178" spans="1:3" ht="15.6">
      <c r="A178" s="8"/>
      <c r="B178" s="2"/>
      <c r="C178" s="8"/>
    </row>
    <row r="179" spans="1:3" ht="15">
      <c r="A179" s="8"/>
      <c r="B179" s="11" t="s">
        <v>924</v>
      </c>
      <c r="C179" s="8"/>
    </row>
    <row r="180" spans="1:3" ht="15">
      <c r="A180" s="8"/>
      <c r="B180" s="14" t="s">
        <v>925</v>
      </c>
      <c r="C180" s="8"/>
    </row>
    <row r="181" spans="1:3" ht="15">
      <c r="A181" s="8"/>
      <c r="B181" s="14" t="s">
        <v>926</v>
      </c>
      <c r="C181" s="8"/>
    </row>
    <row r="182" spans="1:3" ht="15">
      <c r="A182" s="8"/>
      <c r="B182" s="5"/>
      <c r="C182" s="8"/>
    </row>
    <row r="183" spans="1:3" ht="15">
      <c r="A183" s="8"/>
      <c r="B183" s="5"/>
      <c r="C183" s="8"/>
    </row>
    <row r="184" spans="1:3" ht="15">
      <c r="A184" s="8"/>
      <c r="B184" s="5" t="s">
        <v>927</v>
      </c>
      <c r="C184" s="8"/>
    </row>
    <row r="185" spans="1:3" ht="15">
      <c r="A185" s="8"/>
      <c r="B185" s="13" t="s">
        <v>928</v>
      </c>
      <c r="C185" s="8"/>
    </row>
    <row r="186" spans="1:3" ht="13.8">
      <c r="A186" s="15"/>
      <c r="B186" s="13" t="s">
        <v>926</v>
      </c>
      <c r="C186" s="15"/>
    </row>
    <row r="187" spans="1:3" ht="15">
      <c r="A187" s="11"/>
      <c r="B187" s="11"/>
      <c r="C187" s="11"/>
    </row>
    <row r="188" spans="1:3" ht="15">
      <c r="A188" s="8"/>
      <c r="B188" s="5"/>
      <c r="C188" s="8"/>
    </row>
    <row r="189" spans="1:3" ht="15">
      <c r="A189" s="8"/>
      <c r="B189" s="11" t="s">
        <v>929</v>
      </c>
      <c r="C189" s="8"/>
    </row>
    <row r="190" spans="1:3" ht="15">
      <c r="A190" s="8"/>
      <c r="B190" s="7" t="s">
        <v>930</v>
      </c>
      <c r="C190" s="8"/>
    </row>
    <row r="191" spans="1:3" ht="15">
      <c r="A191" s="8"/>
      <c r="B191" s="5" t="s">
        <v>931</v>
      </c>
      <c r="C191" s="8"/>
    </row>
    <row r="192" spans="1:3" ht="15">
      <c r="A192" s="8"/>
      <c r="B192" s="11" t="s">
        <v>932</v>
      </c>
      <c r="C192" s="8"/>
    </row>
    <row r="193" spans="1:3" ht="15">
      <c r="A193" s="8"/>
      <c r="B193" s="11" t="s">
        <v>933</v>
      </c>
      <c r="C193" s="8"/>
    </row>
    <row r="194" spans="1:3" ht="15">
      <c r="A194" s="8"/>
      <c r="B194" s="11"/>
      <c r="C194" s="8"/>
    </row>
    <row r="195" spans="1:3" ht="15">
      <c r="A195" s="8"/>
      <c r="B195" s="11"/>
      <c r="C195" s="8"/>
    </row>
    <row r="196" spans="1:3" ht="15">
      <c r="A196" s="8"/>
      <c r="B196" s="8"/>
      <c r="C196" s="8"/>
    </row>
    <row r="197" spans="1:3" ht="15">
      <c r="A197" s="8"/>
      <c r="B197" s="8"/>
      <c r="C197" s="8"/>
    </row>
    <row r="198" spans="1:3" ht="15">
      <c r="A198" s="8"/>
      <c r="B198" s="8"/>
      <c r="C198" s="8"/>
    </row>
    <row r="199" spans="1:3" ht="15">
      <c r="A199" s="8"/>
      <c r="B199" s="8"/>
      <c r="C199" s="8"/>
    </row>
    <row r="200" spans="1:3" ht="15">
      <c r="A200" s="8"/>
      <c r="B200" s="11" t="s">
        <v>934</v>
      </c>
      <c r="C200" s="8"/>
    </row>
    <row r="201" spans="1:3" ht="12.75" customHeight="1">
      <c r="A201" s="8"/>
      <c r="B201" s="5" t="s">
        <v>935</v>
      </c>
      <c r="C201" s="8"/>
    </row>
    <row r="202" spans="1:3" ht="12.75" customHeight="1">
      <c r="A202" s="8"/>
      <c r="B202" s="11" t="s">
        <v>936</v>
      </c>
      <c r="C202" s="8"/>
    </row>
    <row r="203" spans="1:3" ht="15">
      <c r="A203" s="8"/>
      <c r="B203" s="11" t="s">
        <v>937</v>
      </c>
      <c r="C203" s="8"/>
    </row>
    <row r="204" spans="1:3" ht="15">
      <c r="A204" s="8"/>
      <c r="B204" s="11" t="s">
        <v>938</v>
      </c>
      <c r="C204" s="8"/>
    </row>
    <row r="205" spans="1:4" ht="15.6">
      <c r="A205" s="8"/>
      <c r="B205" s="11" t="s">
        <v>939</v>
      </c>
      <c r="C205" s="8"/>
      <c r="D205" s="2"/>
    </row>
    <row r="206" spans="1:3" ht="15">
      <c r="A206" s="8"/>
      <c r="B206" s="11" t="s">
        <v>940</v>
      </c>
      <c r="C206" s="8"/>
    </row>
    <row r="207" spans="1:3" ht="15">
      <c r="A207" s="8"/>
      <c r="B207" s="11"/>
      <c r="C207" s="8"/>
    </row>
    <row r="208" spans="1:3" ht="17.4">
      <c r="A208" s="8"/>
      <c r="B208" s="11"/>
      <c r="C208" s="16">
        <v>4</v>
      </c>
    </row>
    <row r="209" spans="1:3" ht="17.4">
      <c r="A209" s="8"/>
      <c r="B209" s="8"/>
      <c r="C209" s="16"/>
    </row>
    <row r="210" spans="1:3" ht="15">
      <c r="A210" s="17"/>
      <c r="B210" s="17"/>
      <c r="C210" s="17"/>
    </row>
    <row r="211" spans="1:3" ht="15">
      <c r="A211" s="8"/>
      <c r="B211" s="8"/>
      <c r="C211" s="8"/>
    </row>
    <row r="212" spans="1:3" ht="12.6">
      <c r="A212" s="247"/>
      <c r="B212" s="247"/>
      <c r="C212" s="247"/>
    </row>
    <row r="213" spans="1:3" ht="12.6">
      <c r="A213" s="247"/>
      <c r="B213" s="247"/>
      <c r="C213" s="247"/>
    </row>
    <row r="214" spans="1:3" ht="15">
      <c r="A214" s="8"/>
      <c r="B214" s="8"/>
      <c r="C214" s="8"/>
    </row>
    <row r="215" spans="1:3" ht="15">
      <c r="A215" s="8"/>
      <c r="B215" s="8"/>
      <c r="C215" s="8"/>
    </row>
    <row r="216" spans="1:10" ht="15">
      <c r="A216" s="8"/>
      <c r="B216" s="6"/>
      <c r="C216" s="6"/>
      <c r="D216" s="4"/>
      <c r="E216" s="4"/>
      <c r="F216" s="4"/>
      <c r="G216" s="4"/>
      <c r="H216" s="4"/>
      <c r="I216" s="4"/>
      <c r="J216" s="4"/>
    </row>
    <row r="217" spans="1:3" ht="15">
      <c r="A217" s="8"/>
      <c r="B217" s="6"/>
      <c r="C217" s="6"/>
    </row>
    <row r="218" spans="1:3" ht="15">
      <c r="A218" s="8"/>
      <c r="B218" s="8"/>
      <c r="C218" s="8"/>
    </row>
    <row r="219" spans="1:3" ht="15">
      <c r="A219" s="8"/>
      <c r="B219" s="8"/>
      <c r="C219" s="8"/>
    </row>
    <row r="220" spans="1:3" ht="15">
      <c r="A220" s="8"/>
      <c r="B220" s="8"/>
      <c r="C220" s="8"/>
    </row>
    <row r="221" spans="1:10" ht="15">
      <c r="A221" s="8"/>
      <c r="B221" s="8"/>
      <c r="C221" s="8"/>
      <c r="D221" s="6"/>
      <c r="E221" s="6"/>
      <c r="F221" s="6"/>
      <c r="G221" s="6"/>
      <c r="H221" s="6"/>
      <c r="I221" s="6"/>
      <c r="J221" s="6"/>
    </row>
    <row r="222" spans="1:10" ht="21">
      <c r="A222" s="9"/>
      <c r="B222" s="19" t="s">
        <v>1430</v>
      </c>
      <c r="C222" s="9"/>
      <c r="D222" s="6"/>
      <c r="E222" s="6"/>
      <c r="F222" s="6"/>
      <c r="G222" s="6"/>
      <c r="H222" s="6"/>
      <c r="I222" s="6"/>
      <c r="J222" s="6"/>
    </row>
    <row r="223" spans="1:10" ht="15">
      <c r="A223" s="8"/>
      <c r="B223" s="11"/>
      <c r="C223" s="8"/>
      <c r="D223" s="6"/>
      <c r="E223" s="6"/>
      <c r="F223" s="6"/>
      <c r="G223" s="6"/>
      <c r="H223" s="6"/>
      <c r="I223" s="6"/>
      <c r="J223" s="6"/>
    </row>
    <row r="224" spans="1:3" ht="15">
      <c r="A224" s="8"/>
      <c r="B224" s="8"/>
      <c r="C224" s="8"/>
    </row>
    <row r="225" spans="1:3" ht="15">
      <c r="A225" s="8"/>
      <c r="B225" s="11" t="s">
        <v>921</v>
      </c>
      <c r="C225" s="8"/>
    </row>
    <row r="226" spans="1:3" ht="13.8">
      <c r="A226" s="8"/>
      <c r="B226" s="12" t="s">
        <v>922</v>
      </c>
      <c r="C226" s="8"/>
    </row>
    <row r="227" spans="1:3" ht="15">
      <c r="A227" s="8"/>
      <c r="B227" s="8"/>
      <c r="C227" s="8"/>
    </row>
    <row r="228" spans="1:3" ht="15">
      <c r="A228" s="8"/>
      <c r="B228" s="8"/>
      <c r="C228" s="8"/>
    </row>
    <row r="229" spans="1:3" ht="15">
      <c r="A229" s="8"/>
      <c r="B229" s="5" t="s">
        <v>923</v>
      </c>
      <c r="C229" s="8"/>
    </row>
    <row r="230" spans="1:3" ht="24">
      <c r="A230" s="8"/>
      <c r="B230" s="13" t="s">
        <v>1</v>
      </c>
      <c r="C230" s="8"/>
    </row>
    <row r="231" spans="1:3" ht="15.6">
      <c r="A231" s="8"/>
      <c r="B231" s="2"/>
      <c r="C231" s="8"/>
    </row>
    <row r="232" spans="1:3" ht="15">
      <c r="A232" s="8"/>
      <c r="B232" s="11" t="s">
        <v>924</v>
      </c>
      <c r="C232" s="8"/>
    </row>
    <row r="233" spans="1:3" ht="15">
      <c r="A233" s="8"/>
      <c r="B233" s="14" t="s">
        <v>925</v>
      </c>
      <c r="C233" s="8"/>
    </row>
    <row r="234" spans="1:3" ht="15">
      <c r="A234" s="8"/>
      <c r="B234" s="14" t="s">
        <v>926</v>
      </c>
      <c r="C234" s="8"/>
    </row>
    <row r="235" spans="1:3" ht="15">
      <c r="A235" s="8"/>
      <c r="B235" s="5"/>
      <c r="C235" s="8"/>
    </row>
    <row r="236" spans="1:3" ht="15">
      <c r="A236" s="8"/>
      <c r="B236" s="5"/>
      <c r="C236" s="8"/>
    </row>
    <row r="237" spans="1:3" ht="15">
      <c r="A237" s="8"/>
      <c r="B237" s="5" t="s">
        <v>927</v>
      </c>
      <c r="C237" s="8"/>
    </row>
    <row r="238" spans="1:3" ht="15">
      <c r="A238" s="8"/>
      <c r="B238" s="13" t="s">
        <v>928</v>
      </c>
      <c r="C238" s="8"/>
    </row>
    <row r="239" spans="1:3" ht="13.8">
      <c r="A239" s="15"/>
      <c r="B239" s="13" t="s">
        <v>926</v>
      </c>
      <c r="C239" s="15"/>
    </row>
    <row r="240" spans="1:3" ht="15">
      <c r="A240" s="11"/>
      <c r="B240" s="11"/>
      <c r="C240" s="11"/>
    </row>
    <row r="241" spans="1:3" ht="15">
      <c r="A241" s="8"/>
      <c r="B241" s="5"/>
      <c r="C241" s="8"/>
    </row>
    <row r="242" spans="1:3" ht="15">
      <c r="A242" s="8"/>
      <c r="B242" s="11" t="s">
        <v>929</v>
      </c>
      <c r="C242" s="8"/>
    </row>
    <row r="243" spans="1:3" ht="15">
      <c r="A243" s="8"/>
      <c r="B243" s="7" t="s">
        <v>930</v>
      </c>
      <c r="C243" s="8"/>
    </row>
    <row r="244" spans="1:3" ht="15">
      <c r="A244" s="8"/>
      <c r="B244" s="5" t="s">
        <v>931</v>
      </c>
      <c r="C244" s="8"/>
    </row>
    <row r="245" spans="1:3" ht="15">
      <c r="A245" s="8"/>
      <c r="B245" s="11" t="s">
        <v>932</v>
      </c>
      <c r="C245" s="8"/>
    </row>
    <row r="246" spans="1:3" ht="15">
      <c r="A246" s="8"/>
      <c r="B246" s="11" t="s">
        <v>933</v>
      </c>
      <c r="C246" s="8"/>
    </row>
    <row r="247" spans="1:3" ht="15">
      <c r="A247" s="8"/>
      <c r="B247" s="11"/>
      <c r="C247" s="8"/>
    </row>
    <row r="248" spans="1:3" ht="15">
      <c r="A248" s="8"/>
      <c r="B248" s="11"/>
      <c r="C248" s="8"/>
    </row>
    <row r="249" spans="1:3" ht="15">
      <c r="A249" s="8"/>
      <c r="B249" s="8"/>
      <c r="C249" s="8"/>
    </row>
    <row r="250" spans="1:3" ht="15">
      <c r="A250" s="8"/>
      <c r="B250" s="8"/>
      <c r="C250" s="8"/>
    </row>
    <row r="251" spans="1:3" ht="15">
      <c r="A251" s="8"/>
      <c r="B251" s="8"/>
      <c r="C251" s="8"/>
    </row>
    <row r="252" spans="1:3" ht="15">
      <c r="A252" s="8"/>
      <c r="B252" s="8"/>
      <c r="C252" s="8"/>
    </row>
    <row r="253" spans="1:3" ht="15">
      <c r="A253" s="8"/>
      <c r="B253" s="11" t="s">
        <v>934</v>
      </c>
      <c r="C253" s="8"/>
    </row>
    <row r="254" spans="1:3" ht="12.75" customHeight="1">
      <c r="A254" s="8"/>
      <c r="B254" s="5" t="s">
        <v>935</v>
      </c>
      <c r="C254" s="8"/>
    </row>
    <row r="255" spans="1:3" ht="12.75" customHeight="1">
      <c r="A255" s="8"/>
      <c r="B255" s="11" t="s">
        <v>936</v>
      </c>
      <c r="C255" s="8"/>
    </row>
    <row r="256" spans="1:3" ht="15">
      <c r="A256" s="8"/>
      <c r="B256" s="11" t="s">
        <v>937</v>
      </c>
      <c r="C256" s="8"/>
    </row>
    <row r="257" spans="1:3" ht="15">
      <c r="A257" s="8"/>
      <c r="B257" s="11" t="s">
        <v>938</v>
      </c>
      <c r="C257" s="8"/>
    </row>
    <row r="258" spans="1:3" ht="15">
      <c r="A258" s="8"/>
      <c r="B258" s="11" t="s">
        <v>939</v>
      </c>
      <c r="C258" s="8"/>
    </row>
    <row r="259" spans="1:3" ht="15">
      <c r="A259" s="8"/>
      <c r="B259" s="11" t="s">
        <v>940</v>
      </c>
      <c r="C259" s="8"/>
    </row>
    <row r="260" spans="1:3" ht="15">
      <c r="A260" s="8"/>
      <c r="B260" s="11"/>
      <c r="C260" s="8"/>
    </row>
    <row r="261" spans="1:3" ht="17.4">
      <c r="A261" s="8"/>
      <c r="B261" s="11"/>
      <c r="C261" s="16">
        <v>5</v>
      </c>
    </row>
    <row r="262" spans="1:3" ht="17.4">
      <c r="A262" s="8"/>
      <c r="B262" s="8"/>
      <c r="C262" s="16"/>
    </row>
    <row r="263" spans="1:3" ht="15">
      <c r="A263" s="17"/>
      <c r="B263" s="17"/>
      <c r="C263" s="17"/>
    </row>
    <row r="264" spans="1:3" ht="15">
      <c r="A264" s="8"/>
      <c r="B264" s="8"/>
      <c r="C264" s="8"/>
    </row>
    <row r="265" spans="1:3" ht="15">
      <c r="A265" s="8"/>
      <c r="B265" s="8"/>
      <c r="C265" s="8"/>
    </row>
    <row r="266" spans="1:3" ht="15">
      <c r="A266" s="8"/>
      <c r="B266" s="8"/>
      <c r="C266" s="8"/>
    </row>
    <row r="267" spans="1:3" ht="15">
      <c r="A267" s="8"/>
      <c r="B267" s="8"/>
      <c r="C267" s="8"/>
    </row>
    <row r="268" spans="1:3" ht="15">
      <c r="A268" s="8"/>
      <c r="B268" s="8"/>
      <c r="C268" s="8"/>
    </row>
    <row r="269" spans="1:3" ht="15">
      <c r="A269" s="8"/>
      <c r="B269" s="6"/>
      <c r="C269" s="6"/>
    </row>
    <row r="270" spans="1:3" ht="15">
      <c r="A270" s="8"/>
      <c r="B270" s="6"/>
      <c r="C270" s="6"/>
    </row>
    <row r="271" spans="1:3" ht="15">
      <c r="A271" s="8"/>
      <c r="B271" s="8"/>
      <c r="C271" s="8"/>
    </row>
    <row r="272" spans="1:3" ht="15">
      <c r="A272" s="8"/>
      <c r="B272" s="8"/>
      <c r="C272" s="8"/>
    </row>
    <row r="273" spans="1:3" ht="15">
      <c r="A273" s="8"/>
      <c r="B273" s="8"/>
      <c r="C273" s="8"/>
    </row>
    <row r="274" spans="1:3" ht="15">
      <c r="A274" s="8"/>
      <c r="B274" s="8"/>
      <c r="C274" s="8"/>
    </row>
    <row r="275" spans="1:3" ht="21">
      <c r="A275" s="9"/>
      <c r="B275" s="19" t="s">
        <v>1430</v>
      </c>
      <c r="C275" s="9"/>
    </row>
    <row r="276" spans="1:3" ht="15">
      <c r="A276" s="8"/>
      <c r="B276" s="11"/>
      <c r="C276" s="8"/>
    </row>
    <row r="277" spans="1:3" ht="15">
      <c r="A277" s="8"/>
      <c r="B277" s="8"/>
      <c r="C277" s="8"/>
    </row>
    <row r="278" spans="1:3" ht="15">
      <c r="A278" s="8"/>
      <c r="B278" s="11" t="s">
        <v>921</v>
      </c>
      <c r="C278" s="8"/>
    </row>
    <row r="279" spans="1:3" ht="13.8">
      <c r="A279" s="8"/>
      <c r="B279" s="12" t="s">
        <v>922</v>
      </c>
      <c r="C279" s="8"/>
    </row>
    <row r="280" spans="1:3" ht="15">
      <c r="A280" s="8"/>
      <c r="B280" s="8"/>
      <c r="C280" s="8"/>
    </row>
    <row r="281" spans="1:3" ht="15">
      <c r="A281" s="8"/>
      <c r="B281" s="8"/>
      <c r="C281" s="8"/>
    </row>
    <row r="282" spans="1:3" ht="15">
      <c r="A282" s="8"/>
      <c r="B282" s="5" t="s">
        <v>923</v>
      </c>
      <c r="C282" s="8"/>
    </row>
    <row r="283" spans="1:3" ht="24">
      <c r="A283" s="8"/>
      <c r="B283" s="13" t="s">
        <v>1</v>
      </c>
      <c r="C283" s="8"/>
    </row>
    <row r="284" spans="1:3" ht="15.6">
      <c r="A284" s="8"/>
      <c r="B284" s="2"/>
      <c r="C284" s="8"/>
    </row>
    <row r="285" spans="1:3" ht="15">
      <c r="A285" s="8"/>
      <c r="B285" s="11" t="s">
        <v>924</v>
      </c>
      <c r="C285" s="8"/>
    </row>
    <row r="286" spans="1:3" ht="15">
      <c r="A286" s="8"/>
      <c r="B286" s="14" t="s">
        <v>925</v>
      </c>
      <c r="C286" s="8"/>
    </row>
    <row r="287" spans="1:3" ht="15">
      <c r="A287" s="8"/>
      <c r="B287" s="14" t="s">
        <v>926</v>
      </c>
      <c r="C287" s="8"/>
    </row>
    <row r="288" spans="1:3" ht="15">
      <c r="A288" s="8"/>
      <c r="B288" s="5"/>
      <c r="C288" s="8"/>
    </row>
    <row r="289" spans="1:3" ht="15">
      <c r="A289" s="8"/>
      <c r="B289" s="5"/>
      <c r="C289" s="8"/>
    </row>
    <row r="290" spans="1:3" ht="15">
      <c r="A290" s="8"/>
      <c r="B290" s="5" t="s">
        <v>927</v>
      </c>
      <c r="C290" s="8"/>
    </row>
    <row r="291" spans="1:3" ht="15">
      <c r="A291" s="8"/>
      <c r="B291" s="13" t="s">
        <v>928</v>
      </c>
      <c r="C291" s="8"/>
    </row>
    <row r="292" spans="1:3" ht="13.8">
      <c r="A292" s="15"/>
      <c r="B292" s="13" t="s">
        <v>926</v>
      </c>
      <c r="C292" s="15"/>
    </row>
    <row r="293" spans="1:3" ht="15">
      <c r="A293" s="11"/>
      <c r="B293" s="11"/>
      <c r="C293" s="11"/>
    </row>
    <row r="294" spans="1:3" ht="15">
      <c r="A294" s="8"/>
      <c r="B294" s="5"/>
      <c r="C294" s="8"/>
    </row>
    <row r="295" spans="1:3" ht="15">
      <c r="A295" s="8"/>
      <c r="B295" s="11" t="s">
        <v>929</v>
      </c>
      <c r="C295" s="8"/>
    </row>
    <row r="296" spans="1:3" ht="15">
      <c r="A296" s="8"/>
      <c r="B296" s="7" t="s">
        <v>930</v>
      </c>
      <c r="C296" s="8"/>
    </row>
    <row r="297" spans="1:3" ht="15">
      <c r="A297" s="8"/>
      <c r="B297" s="5" t="s">
        <v>931</v>
      </c>
      <c r="C297" s="8"/>
    </row>
    <row r="298" spans="1:3" ht="15">
      <c r="A298" s="8"/>
      <c r="B298" s="11" t="s">
        <v>932</v>
      </c>
      <c r="C298" s="8"/>
    </row>
    <row r="299" spans="1:3" ht="12.75" customHeight="1">
      <c r="A299" s="8"/>
      <c r="B299" s="11" t="s">
        <v>933</v>
      </c>
      <c r="C299" s="8"/>
    </row>
    <row r="300" spans="1:3" ht="12.75" customHeight="1">
      <c r="A300" s="8"/>
      <c r="B300" s="11"/>
      <c r="C300" s="8"/>
    </row>
    <row r="301" spans="1:3" ht="15">
      <c r="A301" s="8"/>
      <c r="B301" s="11"/>
      <c r="C301" s="8"/>
    </row>
    <row r="302" spans="1:3" ht="15">
      <c r="A302" s="8"/>
      <c r="B302" s="8"/>
      <c r="C302" s="8"/>
    </row>
    <row r="303" spans="1:3" ht="15">
      <c r="A303" s="8"/>
      <c r="B303" s="8"/>
      <c r="C303" s="8"/>
    </row>
    <row r="304" spans="1:3" ht="15">
      <c r="A304" s="8"/>
      <c r="B304" s="8"/>
      <c r="C304" s="8"/>
    </row>
    <row r="305" spans="1:3" ht="15">
      <c r="A305" s="8"/>
      <c r="B305" s="8"/>
      <c r="C305" s="8"/>
    </row>
    <row r="306" spans="1:3" ht="15">
      <c r="A306" s="8"/>
      <c r="B306" s="11" t="s">
        <v>934</v>
      </c>
      <c r="C306" s="8"/>
    </row>
    <row r="307" spans="1:3" ht="15">
      <c r="A307" s="8"/>
      <c r="B307" s="5" t="s">
        <v>935</v>
      </c>
      <c r="C307" s="8"/>
    </row>
    <row r="308" spans="1:3" ht="15">
      <c r="A308" s="8"/>
      <c r="B308" s="11" t="s">
        <v>936</v>
      </c>
      <c r="C308" s="8"/>
    </row>
    <row r="309" spans="1:3" ht="15">
      <c r="A309" s="8"/>
      <c r="B309" s="11" t="s">
        <v>937</v>
      </c>
      <c r="C309" s="8"/>
    </row>
    <row r="310" spans="1:3" ht="15">
      <c r="A310" s="8"/>
      <c r="B310" s="11" t="s">
        <v>938</v>
      </c>
      <c r="C310" s="8"/>
    </row>
    <row r="311" spans="1:3" ht="15">
      <c r="A311" s="8"/>
      <c r="B311" s="11" t="s">
        <v>939</v>
      </c>
      <c r="C311" s="8"/>
    </row>
    <row r="312" spans="1:3" ht="15">
      <c r="A312" s="8"/>
      <c r="B312" s="11" t="s">
        <v>940</v>
      </c>
      <c r="C312" s="8"/>
    </row>
    <row r="313" spans="1:3" ht="15">
      <c r="A313" s="8"/>
      <c r="B313" s="11"/>
      <c r="C313" s="8"/>
    </row>
    <row r="314" spans="1:3" ht="17.4">
      <c r="A314" s="8"/>
      <c r="B314" s="11"/>
      <c r="C314" s="16">
        <v>6</v>
      </c>
    </row>
    <row r="315" spans="1:3" ht="17.4">
      <c r="A315" s="8"/>
      <c r="B315" s="8"/>
      <c r="C315" s="16"/>
    </row>
    <row r="316" spans="1:3" ht="15">
      <c r="A316" s="17"/>
      <c r="B316" s="17"/>
      <c r="C316" s="17"/>
    </row>
    <row r="317" spans="1:3" ht="15">
      <c r="A317" s="8"/>
      <c r="B317" s="8"/>
      <c r="C317" s="8"/>
    </row>
    <row r="318" spans="1:3" ht="15">
      <c r="A318" s="8"/>
      <c r="B318" s="8"/>
      <c r="C318" s="8"/>
    </row>
    <row r="319" spans="1:3" ht="15">
      <c r="A319" s="8"/>
      <c r="B319" s="8"/>
      <c r="C319" s="8"/>
    </row>
    <row r="320" spans="1:3" ht="15">
      <c r="A320" s="8"/>
      <c r="B320" s="8"/>
      <c r="C320" s="8"/>
    </row>
    <row r="321" spans="1:3" ht="15">
      <c r="A321" s="8"/>
      <c r="B321" s="8"/>
      <c r="C321" s="8"/>
    </row>
    <row r="322" spans="1:3" ht="15">
      <c r="A322" s="8"/>
      <c r="B322" s="6"/>
      <c r="C322" s="6"/>
    </row>
    <row r="323" spans="1:3" ht="15">
      <c r="A323" s="8"/>
      <c r="B323" s="6"/>
      <c r="C323" s="6"/>
    </row>
    <row r="324" spans="1:3" ht="15">
      <c r="A324" s="8"/>
      <c r="B324" s="8"/>
      <c r="C324" s="8"/>
    </row>
    <row r="325" spans="1:3" ht="15">
      <c r="A325" s="8"/>
      <c r="B325" s="8"/>
      <c r="C325" s="8"/>
    </row>
    <row r="326" spans="1:3" ht="15">
      <c r="A326" s="8"/>
      <c r="B326" s="8"/>
      <c r="C326" s="8"/>
    </row>
    <row r="327" spans="1:3" ht="15">
      <c r="A327" s="8"/>
      <c r="B327" s="8"/>
      <c r="C327" s="8"/>
    </row>
    <row r="328" spans="1:3" ht="21">
      <c r="A328" s="9"/>
      <c r="B328" s="19" t="s">
        <v>1430</v>
      </c>
      <c r="C328" s="9"/>
    </row>
    <row r="329" spans="1:3" ht="15">
      <c r="A329" s="8"/>
      <c r="B329" s="11"/>
      <c r="C329" s="8"/>
    </row>
    <row r="330" spans="1:3" ht="15">
      <c r="A330" s="8"/>
      <c r="B330" s="8"/>
      <c r="C330" s="8"/>
    </row>
    <row r="331" spans="1:3" ht="15">
      <c r="A331" s="8"/>
      <c r="B331" s="11" t="s">
        <v>921</v>
      </c>
      <c r="C331" s="8"/>
    </row>
    <row r="332" spans="1:3" ht="13.8">
      <c r="A332" s="8"/>
      <c r="B332" s="12" t="s">
        <v>922</v>
      </c>
      <c r="C332" s="8"/>
    </row>
    <row r="333" spans="1:3" ht="15">
      <c r="A333" s="8"/>
      <c r="B333" s="8"/>
      <c r="C333" s="8"/>
    </row>
    <row r="334" spans="1:3" ht="15">
      <c r="A334" s="8"/>
      <c r="B334" s="8"/>
      <c r="C334" s="8"/>
    </row>
    <row r="335" spans="1:3" ht="15">
      <c r="A335" s="8"/>
      <c r="B335" s="5" t="s">
        <v>923</v>
      </c>
      <c r="C335" s="8"/>
    </row>
    <row r="336" spans="1:3" ht="24">
      <c r="A336" s="8"/>
      <c r="B336" s="13" t="s">
        <v>943</v>
      </c>
      <c r="C336" s="8"/>
    </row>
    <row r="337" spans="1:3" ht="15.6">
      <c r="A337" s="8"/>
      <c r="B337" s="2"/>
      <c r="C337" s="8"/>
    </row>
    <row r="338" spans="1:3" ht="15">
      <c r="A338" s="8"/>
      <c r="B338" s="11" t="s">
        <v>924</v>
      </c>
      <c r="C338" s="8"/>
    </row>
    <row r="339" spans="1:3" ht="15">
      <c r="A339" s="8"/>
      <c r="B339" s="14" t="s">
        <v>925</v>
      </c>
      <c r="C339" s="8"/>
    </row>
    <row r="340" spans="1:3" ht="15">
      <c r="A340" s="8"/>
      <c r="B340" s="14" t="s">
        <v>926</v>
      </c>
      <c r="C340" s="8"/>
    </row>
    <row r="341" spans="1:3" ht="15">
      <c r="A341" s="8"/>
      <c r="B341" s="5"/>
      <c r="C341" s="8"/>
    </row>
    <row r="342" spans="1:3" ht="15">
      <c r="A342" s="8"/>
      <c r="B342" s="5"/>
      <c r="C342" s="8"/>
    </row>
    <row r="343" spans="1:3" ht="15">
      <c r="A343" s="8"/>
      <c r="B343" s="5" t="s">
        <v>927</v>
      </c>
      <c r="C343" s="8"/>
    </row>
    <row r="344" spans="1:3" ht="15">
      <c r="A344" s="8"/>
      <c r="B344" s="13" t="s">
        <v>928</v>
      </c>
      <c r="C344" s="8"/>
    </row>
    <row r="345" spans="1:3" ht="13.8">
      <c r="A345" s="15"/>
      <c r="B345" s="13" t="s">
        <v>926</v>
      </c>
      <c r="C345" s="15"/>
    </row>
    <row r="346" spans="1:3" ht="15">
      <c r="A346" s="11"/>
      <c r="B346" s="11"/>
      <c r="C346" s="11"/>
    </row>
    <row r="347" spans="1:3" ht="15">
      <c r="A347" s="8"/>
      <c r="B347" s="5"/>
      <c r="C347" s="8"/>
    </row>
    <row r="348" spans="1:3" ht="15">
      <c r="A348" s="8"/>
      <c r="B348" s="11" t="s">
        <v>929</v>
      </c>
      <c r="C348" s="8"/>
    </row>
    <row r="349" spans="1:3" ht="15">
      <c r="A349" s="8"/>
      <c r="B349" s="7" t="s">
        <v>930</v>
      </c>
      <c r="C349" s="8"/>
    </row>
    <row r="350" spans="1:3" ht="15">
      <c r="A350" s="8"/>
      <c r="B350" s="5" t="s">
        <v>931</v>
      </c>
      <c r="C350" s="8"/>
    </row>
    <row r="351" spans="1:3" ht="15">
      <c r="A351" s="8"/>
      <c r="B351" s="11" t="s">
        <v>932</v>
      </c>
      <c r="C351" s="8"/>
    </row>
    <row r="352" spans="1:3" ht="15">
      <c r="A352" s="8"/>
      <c r="B352" s="11" t="s">
        <v>933</v>
      </c>
      <c r="C352" s="8"/>
    </row>
    <row r="353" spans="1:3" ht="15">
      <c r="A353" s="8"/>
      <c r="B353" s="11"/>
      <c r="C353" s="8"/>
    </row>
    <row r="354" spans="1:3" ht="15">
      <c r="A354" s="8"/>
      <c r="B354" s="11"/>
      <c r="C354" s="8"/>
    </row>
    <row r="355" spans="1:3" ht="15">
      <c r="A355" s="8"/>
      <c r="B355" s="8"/>
      <c r="C355" s="8"/>
    </row>
    <row r="356" spans="1:3" ht="15">
      <c r="A356" s="8"/>
      <c r="B356" s="8"/>
      <c r="C356" s="8"/>
    </row>
    <row r="357" spans="1:3" ht="15">
      <c r="A357" s="8"/>
      <c r="B357" s="8"/>
      <c r="C357" s="8"/>
    </row>
    <row r="358" spans="1:3" ht="15">
      <c r="A358" s="8"/>
      <c r="B358" s="8"/>
      <c r="C358" s="8"/>
    </row>
    <row r="359" spans="1:3" ht="15">
      <c r="A359" s="8"/>
      <c r="B359" s="11" t="s">
        <v>934</v>
      </c>
      <c r="C359" s="8"/>
    </row>
    <row r="360" spans="1:3" ht="15">
      <c r="A360" s="8"/>
      <c r="B360" s="5" t="s">
        <v>935</v>
      </c>
      <c r="C360" s="8"/>
    </row>
    <row r="361" spans="1:3" ht="15">
      <c r="A361" s="8"/>
      <c r="B361" s="11" t="s">
        <v>936</v>
      </c>
      <c r="C361" s="8"/>
    </row>
    <row r="362" spans="1:3" ht="15">
      <c r="A362" s="8"/>
      <c r="B362" s="11" t="s">
        <v>937</v>
      </c>
      <c r="C362" s="8"/>
    </row>
    <row r="363" spans="1:3" ht="15">
      <c r="A363" s="8"/>
      <c r="B363" s="11" t="s">
        <v>938</v>
      </c>
      <c r="C363" s="8"/>
    </row>
    <row r="364" spans="1:3" ht="15">
      <c r="A364" s="8"/>
      <c r="B364" s="11" t="s">
        <v>939</v>
      </c>
      <c r="C364" s="8"/>
    </row>
    <row r="365" spans="1:3" ht="15">
      <c r="A365" s="8"/>
      <c r="B365" s="11" t="s">
        <v>940</v>
      </c>
      <c r="C365" s="8"/>
    </row>
    <row r="366" spans="1:3" ht="15">
      <c r="A366" s="8"/>
      <c r="B366" s="11"/>
      <c r="C366" s="8"/>
    </row>
    <row r="367" spans="1:3" ht="17.4">
      <c r="A367" s="8"/>
      <c r="B367" s="11"/>
      <c r="C367" s="16">
        <v>7</v>
      </c>
    </row>
    <row r="368" spans="1:3" ht="17.4">
      <c r="A368" s="8"/>
      <c r="B368" s="8"/>
      <c r="C368" s="16"/>
    </row>
    <row r="369" spans="1:3" ht="15">
      <c r="A369" s="17"/>
      <c r="B369" s="17"/>
      <c r="C369" s="17"/>
    </row>
    <row r="370" spans="1:3" ht="15">
      <c r="A370" s="8"/>
      <c r="B370" s="8"/>
      <c r="C370" s="8"/>
    </row>
    <row r="371" spans="1:3" ht="15">
      <c r="A371" s="8"/>
      <c r="B371" s="8"/>
      <c r="C371" s="8"/>
    </row>
    <row r="372" spans="1:3" ht="15">
      <c r="A372" s="8"/>
      <c r="B372" s="8"/>
      <c r="C372" s="8"/>
    </row>
    <row r="373" spans="1:3" ht="15">
      <c r="A373" s="8"/>
      <c r="B373" s="8"/>
      <c r="C373" s="8"/>
    </row>
    <row r="374" spans="1:3" ht="15">
      <c r="A374" s="8"/>
      <c r="B374" s="8"/>
      <c r="C374" s="8"/>
    </row>
    <row r="375" spans="1:3" ht="15">
      <c r="A375" s="8"/>
      <c r="B375" s="8"/>
      <c r="C375" s="8"/>
    </row>
    <row r="376" spans="1:3" ht="15">
      <c r="A376" s="8"/>
      <c r="B376" s="8"/>
      <c r="C376" s="8"/>
    </row>
    <row r="377" spans="1:3" ht="15">
      <c r="A377" s="8"/>
      <c r="B377" s="8"/>
      <c r="C377" s="8"/>
    </row>
    <row r="378" spans="1:3" ht="15">
      <c r="A378" s="8"/>
      <c r="B378" s="8"/>
      <c r="C378" s="8"/>
    </row>
    <row r="379" spans="1:3" ht="15">
      <c r="A379" s="8"/>
      <c r="B379" s="8"/>
      <c r="C379" s="8"/>
    </row>
  </sheetData>
  <mergeCells count="1">
    <mergeCell ref="A212:C213"/>
  </mergeCells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379"/>
  <sheetViews>
    <sheetView workbookViewId="0" topLeftCell="A285">
      <selection activeCell="C60" sqref="C60"/>
    </sheetView>
  </sheetViews>
  <sheetFormatPr defaultColWidth="9.140625" defaultRowHeight="15"/>
  <cols>
    <col min="1" max="1" width="10.00390625" style="1" customWidth="1"/>
    <col min="2" max="2" width="61.8515625" style="3" customWidth="1"/>
    <col min="3" max="3" width="12.57421875" style="1" customWidth="1"/>
    <col min="4" max="16384" width="9.140625" style="1" customWidth="1"/>
  </cols>
  <sheetData>
    <row r="1" spans="1:3" ht="15">
      <c r="A1" s="8"/>
      <c r="B1" s="8"/>
      <c r="C1" s="8"/>
    </row>
    <row r="2" spans="1:3" ht="15">
      <c r="A2" s="8"/>
      <c r="B2" s="8"/>
      <c r="C2" s="8"/>
    </row>
    <row r="3" spans="1:4" ht="15.6">
      <c r="A3" s="8"/>
      <c r="B3" s="8"/>
      <c r="C3" s="8"/>
      <c r="D3" s="2"/>
    </row>
    <row r="4" spans="1:3" ht="15">
      <c r="A4" s="8"/>
      <c r="B4" s="6"/>
      <c r="C4" s="6"/>
    </row>
    <row r="5" spans="1:3" ht="15">
      <c r="A5" s="8"/>
      <c r="B5" s="6"/>
      <c r="C5" s="6"/>
    </row>
    <row r="6" spans="1:3" ht="15">
      <c r="A6" s="8"/>
      <c r="B6" s="8"/>
      <c r="C6" s="8"/>
    </row>
    <row r="7" spans="1:3" ht="15">
      <c r="A7" s="8"/>
      <c r="B7" s="8"/>
      <c r="C7" s="8"/>
    </row>
    <row r="8" spans="1:3" ht="15">
      <c r="A8" s="8"/>
      <c r="B8" s="8"/>
      <c r="C8" s="8"/>
    </row>
    <row r="9" spans="1:3" ht="15">
      <c r="A9" s="8"/>
      <c r="B9" s="8"/>
      <c r="C9" s="8"/>
    </row>
    <row r="10" spans="1:3" ht="21">
      <c r="A10" s="9"/>
      <c r="B10" s="10" t="s">
        <v>920</v>
      </c>
      <c r="C10" s="9"/>
    </row>
    <row r="11" spans="1:3" ht="15">
      <c r="A11" s="8"/>
      <c r="B11" s="11"/>
      <c r="C11" s="8"/>
    </row>
    <row r="12" spans="1:10" ht="15">
      <c r="A12" s="8"/>
      <c r="B12" s="8"/>
      <c r="C12" s="8"/>
      <c r="D12" s="6"/>
      <c r="E12" s="6"/>
      <c r="F12" s="6"/>
      <c r="G12" s="6"/>
      <c r="H12" s="6"/>
      <c r="I12" s="6"/>
      <c r="J12" s="6"/>
    </row>
    <row r="13" spans="1:3" ht="15">
      <c r="A13" s="8"/>
      <c r="B13" s="11" t="s">
        <v>921</v>
      </c>
      <c r="C13" s="8"/>
    </row>
    <row r="14" spans="1:3" ht="13.8">
      <c r="A14" s="8"/>
      <c r="B14" s="12" t="s">
        <v>922</v>
      </c>
      <c r="C14" s="8"/>
    </row>
    <row r="15" spans="1:3" ht="15">
      <c r="A15" s="8"/>
      <c r="B15" s="8"/>
      <c r="C15" s="8"/>
    </row>
    <row r="16" spans="1:3" ht="13.8">
      <c r="A16" s="8"/>
      <c r="B16" s="12"/>
      <c r="C16" s="8"/>
    </row>
    <row r="17" spans="1:3" ht="15">
      <c r="A17" s="8"/>
      <c r="B17" s="5" t="s">
        <v>923</v>
      </c>
      <c r="C17" s="8"/>
    </row>
    <row r="18" spans="1:3" ht="26.4">
      <c r="A18" s="8"/>
      <c r="B18" s="18" t="s">
        <v>1</v>
      </c>
      <c r="C18" s="8"/>
    </row>
    <row r="19" spans="1:3" ht="15.6">
      <c r="A19" s="8"/>
      <c r="B19" s="2"/>
      <c r="C19" s="8"/>
    </row>
    <row r="20" spans="1:3" ht="15">
      <c r="A20" s="8"/>
      <c r="B20" s="11" t="s">
        <v>924</v>
      </c>
      <c r="C20" s="8"/>
    </row>
    <row r="21" spans="1:3" ht="15">
      <c r="A21" s="8"/>
      <c r="B21" s="14" t="s">
        <v>925</v>
      </c>
      <c r="C21" s="8"/>
    </row>
    <row r="22" spans="1:3" ht="15">
      <c r="A22" s="8"/>
      <c r="B22" s="14" t="s">
        <v>926</v>
      </c>
      <c r="C22" s="8"/>
    </row>
    <row r="23" spans="1:3" ht="15">
      <c r="A23" s="8"/>
      <c r="B23" s="5"/>
      <c r="C23" s="8"/>
    </row>
    <row r="24" spans="1:3" ht="15">
      <c r="A24" s="8"/>
      <c r="B24" s="5"/>
      <c r="C24" s="8"/>
    </row>
    <row r="25" spans="1:3" ht="15">
      <c r="A25" s="8"/>
      <c r="B25" s="5" t="s">
        <v>927</v>
      </c>
      <c r="C25" s="8"/>
    </row>
    <row r="26" spans="1:3" ht="15">
      <c r="A26" s="8"/>
      <c r="B26" s="13" t="s">
        <v>928</v>
      </c>
      <c r="C26" s="8"/>
    </row>
    <row r="27" spans="1:3" ht="13.8">
      <c r="A27" s="15"/>
      <c r="B27" s="13" t="s">
        <v>926</v>
      </c>
      <c r="C27" s="15"/>
    </row>
    <row r="28" spans="1:3" ht="15">
      <c r="A28" s="11"/>
      <c r="B28" s="11"/>
      <c r="C28" s="11"/>
    </row>
    <row r="29" spans="1:3" ht="15">
      <c r="A29" s="8"/>
      <c r="B29" s="5"/>
      <c r="C29" s="8"/>
    </row>
    <row r="30" spans="1:3" ht="15">
      <c r="A30" s="8"/>
      <c r="B30" s="11" t="s">
        <v>929</v>
      </c>
      <c r="C30" s="8"/>
    </row>
    <row r="31" spans="1:3" ht="15">
      <c r="A31" s="8"/>
      <c r="B31" s="7" t="s">
        <v>930</v>
      </c>
      <c r="C31" s="8"/>
    </row>
    <row r="32" spans="1:3" ht="15">
      <c r="A32" s="8"/>
      <c r="B32" s="5" t="s">
        <v>931</v>
      </c>
      <c r="C32" s="8"/>
    </row>
    <row r="33" spans="1:3" ht="15">
      <c r="A33" s="8"/>
      <c r="B33" s="11" t="s">
        <v>932</v>
      </c>
      <c r="C33" s="8"/>
    </row>
    <row r="34" spans="1:3" ht="15">
      <c r="A34" s="8"/>
      <c r="B34" s="11" t="s">
        <v>933</v>
      </c>
      <c r="C34" s="8"/>
    </row>
    <row r="35" spans="1:3" ht="15">
      <c r="A35" s="8"/>
      <c r="B35" s="11"/>
      <c r="C35" s="8"/>
    </row>
    <row r="36" spans="1:3" ht="15">
      <c r="A36" s="8"/>
      <c r="B36" s="11"/>
      <c r="C36" s="8"/>
    </row>
    <row r="37" spans="1:3" ht="15">
      <c r="A37" s="8"/>
      <c r="B37" s="8"/>
      <c r="C37" s="8"/>
    </row>
    <row r="38" spans="1:3" ht="15">
      <c r="A38" s="8"/>
      <c r="B38" s="8"/>
      <c r="C38" s="8"/>
    </row>
    <row r="39" spans="1:3" ht="15">
      <c r="A39" s="8"/>
      <c r="B39" s="8"/>
      <c r="C39" s="8"/>
    </row>
    <row r="40" spans="1:3" ht="15">
      <c r="A40" s="8"/>
      <c r="B40" s="8"/>
      <c r="C40" s="8"/>
    </row>
    <row r="41" spans="1:3" ht="15">
      <c r="A41" s="8"/>
      <c r="B41" s="11" t="s">
        <v>934</v>
      </c>
      <c r="C41" s="8"/>
    </row>
    <row r="42" spans="1:3" ht="12.75" customHeight="1">
      <c r="A42" s="8"/>
      <c r="B42" s="5" t="s">
        <v>935</v>
      </c>
      <c r="C42" s="8"/>
    </row>
    <row r="43" spans="1:3" ht="12.75" customHeight="1">
      <c r="A43" s="8"/>
      <c r="B43" s="11" t="s">
        <v>936</v>
      </c>
      <c r="C43" s="8"/>
    </row>
    <row r="44" spans="1:3" ht="15">
      <c r="A44" s="8"/>
      <c r="B44" s="11" t="s">
        <v>937</v>
      </c>
      <c r="C44" s="8"/>
    </row>
    <row r="45" spans="1:3" ht="15">
      <c r="A45" s="8"/>
      <c r="B45" s="11" t="s">
        <v>938</v>
      </c>
      <c r="C45" s="8"/>
    </row>
    <row r="46" spans="1:4" ht="15.6">
      <c r="A46" s="8"/>
      <c r="B46" s="11" t="s">
        <v>939</v>
      </c>
      <c r="C46" s="8"/>
      <c r="D46" s="2"/>
    </row>
    <row r="47" spans="1:3" ht="15">
      <c r="A47" s="8"/>
      <c r="B47" s="11" t="s">
        <v>940</v>
      </c>
      <c r="C47" s="8"/>
    </row>
    <row r="48" spans="1:3" ht="15">
      <c r="A48" s="8"/>
      <c r="B48" s="11"/>
      <c r="C48" s="8"/>
    </row>
    <row r="49" spans="1:3" ht="17.4">
      <c r="A49" s="8"/>
      <c r="B49" s="11"/>
      <c r="C49" s="16">
        <v>1</v>
      </c>
    </row>
    <row r="50" spans="1:3" ht="17.4">
      <c r="A50" s="8"/>
      <c r="B50" s="8"/>
      <c r="C50" s="16"/>
    </row>
    <row r="51" spans="1:3" ht="15">
      <c r="A51" s="17"/>
      <c r="B51" s="17"/>
      <c r="C51" s="17"/>
    </row>
    <row r="52" spans="1:3" ht="15">
      <c r="A52" s="8"/>
      <c r="B52" s="8"/>
      <c r="C52" s="8"/>
    </row>
    <row r="53" spans="1:3" ht="15">
      <c r="A53" s="8"/>
      <c r="B53" s="8"/>
      <c r="C53" s="8"/>
    </row>
    <row r="54" spans="1:3" ht="15">
      <c r="A54" s="8"/>
      <c r="B54" s="8"/>
      <c r="C54" s="8"/>
    </row>
    <row r="55" spans="1:3" ht="15">
      <c r="A55" s="8"/>
      <c r="B55" s="8"/>
      <c r="C55" s="8"/>
    </row>
    <row r="56" spans="1:3" ht="15">
      <c r="A56" s="8"/>
      <c r="B56" s="8"/>
      <c r="C56" s="8"/>
    </row>
    <row r="57" spans="1:10" ht="15">
      <c r="A57" s="8"/>
      <c r="B57" s="6"/>
      <c r="C57" s="6"/>
      <c r="D57" s="4"/>
      <c r="E57" s="4"/>
      <c r="F57" s="4"/>
      <c r="G57" s="4"/>
      <c r="H57" s="4"/>
      <c r="I57" s="4"/>
      <c r="J57" s="4"/>
    </row>
    <row r="58" spans="1:3" ht="15">
      <c r="A58" s="8"/>
      <c r="B58" s="6"/>
      <c r="C58" s="6"/>
    </row>
    <row r="59" spans="1:3" ht="15">
      <c r="A59" s="8"/>
      <c r="B59" s="8"/>
      <c r="C59" s="8"/>
    </row>
    <row r="60" spans="1:3" ht="15">
      <c r="A60" s="8"/>
      <c r="B60" s="8"/>
      <c r="C60" s="8"/>
    </row>
    <row r="61" spans="1:3" ht="15">
      <c r="A61" s="8"/>
      <c r="B61" s="8"/>
      <c r="C61" s="8"/>
    </row>
    <row r="62" spans="1:10" ht="15">
      <c r="A62" s="8"/>
      <c r="B62" s="8"/>
      <c r="C62" s="8"/>
      <c r="D62" s="6"/>
      <c r="E62" s="6"/>
      <c r="F62" s="6"/>
      <c r="G62" s="6"/>
      <c r="H62" s="6"/>
      <c r="I62" s="6"/>
      <c r="J62" s="6"/>
    </row>
    <row r="63" spans="1:10" ht="21">
      <c r="A63" s="9"/>
      <c r="B63" s="10" t="s">
        <v>941</v>
      </c>
      <c r="C63" s="9"/>
      <c r="D63" s="6"/>
      <c r="E63" s="6"/>
      <c r="F63" s="6"/>
      <c r="G63" s="6"/>
      <c r="H63" s="6"/>
      <c r="I63" s="6"/>
      <c r="J63" s="6"/>
    </row>
    <row r="64" spans="1:10" ht="15">
      <c r="A64" s="8"/>
      <c r="B64" s="11"/>
      <c r="C64" s="8"/>
      <c r="D64" s="6"/>
      <c r="E64" s="6"/>
      <c r="F64" s="6"/>
      <c r="G64" s="6"/>
      <c r="H64" s="6"/>
      <c r="I64" s="6"/>
      <c r="J64" s="6"/>
    </row>
    <row r="65" spans="1:3" ht="15">
      <c r="A65" s="8"/>
      <c r="B65" s="8"/>
      <c r="C65" s="8"/>
    </row>
    <row r="66" spans="1:3" ht="15">
      <c r="A66" s="8"/>
      <c r="B66" s="11" t="s">
        <v>921</v>
      </c>
      <c r="C66" s="8"/>
    </row>
    <row r="67" spans="1:3" ht="13.8">
      <c r="A67" s="8"/>
      <c r="B67" s="12" t="s">
        <v>922</v>
      </c>
      <c r="C67" s="8"/>
    </row>
    <row r="68" spans="1:3" ht="15">
      <c r="A68" s="8"/>
      <c r="B68" s="8"/>
      <c r="C68" s="8"/>
    </row>
    <row r="69" spans="1:3" ht="15">
      <c r="A69" s="8"/>
      <c r="B69" s="8"/>
      <c r="C69" s="8"/>
    </row>
    <row r="70" spans="1:3" ht="15">
      <c r="A70" s="8"/>
      <c r="B70" s="5" t="s">
        <v>923</v>
      </c>
      <c r="C70" s="8"/>
    </row>
    <row r="71" spans="1:3" ht="24">
      <c r="A71" s="8"/>
      <c r="B71" s="13" t="s">
        <v>1</v>
      </c>
      <c r="C71" s="8"/>
    </row>
    <row r="72" spans="1:3" ht="15.6">
      <c r="A72" s="8"/>
      <c r="B72" s="2"/>
      <c r="C72" s="8"/>
    </row>
    <row r="73" spans="1:3" ht="15">
      <c r="A73" s="8"/>
      <c r="B73" s="11" t="s">
        <v>924</v>
      </c>
      <c r="C73" s="8"/>
    </row>
    <row r="74" spans="1:3" ht="15">
      <c r="A74" s="8"/>
      <c r="B74" s="14" t="s">
        <v>925</v>
      </c>
      <c r="C74" s="8"/>
    </row>
    <row r="75" spans="1:3" ht="15">
      <c r="A75" s="8"/>
      <c r="B75" s="14" t="s">
        <v>926</v>
      </c>
      <c r="C75" s="8"/>
    </row>
    <row r="76" spans="1:3" ht="15">
      <c r="A76" s="8"/>
      <c r="B76" s="5"/>
      <c r="C76" s="8"/>
    </row>
    <row r="77" spans="1:3" ht="15">
      <c r="A77" s="8"/>
      <c r="B77" s="5"/>
      <c r="C77" s="8"/>
    </row>
    <row r="78" spans="1:3" ht="15">
      <c r="A78" s="8"/>
      <c r="B78" s="5" t="s">
        <v>927</v>
      </c>
      <c r="C78" s="8"/>
    </row>
    <row r="79" spans="1:3" ht="15">
      <c r="A79" s="8"/>
      <c r="B79" s="13" t="s">
        <v>928</v>
      </c>
      <c r="C79" s="8"/>
    </row>
    <row r="80" spans="1:3" ht="13.8">
      <c r="A80" s="15"/>
      <c r="B80" s="13" t="s">
        <v>926</v>
      </c>
      <c r="C80" s="15"/>
    </row>
    <row r="81" spans="1:3" ht="15">
      <c r="A81" s="11"/>
      <c r="B81" s="11"/>
      <c r="C81" s="11"/>
    </row>
    <row r="82" spans="1:3" ht="15">
      <c r="A82" s="8"/>
      <c r="B82" s="5"/>
      <c r="C82" s="8"/>
    </row>
    <row r="83" spans="1:3" ht="15">
      <c r="A83" s="8"/>
      <c r="B83" s="11" t="s">
        <v>929</v>
      </c>
      <c r="C83" s="8"/>
    </row>
    <row r="84" spans="1:3" ht="15">
      <c r="A84" s="8"/>
      <c r="B84" s="7" t="s">
        <v>930</v>
      </c>
      <c r="C84" s="8"/>
    </row>
    <row r="85" spans="1:3" ht="15">
      <c r="A85" s="8"/>
      <c r="B85" s="5" t="s">
        <v>931</v>
      </c>
      <c r="C85" s="8"/>
    </row>
    <row r="86" spans="1:3" ht="15">
      <c r="A86" s="8"/>
      <c r="B86" s="11" t="s">
        <v>932</v>
      </c>
      <c r="C86" s="8"/>
    </row>
    <row r="87" spans="1:3" ht="15">
      <c r="A87" s="8"/>
      <c r="B87" s="11" t="s">
        <v>933</v>
      </c>
      <c r="C87" s="8"/>
    </row>
    <row r="88" spans="1:3" ht="15">
      <c r="A88" s="8"/>
      <c r="B88" s="11"/>
      <c r="C88" s="8"/>
    </row>
    <row r="89" spans="1:3" ht="15">
      <c r="A89" s="8"/>
      <c r="B89" s="11"/>
      <c r="C89" s="8"/>
    </row>
    <row r="90" spans="1:3" ht="15">
      <c r="A90" s="8"/>
      <c r="B90" s="8"/>
      <c r="C90" s="8"/>
    </row>
    <row r="91" spans="1:3" ht="15">
      <c r="A91" s="8"/>
      <c r="B91" s="8"/>
      <c r="C91" s="8"/>
    </row>
    <row r="92" spans="1:3" ht="15">
      <c r="A92" s="8"/>
      <c r="B92" s="8"/>
      <c r="C92" s="8"/>
    </row>
    <row r="93" spans="1:3" ht="15">
      <c r="A93" s="8"/>
      <c r="B93" s="8"/>
      <c r="C93" s="8"/>
    </row>
    <row r="94" spans="1:3" ht="15">
      <c r="A94" s="8"/>
      <c r="B94" s="11" t="s">
        <v>934</v>
      </c>
      <c r="C94" s="8"/>
    </row>
    <row r="95" spans="1:3" ht="12.75" customHeight="1">
      <c r="A95" s="8"/>
      <c r="B95" s="5" t="s">
        <v>935</v>
      </c>
      <c r="C95" s="8"/>
    </row>
    <row r="96" spans="1:3" ht="12.75" customHeight="1">
      <c r="A96" s="8"/>
      <c r="B96" s="11" t="s">
        <v>936</v>
      </c>
      <c r="C96" s="8"/>
    </row>
    <row r="97" spans="1:3" ht="15">
      <c r="A97" s="8"/>
      <c r="B97" s="11" t="s">
        <v>937</v>
      </c>
      <c r="C97" s="8"/>
    </row>
    <row r="98" spans="1:3" ht="15">
      <c r="A98" s="8"/>
      <c r="B98" s="11" t="s">
        <v>938</v>
      </c>
      <c r="C98" s="8"/>
    </row>
    <row r="99" spans="1:4" ht="15.6">
      <c r="A99" s="8"/>
      <c r="B99" s="11" t="s">
        <v>939</v>
      </c>
      <c r="C99" s="8"/>
      <c r="D99" s="2"/>
    </row>
    <row r="100" spans="1:3" ht="15">
      <c r="A100" s="8"/>
      <c r="B100" s="11" t="s">
        <v>940</v>
      </c>
      <c r="C100" s="8"/>
    </row>
    <row r="101" spans="1:3" ht="15">
      <c r="A101" s="8"/>
      <c r="B101" s="11"/>
      <c r="C101" s="8"/>
    </row>
    <row r="102" spans="1:3" ht="17.4">
      <c r="A102" s="8"/>
      <c r="B102" s="11"/>
      <c r="C102" s="16">
        <v>2</v>
      </c>
    </row>
    <row r="103" spans="1:3" ht="17.4">
      <c r="A103" s="8"/>
      <c r="B103" s="8"/>
      <c r="C103" s="16"/>
    </row>
    <row r="104" spans="1:3" ht="15">
      <c r="A104" s="17"/>
      <c r="B104" s="17"/>
      <c r="C104" s="17"/>
    </row>
    <row r="105" spans="1:3" ht="15">
      <c r="A105" s="8"/>
      <c r="B105" s="8"/>
      <c r="C105" s="8"/>
    </row>
    <row r="106" spans="1:3" ht="15">
      <c r="A106" s="8"/>
      <c r="B106" s="8"/>
      <c r="C106" s="8"/>
    </row>
    <row r="107" spans="1:3" ht="15">
      <c r="A107" s="8"/>
      <c r="B107" s="8"/>
      <c r="C107" s="8"/>
    </row>
    <row r="108" spans="1:3" ht="15">
      <c r="A108" s="8"/>
      <c r="B108" s="8"/>
      <c r="C108" s="8"/>
    </row>
    <row r="109" spans="1:3" ht="15">
      <c r="A109" s="8"/>
      <c r="B109" s="8"/>
      <c r="C109" s="8"/>
    </row>
    <row r="110" spans="1:10" ht="15">
      <c r="A110" s="8"/>
      <c r="B110" s="6"/>
      <c r="C110" s="6"/>
      <c r="D110" s="4"/>
      <c r="E110" s="4"/>
      <c r="F110" s="4"/>
      <c r="G110" s="4"/>
      <c r="H110" s="4"/>
      <c r="I110" s="4"/>
      <c r="J110" s="4"/>
    </row>
    <row r="111" spans="1:3" ht="15">
      <c r="A111" s="8"/>
      <c r="B111" s="6"/>
      <c r="C111" s="6"/>
    </row>
    <row r="112" spans="1:3" ht="15">
      <c r="A112" s="8"/>
      <c r="B112" s="8"/>
      <c r="C112" s="8"/>
    </row>
    <row r="113" spans="1:3" ht="15">
      <c r="A113" s="8"/>
      <c r="B113" s="8"/>
      <c r="C113" s="8"/>
    </row>
    <row r="114" spans="1:3" ht="15">
      <c r="A114" s="8"/>
      <c r="B114" s="8"/>
      <c r="C114" s="8"/>
    </row>
    <row r="115" spans="1:10" ht="15">
      <c r="A115" s="8"/>
      <c r="B115" s="8"/>
      <c r="C115" s="8"/>
      <c r="D115" s="6"/>
      <c r="E115" s="6"/>
      <c r="F115" s="6"/>
      <c r="G115" s="6"/>
      <c r="H115" s="6"/>
      <c r="I115" s="6"/>
      <c r="J115" s="6"/>
    </row>
    <row r="116" spans="1:10" ht="21">
      <c r="A116" s="9"/>
      <c r="B116" s="10" t="s">
        <v>941</v>
      </c>
      <c r="C116" s="9"/>
      <c r="D116" s="6"/>
      <c r="E116" s="6"/>
      <c r="F116" s="6"/>
      <c r="G116" s="6"/>
      <c r="H116" s="6"/>
      <c r="I116" s="6"/>
      <c r="J116" s="6"/>
    </row>
    <row r="117" spans="1:10" ht="15">
      <c r="A117" s="8"/>
      <c r="B117" s="11"/>
      <c r="C117" s="8"/>
      <c r="D117" s="6"/>
      <c r="E117" s="6"/>
      <c r="F117" s="6"/>
      <c r="G117" s="6"/>
      <c r="H117" s="6"/>
      <c r="I117" s="6"/>
      <c r="J117" s="6"/>
    </row>
    <row r="118" spans="1:3" ht="15">
      <c r="A118" s="8"/>
      <c r="B118" s="8"/>
      <c r="C118" s="8"/>
    </row>
    <row r="119" spans="1:3" ht="15">
      <c r="A119" s="8"/>
      <c r="B119" s="11" t="s">
        <v>921</v>
      </c>
      <c r="C119" s="8"/>
    </row>
    <row r="120" spans="1:3" ht="13.8">
      <c r="A120" s="8"/>
      <c r="B120" s="12" t="s">
        <v>922</v>
      </c>
      <c r="C120" s="8"/>
    </row>
    <row r="121" spans="1:3" ht="15">
      <c r="A121" s="8"/>
      <c r="B121" s="8"/>
      <c r="C121" s="8"/>
    </row>
    <row r="122" spans="1:3" ht="15">
      <c r="A122" s="8"/>
      <c r="B122" s="8"/>
      <c r="C122" s="8"/>
    </row>
    <row r="123" spans="1:3" ht="15">
      <c r="A123" s="8"/>
      <c r="B123" s="5" t="s">
        <v>923</v>
      </c>
      <c r="C123" s="8"/>
    </row>
    <row r="124" spans="1:3" ht="24">
      <c r="A124" s="8"/>
      <c r="B124" s="13" t="s">
        <v>942</v>
      </c>
      <c r="C124" s="8"/>
    </row>
    <row r="125" spans="1:3" ht="15.6">
      <c r="A125" s="8"/>
      <c r="B125" s="2"/>
      <c r="C125" s="8"/>
    </row>
    <row r="126" spans="1:3" ht="15">
      <c r="A126" s="8"/>
      <c r="B126" s="11" t="s">
        <v>924</v>
      </c>
      <c r="C126" s="8"/>
    </row>
    <row r="127" spans="1:3" ht="15">
      <c r="A127" s="8"/>
      <c r="B127" s="14" t="s">
        <v>925</v>
      </c>
      <c r="C127" s="8"/>
    </row>
    <row r="128" spans="1:3" ht="15">
      <c r="A128" s="8"/>
      <c r="B128" s="14" t="s">
        <v>926</v>
      </c>
      <c r="C128" s="8"/>
    </row>
    <row r="129" spans="1:3" ht="15">
      <c r="A129" s="8"/>
      <c r="B129" s="5"/>
      <c r="C129" s="8"/>
    </row>
    <row r="130" spans="1:3" ht="15">
      <c r="A130" s="8"/>
      <c r="B130" s="5"/>
      <c r="C130" s="8"/>
    </row>
    <row r="131" spans="1:3" ht="15">
      <c r="A131" s="8"/>
      <c r="B131" s="5" t="s">
        <v>927</v>
      </c>
      <c r="C131" s="8"/>
    </row>
    <row r="132" spans="1:3" ht="15">
      <c r="A132" s="8"/>
      <c r="B132" s="13" t="s">
        <v>928</v>
      </c>
      <c r="C132" s="8"/>
    </row>
    <row r="133" spans="1:3" ht="13.8">
      <c r="A133" s="15"/>
      <c r="B133" s="13" t="s">
        <v>926</v>
      </c>
      <c r="C133" s="15"/>
    </row>
    <row r="134" spans="1:3" ht="15">
      <c r="A134" s="11"/>
      <c r="B134" s="11"/>
      <c r="C134" s="11"/>
    </row>
    <row r="135" spans="1:3" ht="15">
      <c r="A135" s="8"/>
      <c r="B135" s="5"/>
      <c r="C135" s="8"/>
    </row>
    <row r="136" spans="1:3" ht="15">
      <c r="A136" s="8"/>
      <c r="B136" s="11" t="s">
        <v>929</v>
      </c>
      <c r="C136" s="8"/>
    </row>
    <row r="137" spans="1:3" ht="15">
      <c r="A137" s="8"/>
      <c r="B137" s="7" t="s">
        <v>930</v>
      </c>
      <c r="C137" s="8"/>
    </row>
    <row r="138" spans="1:3" ht="15">
      <c r="A138" s="8"/>
      <c r="B138" s="5" t="s">
        <v>931</v>
      </c>
      <c r="C138" s="8"/>
    </row>
    <row r="139" spans="1:3" ht="15">
      <c r="A139" s="8"/>
      <c r="B139" s="11" t="s">
        <v>932</v>
      </c>
      <c r="C139" s="8"/>
    </row>
    <row r="140" spans="1:3" ht="15">
      <c r="A140" s="8"/>
      <c r="B140" s="11" t="s">
        <v>933</v>
      </c>
      <c r="C140" s="8"/>
    </row>
    <row r="141" spans="1:3" ht="15">
      <c r="A141" s="8"/>
      <c r="B141" s="11"/>
      <c r="C141" s="8"/>
    </row>
    <row r="142" spans="1:3" ht="15">
      <c r="A142" s="8"/>
      <c r="B142" s="11"/>
      <c r="C142" s="8"/>
    </row>
    <row r="143" spans="1:3" ht="15">
      <c r="A143" s="8"/>
      <c r="B143" s="8"/>
      <c r="C143" s="8"/>
    </row>
    <row r="144" spans="1:3" ht="15">
      <c r="A144" s="8"/>
      <c r="B144" s="8"/>
      <c r="C144" s="8"/>
    </row>
    <row r="145" spans="1:3" ht="15">
      <c r="A145" s="8"/>
      <c r="B145" s="8"/>
      <c r="C145" s="8"/>
    </row>
    <row r="146" spans="1:3" ht="15">
      <c r="A146" s="8"/>
      <c r="B146" s="8"/>
      <c r="C146" s="8"/>
    </row>
    <row r="147" spans="1:3" ht="15">
      <c r="A147" s="8"/>
      <c r="B147" s="11" t="s">
        <v>934</v>
      </c>
      <c r="C147" s="8"/>
    </row>
    <row r="148" spans="1:3" ht="12.75" customHeight="1">
      <c r="A148" s="8"/>
      <c r="B148" s="5" t="s">
        <v>935</v>
      </c>
      <c r="C148" s="8"/>
    </row>
    <row r="149" spans="1:3" ht="12.75" customHeight="1">
      <c r="A149" s="8"/>
      <c r="B149" s="11" t="s">
        <v>936</v>
      </c>
      <c r="C149" s="8"/>
    </row>
    <row r="150" spans="1:3" ht="15">
      <c r="A150" s="8"/>
      <c r="B150" s="11" t="s">
        <v>937</v>
      </c>
      <c r="C150" s="8"/>
    </row>
    <row r="151" spans="1:3" ht="15">
      <c r="A151" s="8"/>
      <c r="B151" s="11" t="s">
        <v>938</v>
      </c>
      <c r="C151" s="8"/>
    </row>
    <row r="152" spans="1:4" ht="15.6">
      <c r="A152" s="8"/>
      <c r="B152" s="11" t="s">
        <v>939</v>
      </c>
      <c r="C152" s="8"/>
      <c r="D152" s="2"/>
    </row>
    <row r="153" spans="1:3" ht="15">
      <c r="A153" s="8"/>
      <c r="B153" s="11" t="s">
        <v>940</v>
      </c>
      <c r="C153" s="8"/>
    </row>
    <row r="154" spans="1:3" ht="15">
      <c r="A154" s="8"/>
      <c r="B154" s="11"/>
      <c r="C154" s="8"/>
    </row>
    <row r="155" spans="1:3" ht="17.4">
      <c r="A155" s="8"/>
      <c r="B155" s="11"/>
      <c r="C155" s="16">
        <v>3</v>
      </c>
    </row>
    <row r="156" spans="1:3" ht="17.4">
      <c r="A156" s="8"/>
      <c r="B156" s="8"/>
      <c r="C156" s="16"/>
    </row>
    <row r="157" spans="1:3" ht="15">
      <c r="A157" s="17"/>
      <c r="B157" s="17"/>
      <c r="C157" s="17"/>
    </row>
    <row r="158" spans="1:3" ht="15">
      <c r="A158" s="8"/>
      <c r="B158" s="8"/>
      <c r="C158" s="8"/>
    </row>
    <row r="159" spans="1:3" ht="15">
      <c r="A159" s="8"/>
      <c r="B159" s="8"/>
      <c r="C159" s="8"/>
    </row>
    <row r="160" spans="1:3" ht="15">
      <c r="A160" s="8"/>
      <c r="B160" s="8"/>
      <c r="C160" s="8"/>
    </row>
    <row r="161" spans="1:3" ht="15">
      <c r="A161" s="8"/>
      <c r="B161" s="8"/>
      <c r="C161" s="8"/>
    </row>
    <row r="162" spans="1:3" ht="15">
      <c r="A162" s="8"/>
      <c r="B162" s="8"/>
      <c r="C162" s="8"/>
    </row>
    <row r="163" spans="1:10" ht="15">
      <c r="A163" s="8"/>
      <c r="B163" s="6"/>
      <c r="C163" s="6"/>
      <c r="D163" s="4"/>
      <c r="E163" s="4"/>
      <c r="F163" s="4"/>
      <c r="G163" s="4"/>
      <c r="H163" s="4"/>
      <c r="I163" s="4"/>
      <c r="J163" s="4"/>
    </row>
    <row r="164" spans="1:3" ht="15">
      <c r="A164" s="8"/>
      <c r="B164" s="6"/>
      <c r="C164" s="6"/>
    </row>
    <row r="165" spans="1:3" ht="15">
      <c r="A165" s="8"/>
      <c r="B165" s="8"/>
      <c r="C165" s="8"/>
    </row>
    <row r="166" spans="1:3" ht="15">
      <c r="A166" s="8"/>
      <c r="B166" s="8"/>
      <c r="C166" s="8"/>
    </row>
    <row r="167" spans="1:3" ht="15">
      <c r="A167" s="8"/>
      <c r="B167" s="8"/>
      <c r="C167" s="8"/>
    </row>
    <row r="168" spans="1:10" ht="15">
      <c r="A168" s="8"/>
      <c r="B168" s="8"/>
      <c r="C168" s="8"/>
      <c r="D168" s="6"/>
      <c r="E168" s="6"/>
      <c r="F168" s="6"/>
      <c r="G168" s="6"/>
      <c r="H168" s="6"/>
      <c r="I168" s="6"/>
      <c r="J168" s="6"/>
    </row>
    <row r="169" spans="1:10" ht="21">
      <c r="A169" s="9"/>
      <c r="B169" s="10" t="s">
        <v>941</v>
      </c>
      <c r="C169" s="9"/>
      <c r="D169" s="6"/>
      <c r="E169" s="6"/>
      <c r="F169" s="6"/>
      <c r="G169" s="6"/>
      <c r="H169" s="6"/>
      <c r="I169" s="6"/>
      <c r="J169" s="6"/>
    </row>
    <row r="170" spans="1:10" ht="15">
      <c r="A170" s="8"/>
      <c r="B170" s="11"/>
      <c r="C170" s="8"/>
      <c r="D170" s="6"/>
      <c r="E170" s="6"/>
      <c r="F170" s="6"/>
      <c r="G170" s="6"/>
      <c r="H170" s="6"/>
      <c r="I170" s="6"/>
      <c r="J170" s="6"/>
    </row>
    <row r="171" spans="1:3" ht="15">
      <c r="A171" s="8"/>
      <c r="B171" s="8"/>
      <c r="C171" s="8"/>
    </row>
    <row r="172" spans="1:3" ht="15">
      <c r="A172" s="8"/>
      <c r="B172" s="11" t="s">
        <v>921</v>
      </c>
      <c r="C172" s="8"/>
    </row>
    <row r="173" spans="1:3" ht="13.8">
      <c r="A173" s="8"/>
      <c r="B173" s="12" t="s">
        <v>922</v>
      </c>
      <c r="C173" s="8"/>
    </row>
    <row r="174" spans="1:3" ht="15">
      <c r="A174" s="8"/>
      <c r="B174" s="8"/>
      <c r="C174" s="8"/>
    </row>
    <row r="175" spans="1:3" ht="15">
      <c r="A175" s="8"/>
      <c r="B175" s="8"/>
      <c r="C175" s="8"/>
    </row>
    <row r="176" spans="1:3" ht="15">
      <c r="A176" s="8"/>
      <c r="B176" s="5" t="s">
        <v>923</v>
      </c>
      <c r="C176" s="8"/>
    </row>
    <row r="177" spans="1:3" ht="24">
      <c r="A177" s="8"/>
      <c r="B177" s="13" t="s">
        <v>942</v>
      </c>
      <c r="C177" s="8"/>
    </row>
    <row r="178" spans="1:3" ht="15.6">
      <c r="A178" s="8"/>
      <c r="B178" s="2"/>
      <c r="C178" s="8"/>
    </row>
    <row r="179" spans="1:3" ht="15">
      <c r="A179" s="8"/>
      <c r="B179" s="11" t="s">
        <v>924</v>
      </c>
      <c r="C179" s="8"/>
    </row>
    <row r="180" spans="1:3" ht="15">
      <c r="A180" s="8"/>
      <c r="B180" s="14" t="s">
        <v>925</v>
      </c>
      <c r="C180" s="8"/>
    </row>
    <row r="181" spans="1:3" ht="15">
      <c r="A181" s="8"/>
      <c r="B181" s="14" t="s">
        <v>926</v>
      </c>
      <c r="C181" s="8"/>
    </row>
    <row r="182" spans="1:3" ht="15">
      <c r="A182" s="8"/>
      <c r="B182" s="5"/>
      <c r="C182" s="8"/>
    </row>
    <row r="183" spans="1:3" ht="15">
      <c r="A183" s="8"/>
      <c r="B183" s="5"/>
      <c r="C183" s="8"/>
    </row>
    <row r="184" spans="1:3" ht="15">
      <c r="A184" s="8"/>
      <c r="B184" s="5" t="s">
        <v>927</v>
      </c>
      <c r="C184" s="8"/>
    </row>
    <row r="185" spans="1:3" ht="15">
      <c r="A185" s="8"/>
      <c r="B185" s="13" t="s">
        <v>928</v>
      </c>
      <c r="C185" s="8"/>
    </row>
    <row r="186" spans="1:3" ht="13.8">
      <c r="A186" s="15"/>
      <c r="B186" s="13" t="s">
        <v>926</v>
      </c>
      <c r="C186" s="15"/>
    </row>
    <row r="187" spans="1:3" ht="15">
      <c r="A187" s="11"/>
      <c r="B187" s="11"/>
      <c r="C187" s="11"/>
    </row>
    <row r="188" spans="1:3" ht="15">
      <c r="A188" s="8"/>
      <c r="B188" s="5"/>
      <c r="C188" s="8"/>
    </row>
    <row r="189" spans="1:3" ht="15">
      <c r="A189" s="8"/>
      <c r="B189" s="11" t="s">
        <v>929</v>
      </c>
      <c r="C189" s="8"/>
    </row>
    <row r="190" spans="1:3" ht="15">
      <c r="A190" s="8"/>
      <c r="B190" s="7" t="s">
        <v>930</v>
      </c>
      <c r="C190" s="8"/>
    </row>
    <row r="191" spans="1:3" ht="15">
      <c r="A191" s="8"/>
      <c r="B191" s="5" t="s">
        <v>931</v>
      </c>
      <c r="C191" s="8"/>
    </row>
    <row r="192" spans="1:3" ht="15">
      <c r="A192" s="8"/>
      <c r="B192" s="11" t="s">
        <v>932</v>
      </c>
      <c r="C192" s="8"/>
    </row>
    <row r="193" spans="1:3" ht="15">
      <c r="A193" s="8"/>
      <c r="B193" s="11" t="s">
        <v>933</v>
      </c>
      <c r="C193" s="8"/>
    </row>
    <row r="194" spans="1:3" ht="15">
      <c r="A194" s="8"/>
      <c r="B194" s="11"/>
      <c r="C194" s="8"/>
    </row>
    <row r="195" spans="1:3" ht="15">
      <c r="A195" s="8"/>
      <c r="B195" s="11"/>
      <c r="C195" s="8"/>
    </row>
    <row r="196" spans="1:3" ht="15">
      <c r="A196" s="8"/>
      <c r="B196" s="8"/>
      <c r="C196" s="8"/>
    </row>
    <row r="197" spans="1:3" ht="15">
      <c r="A197" s="8"/>
      <c r="B197" s="8"/>
      <c r="C197" s="8"/>
    </row>
    <row r="198" spans="1:3" ht="15">
      <c r="A198" s="8"/>
      <c r="B198" s="8"/>
      <c r="C198" s="8"/>
    </row>
    <row r="199" spans="1:3" ht="15">
      <c r="A199" s="8"/>
      <c r="B199" s="8"/>
      <c r="C199" s="8"/>
    </row>
    <row r="200" spans="1:3" ht="15">
      <c r="A200" s="8"/>
      <c r="B200" s="11" t="s">
        <v>934</v>
      </c>
      <c r="C200" s="8"/>
    </row>
    <row r="201" spans="1:3" ht="12.75" customHeight="1">
      <c r="A201" s="8"/>
      <c r="B201" s="5" t="s">
        <v>935</v>
      </c>
      <c r="C201" s="8"/>
    </row>
    <row r="202" spans="1:3" ht="12.75" customHeight="1">
      <c r="A202" s="8"/>
      <c r="B202" s="11" t="s">
        <v>936</v>
      </c>
      <c r="C202" s="8"/>
    </row>
    <row r="203" spans="1:3" ht="15">
      <c r="A203" s="8"/>
      <c r="B203" s="11" t="s">
        <v>937</v>
      </c>
      <c r="C203" s="8"/>
    </row>
    <row r="204" spans="1:3" ht="15">
      <c r="A204" s="8"/>
      <c r="B204" s="11" t="s">
        <v>938</v>
      </c>
      <c r="C204" s="8"/>
    </row>
    <row r="205" spans="1:4" ht="15.6">
      <c r="A205" s="8"/>
      <c r="B205" s="11" t="s">
        <v>939</v>
      </c>
      <c r="C205" s="8"/>
      <c r="D205" s="2"/>
    </row>
    <row r="206" spans="1:3" ht="15">
      <c r="A206" s="8"/>
      <c r="B206" s="11" t="s">
        <v>940</v>
      </c>
      <c r="C206" s="8"/>
    </row>
    <row r="207" spans="1:3" ht="15">
      <c r="A207" s="8"/>
      <c r="B207" s="11"/>
      <c r="C207" s="8"/>
    </row>
    <row r="208" spans="1:3" ht="17.4">
      <c r="A208" s="8"/>
      <c r="B208" s="11"/>
      <c r="C208" s="16">
        <v>4</v>
      </c>
    </row>
    <row r="209" spans="1:3" ht="17.4">
      <c r="A209" s="8"/>
      <c r="B209" s="8"/>
      <c r="C209" s="16"/>
    </row>
    <row r="210" spans="1:3" ht="15">
      <c r="A210" s="17"/>
      <c r="B210" s="17"/>
      <c r="C210" s="17"/>
    </row>
    <row r="211" spans="1:3" ht="15">
      <c r="A211" s="8"/>
      <c r="B211" s="8"/>
      <c r="C211" s="8"/>
    </row>
    <row r="212" spans="1:3" ht="12.6">
      <c r="A212" s="247"/>
      <c r="B212" s="247"/>
      <c r="C212" s="247"/>
    </row>
    <row r="213" spans="1:3" ht="12.6">
      <c r="A213" s="247"/>
      <c r="B213" s="247"/>
      <c r="C213" s="247"/>
    </row>
    <row r="214" spans="1:3" ht="15">
      <c r="A214" s="8"/>
      <c r="B214" s="8"/>
      <c r="C214" s="8"/>
    </row>
    <row r="215" spans="1:3" ht="15">
      <c r="A215" s="8"/>
      <c r="B215" s="8"/>
      <c r="C215" s="8"/>
    </row>
    <row r="216" spans="1:10" ht="15">
      <c r="A216" s="8"/>
      <c r="B216" s="6"/>
      <c r="C216" s="6"/>
      <c r="D216" s="4"/>
      <c r="E216" s="4"/>
      <c r="F216" s="4"/>
      <c r="G216" s="4"/>
      <c r="H216" s="4"/>
      <c r="I216" s="4"/>
      <c r="J216" s="4"/>
    </row>
    <row r="217" spans="1:3" ht="15">
      <c r="A217" s="8"/>
      <c r="B217" s="6"/>
      <c r="C217" s="6"/>
    </row>
    <row r="218" spans="1:3" ht="15">
      <c r="A218" s="8"/>
      <c r="B218" s="8"/>
      <c r="C218" s="8"/>
    </row>
    <row r="219" spans="1:3" ht="15">
      <c r="A219" s="8"/>
      <c r="B219" s="8"/>
      <c r="C219" s="8"/>
    </row>
    <row r="220" spans="1:3" ht="15">
      <c r="A220" s="8"/>
      <c r="B220" s="8"/>
      <c r="C220" s="8"/>
    </row>
    <row r="221" spans="1:10" ht="15">
      <c r="A221" s="8"/>
      <c r="B221" s="8"/>
      <c r="C221" s="8"/>
      <c r="D221" s="6"/>
      <c r="E221" s="6"/>
      <c r="F221" s="6"/>
      <c r="G221" s="6"/>
      <c r="H221" s="6"/>
      <c r="I221" s="6"/>
      <c r="J221" s="6"/>
    </row>
    <row r="222" spans="1:10" ht="21">
      <c r="A222" s="9"/>
      <c r="B222" s="10" t="s">
        <v>941</v>
      </c>
      <c r="C222" s="9"/>
      <c r="D222" s="6"/>
      <c r="E222" s="6"/>
      <c r="F222" s="6"/>
      <c r="G222" s="6"/>
      <c r="H222" s="6"/>
      <c r="I222" s="6"/>
      <c r="J222" s="6"/>
    </row>
    <row r="223" spans="1:10" ht="15">
      <c r="A223" s="8"/>
      <c r="B223" s="11"/>
      <c r="C223" s="8"/>
      <c r="D223" s="6"/>
      <c r="E223" s="6"/>
      <c r="F223" s="6"/>
      <c r="G223" s="6"/>
      <c r="H223" s="6"/>
      <c r="I223" s="6"/>
      <c r="J223" s="6"/>
    </row>
    <row r="224" spans="1:3" ht="15">
      <c r="A224" s="8"/>
      <c r="B224" s="8"/>
      <c r="C224" s="8"/>
    </row>
    <row r="225" spans="1:3" ht="15">
      <c r="A225" s="8"/>
      <c r="B225" s="11" t="s">
        <v>921</v>
      </c>
      <c r="C225" s="8"/>
    </row>
    <row r="226" spans="1:3" ht="13.8">
      <c r="A226" s="8"/>
      <c r="B226" s="12" t="s">
        <v>922</v>
      </c>
      <c r="C226" s="8"/>
    </row>
    <row r="227" spans="1:3" ht="15">
      <c r="A227" s="8"/>
      <c r="B227" s="8"/>
      <c r="C227" s="8"/>
    </row>
    <row r="228" spans="1:3" ht="15">
      <c r="A228" s="8"/>
      <c r="B228" s="8"/>
      <c r="C228" s="8"/>
    </row>
    <row r="229" spans="1:3" ht="15">
      <c r="A229" s="8"/>
      <c r="B229" s="5" t="s">
        <v>923</v>
      </c>
      <c r="C229" s="8"/>
    </row>
    <row r="230" spans="1:3" ht="24">
      <c r="A230" s="8"/>
      <c r="B230" s="13" t="s">
        <v>1</v>
      </c>
      <c r="C230" s="8"/>
    </row>
    <row r="231" spans="1:3" ht="15.6">
      <c r="A231" s="8"/>
      <c r="B231" s="2"/>
      <c r="C231" s="8"/>
    </row>
    <row r="232" spans="1:3" ht="15">
      <c r="A232" s="8"/>
      <c r="B232" s="11" t="s">
        <v>924</v>
      </c>
      <c r="C232" s="8"/>
    </row>
    <row r="233" spans="1:3" ht="15">
      <c r="A233" s="8"/>
      <c r="B233" s="14" t="s">
        <v>925</v>
      </c>
      <c r="C233" s="8"/>
    </row>
    <row r="234" spans="1:3" ht="15">
      <c r="A234" s="8"/>
      <c r="B234" s="14" t="s">
        <v>926</v>
      </c>
      <c r="C234" s="8"/>
    </row>
    <row r="235" spans="1:3" ht="15">
      <c r="A235" s="8"/>
      <c r="B235" s="5"/>
      <c r="C235" s="8"/>
    </row>
    <row r="236" spans="1:3" ht="15">
      <c r="A236" s="8"/>
      <c r="B236" s="5"/>
      <c r="C236" s="8"/>
    </row>
    <row r="237" spans="1:3" ht="15">
      <c r="A237" s="8"/>
      <c r="B237" s="5" t="s">
        <v>927</v>
      </c>
      <c r="C237" s="8"/>
    </row>
    <row r="238" spans="1:3" ht="15">
      <c r="A238" s="8"/>
      <c r="B238" s="13" t="s">
        <v>928</v>
      </c>
      <c r="C238" s="8"/>
    </row>
    <row r="239" spans="1:3" ht="13.8">
      <c r="A239" s="15"/>
      <c r="B239" s="13" t="s">
        <v>926</v>
      </c>
      <c r="C239" s="15"/>
    </row>
    <row r="240" spans="1:3" ht="15">
      <c r="A240" s="11"/>
      <c r="B240" s="11"/>
      <c r="C240" s="11"/>
    </row>
    <row r="241" spans="1:3" ht="15">
      <c r="A241" s="8"/>
      <c r="B241" s="5"/>
      <c r="C241" s="8"/>
    </row>
    <row r="242" spans="1:3" ht="15">
      <c r="A242" s="8"/>
      <c r="B242" s="11" t="s">
        <v>929</v>
      </c>
      <c r="C242" s="8"/>
    </row>
    <row r="243" spans="1:3" ht="15">
      <c r="A243" s="8"/>
      <c r="B243" s="7" t="s">
        <v>930</v>
      </c>
      <c r="C243" s="8"/>
    </row>
    <row r="244" spans="1:3" ht="15">
      <c r="A244" s="8"/>
      <c r="B244" s="5" t="s">
        <v>931</v>
      </c>
      <c r="C244" s="8"/>
    </row>
    <row r="245" spans="1:3" ht="15">
      <c r="A245" s="8"/>
      <c r="B245" s="11" t="s">
        <v>932</v>
      </c>
      <c r="C245" s="8"/>
    </row>
    <row r="246" spans="1:3" ht="15">
      <c r="A246" s="8"/>
      <c r="B246" s="11" t="s">
        <v>933</v>
      </c>
      <c r="C246" s="8"/>
    </row>
    <row r="247" spans="1:3" ht="15">
      <c r="A247" s="8"/>
      <c r="B247" s="11"/>
      <c r="C247" s="8"/>
    </row>
    <row r="248" spans="1:3" ht="15">
      <c r="A248" s="8"/>
      <c r="B248" s="11"/>
      <c r="C248" s="8"/>
    </row>
    <row r="249" spans="1:3" ht="15">
      <c r="A249" s="8"/>
      <c r="B249" s="8"/>
      <c r="C249" s="8"/>
    </row>
    <row r="250" spans="1:3" ht="15">
      <c r="A250" s="8"/>
      <c r="B250" s="8"/>
      <c r="C250" s="8"/>
    </row>
    <row r="251" spans="1:3" ht="15">
      <c r="A251" s="8"/>
      <c r="B251" s="8"/>
      <c r="C251" s="8"/>
    </row>
    <row r="252" spans="1:3" ht="15">
      <c r="A252" s="8"/>
      <c r="B252" s="8"/>
      <c r="C252" s="8"/>
    </row>
    <row r="253" spans="1:3" ht="15">
      <c r="A253" s="8"/>
      <c r="B253" s="11" t="s">
        <v>934</v>
      </c>
      <c r="C253" s="8"/>
    </row>
    <row r="254" spans="1:3" ht="12.75" customHeight="1">
      <c r="A254" s="8"/>
      <c r="B254" s="5" t="s">
        <v>935</v>
      </c>
      <c r="C254" s="8"/>
    </row>
    <row r="255" spans="1:3" ht="12.75" customHeight="1">
      <c r="A255" s="8"/>
      <c r="B255" s="11" t="s">
        <v>936</v>
      </c>
      <c r="C255" s="8"/>
    </row>
    <row r="256" spans="1:3" ht="15">
      <c r="A256" s="8"/>
      <c r="B256" s="11" t="s">
        <v>937</v>
      </c>
      <c r="C256" s="8"/>
    </row>
    <row r="257" spans="1:3" ht="15">
      <c r="A257" s="8"/>
      <c r="B257" s="11" t="s">
        <v>938</v>
      </c>
      <c r="C257" s="8"/>
    </row>
    <row r="258" spans="1:3" ht="15">
      <c r="A258" s="8"/>
      <c r="B258" s="11" t="s">
        <v>939</v>
      </c>
      <c r="C258" s="8"/>
    </row>
    <row r="259" spans="1:3" ht="15">
      <c r="A259" s="8"/>
      <c r="B259" s="11" t="s">
        <v>940</v>
      </c>
      <c r="C259" s="8"/>
    </row>
    <row r="260" spans="1:3" ht="15">
      <c r="A260" s="8"/>
      <c r="B260" s="11"/>
      <c r="C260" s="8"/>
    </row>
    <row r="261" spans="1:3" ht="17.4">
      <c r="A261" s="8"/>
      <c r="B261" s="11"/>
      <c r="C261" s="16">
        <v>5</v>
      </c>
    </row>
    <row r="262" spans="1:3" ht="17.4">
      <c r="A262" s="8"/>
      <c r="B262" s="8"/>
      <c r="C262" s="16"/>
    </row>
    <row r="263" spans="1:3" ht="15">
      <c r="A263" s="17"/>
      <c r="B263" s="17"/>
      <c r="C263" s="17"/>
    </row>
    <row r="264" spans="1:3" ht="15">
      <c r="A264" s="8"/>
      <c r="B264" s="8"/>
      <c r="C264" s="8"/>
    </row>
    <row r="265" spans="1:3" ht="15">
      <c r="A265" s="8"/>
      <c r="B265" s="8"/>
      <c r="C265" s="8"/>
    </row>
    <row r="266" spans="1:3" ht="15">
      <c r="A266" s="8"/>
      <c r="B266" s="8"/>
      <c r="C266" s="8"/>
    </row>
    <row r="267" spans="1:3" ht="15">
      <c r="A267" s="8"/>
      <c r="B267" s="8"/>
      <c r="C267" s="8"/>
    </row>
    <row r="268" spans="1:3" ht="15">
      <c r="A268" s="8"/>
      <c r="B268" s="8"/>
      <c r="C268" s="8"/>
    </row>
    <row r="269" spans="1:3" ht="15">
      <c r="A269" s="8"/>
      <c r="B269" s="6"/>
      <c r="C269" s="6"/>
    </row>
    <row r="270" spans="1:3" ht="15">
      <c r="A270" s="8"/>
      <c r="B270" s="6"/>
      <c r="C270" s="6"/>
    </row>
    <row r="271" spans="1:3" ht="15">
      <c r="A271" s="8"/>
      <c r="B271" s="8"/>
      <c r="C271" s="8"/>
    </row>
    <row r="272" spans="1:3" ht="15">
      <c r="A272" s="8"/>
      <c r="B272" s="8"/>
      <c r="C272" s="8"/>
    </row>
    <row r="273" spans="1:3" ht="15">
      <c r="A273" s="8"/>
      <c r="B273" s="8"/>
      <c r="C273" s="8"/>
    </row>
    <row r="274" spans="1:3" ht="15">
      <c r="A274" s="8"/>
      <c r="B274" s="8"/>
      <c r="C274" s="8"/>
    </row>
    <row r="275" spans="1:3" ht="21">
      <c r="A275" s="9"/>
      <c r="B275" s="10" t="s">
        <v>941</v>
      </c>
      <c r="C275" s="9"/>
    </row>
    <row r="276" spans="1:3" ht="15">
      <c r="A276" s="8"/>
      <c r="B276" s="11"/>
      <c r="C276" s="8"/>
    </row>
    <row r="277" spans="1:3" ht="15">
      <c r="A277" s="8"/>
      <c r="B277" s="8"/>
      <c r="C277" s="8"/>
    </row>
    <row r="278" spans="1:3" ht="15">
      <c r="A278" s="8"/>
      <c r="B278" s="11" t="s">
        <v>921</v>
      </c>
      <c r="C278" s="8"/>
    </row>
    <row r="279" spans="1:3" ht="13.8">
      <c r="A279" s="8"/>
      <c r="B279" s="12" t="s">
        <v>922</v>
      </c>
      <c r="C279" s="8"/>
    </row>
    <row r="280" spans="1:3" ht="15">
      <c r="A280" s="8"/>
      <c r="B280" s="8"/>
      <c r="C280" s="8"/>
    </row>
    <row r="281" spans="1:3" ht="15">
      <c r="A281" s="8"/>
      <c r="B281" s="8"/>
      <c r="C281" s="8"/>
    </row>
    <row r="282" spans="1:3" ht="15">
      <c r="A282" s="8"/>
      <c r="B282" s="5" t="s">
        <v>923</v>
      </c>
      <c r="C282" s="8"/>
    </row>
    <row r="283" spans="1:3" ht="24">
      <c r="A283" s="8"/>
      <c r="B283" s="13" t="s">
        <v>1</v>
      </c>
      <c r="C283" s="8"/>
    </row>
    <row r="284" spans="1:3" ht="15.6">
      <c r="A284" s="8"/>
      <c r="B284" s="2"/>
      <c r="C284" s="8"/>
    </row>
    <row r="285" spans="1:3" ht="15">
      <c r="A285" s="8"/>
      <c r="B285" s="11" t="s">
        <v>924</v>
      </c>
      <c r="C285" s="8"/>
    </row>
    <row r="286" spans="1:3" ht="15">
      <c r="A286" s="8"/>
      <c r="B286" s="14" t="s">
        <v>925</v>
      </c>
      <c r="C286" s="8"/>
    </row>
    <row r="287" spans="1:3" ht="15">
      <c r="A287" s="8"/>
      <c r="B287" s="14" t="s">
        <v>926</v>
      </c>
      <c r="C287" s="8"/>
    </row>
    <row r="288" spans="1:3" ht="15">
      <c r="A288" s="8"/>
      <c r="B288" s="5"/>
      <c r="C288" s="8"/>
    </row>
    <row r="289" spans="1:3" ht="15">
      <c r="A289" s="8"/>
      <c r="B289" s="5"/>
      <c r="C289" s="8"/>
    </row>
    <row r="290" spans="1:3" ht="15">
      <c r="A290" s="8"/>
      <c r="B290" s="5" t="s">
        <v>927</v>
      </c>
      <c r="C290" s="8"/>
    </row>
    <row r="291" spans="1:3" ht="15">
      <c r="A291" s="8"/>
      <c r="B291" s="13" t="s">
        <v>928</v>
      </c>
      <c r="C291" s="8"/>
    </row>
    <row r="292" spans="1:3" ht="13.8">
      <c r="A292" s="15"/>
      <c r="B292" s="13" t="s">
        <v>926</v>
      </c>
      <c r="C292" s="15"/>
    </row>
    <row r="293" spans="1:3" ht="15">
      <c r="A293" s="11"/>
      <c r="B293" s="11"/>
      <c r="C293" s="11"/>
    </row>
    <row r="294" spans="1:3" ht="15">
      <c r="A294" s="8"/>
      <c r="B294" s="5"/>
      <c r="C294" s="8"/>
    </row>
    <row r="295" spans="1:3" ht="15">
      <c r="A295" s="8"/>
      <c r="B295" s="11" t="s">
        <v>929</v>
      </c>
      <c r="C295" s="8"/>
    </row>
    <row r="296" spans="1:3" ht="15">
      <c r="A296" s="8"/>
      <c r="B296" s="7" t="s">
        <v>930</v>
      </c>
      <c r="C296" s="8"/>
    </row>
    <row r="297" spans="1:3" ht="15">
      <c r="A297" s="8"/>
      <c r="B297" s="5" t="s">
        <v>931</v>
      </c>
      <c r="C297" s="8"/>
    </row>
    <row r="298" spans="1:3" ht="15">
      <c r="A298" s="8"/>
      <c r="B298" s="11" t="s">
        <v>932</v>
      </c>
      <c r="C298" s="8"/>
    </row>
    <row r="299" spans="1:3" ht="12.75" customHeight="1">
      <c r="A299" s="8"/>
      <c r="B299" s="11" t="s">
        <v>933</v>
      </c>
      <c r="C299" s="8"/>
    </row>
    <row r="300" spans="1:3" ht="12.75" customHeight="1">
      <c r="A300" s="8"/>
      <c r="B300" s="11"/>
      <c r="C300" s="8"/>
    </row>
    <row r="301" spans="1:3" ht="15">
      <c r="A301" s="8"/>
      <c r="B301" s="11"/>
      <c r="C301" s="8"/>
    </row>
    <row r="302" spans="1:3" ht="15">
      <c r="A302" s="8"/>
      <c r="B302" s="8"/>
      <c r="C302" s="8"/>
    </row>
    <row r="303" spans="1:3" ht="15">
      <c r="A303" s="8"/>
      <c r="B303" s="8"/>
      <c r="C303" s="8"/>
    </row>
    <row r="304" spans="1:3" ht="15">
      <c r="A304" s="8"/>
      <c r="B304" s="8"/>
      <c r="C304" s="8"/>
    </row>
    <row r="305" spans="1:3" ht="15">
      <c r="A305" s="8"/>
      <c r="B305" s="8"/>
      <c r="C305" s="8"/>
    </row>
    <row r="306" spans="1:3" ht="15">
      <c r="A306" s="8"/>
      <c r="B306" s="11" t="s">
        <v>934</v>
      </c>
      <c r="C306" s="8"/>
    </row>
    <row r="307" spans="1:3" ht="15">
      <c r="A307" s="8"/>
      <c r="B307" s="5" t="s">
        <v>935</v>
      </c>
      <c r="C307" s="8"/>
    </row>
    <row r="308" spans="1:3" ht="15">
      <c r="A308" s="8"/>
      <c r="B308" s="11" t="s">
        <v>936</v>
      </c>
      <c r="C308" s="8"/>
    </row>
    <row r="309" spans="1:3" ht="15">
      <c r="A309" s="8"/>
      <c r="B309" s="11" t="s">
        <v>937</v>
      </c>
      <c r="C309" s="8"/>
    </row>
    <row r="310" spans="1:3" ht="15">
      <c r="A310" s="8"/>
      <c r="B310" s="11" t="s">
        <v>938</v>
      </c>
      <c r="C310" s="8"/>
    </row>
    <row r="311" spans="1:3" ht="15">
      <c r="A311" s="8"/>
      <c r="B311" s="11" t="s">
        <v>939</v>
      </c>
      <c r="C311" s="8"/>
    </row>
    <row r="312" spans="1:3" ht="15">
      <c r="A312" s="8"/>
      <c r="B312" s="11" t="s">
        <v>940</v>
      </c>
      <c r="C312" s="8"/>
    </row>
    <row r="313" spans="1:3" ht="15">
      <c r="A313" s="8"/>
      <c r="B313" s="11"/>
      <c r="C313" s="8"/>
    </row>
    <row r="314" spans="1:3" ht="17.4">
      <c r="A314" s="8"/>
      <c r="B314" s="11"/>
      <c r="C314" s="16">
        <v>6</v>
      </c>
    </row>
    <row r="315" spans="1:3" ht="17.4">
      <c r="A315" s="8"/>
      <c r="B315" s="8"/>
      <c r="C315" s="16"/>
    </row>
    <row r="316" spans="1:3" ht="15">
      <c r="A316" s="17"/>
      <c r="B316" s="17"/>
      <c r="C316" s="17"/>
    </row>
    <row r="317" spans="1:3" ht="15">
      <c r="A317" s="8"/>
      <c r="B317" s="8"/>
      <c r="C317" s="8"/>
    </row>
    <row r="318" spans="1:3" ht="15">
      <c r="A318" s="8"/>
      <c r="B318" s="8"/>
      <c r="C318" s="8"/>
    </row>
    <row r="319" spans="1:3" ht="15">
      <c r="A319" s="8"/>
      <c r="B319" s="8"/>
      <c r="C319" s="8"/>
    </row>
    <row r="320" spans="1:3" ht="15">
      <c r="A320" s="8"/>
      <c r="B320" s="8"/>
      <c r="C320" s="8"/>
    </row>
    <row r="321" spans="1:3" ht="15">
      <c r="A321" s="8"/>
      <c r="B321" s="8"/>
      <c r="C321" s="8"/>
    </row>
    <row r="322" spans="1:3" ht="15">
      <c r="A322" s="8"/>
      <c r="B322" s="6"/>
      <c r="C322" s="6"/>
    </row>
    <row r="323" spans="1:3" ht="15">
      <c r="A323" s="8"/>
      <c r="B323" s="6"/>
      <c r="C323" s="6"/>
    </row>
    <row r="324" spans="1:3" ht="15">
      <c r="A324" s="8"/>
      <c r="B324" s="8"/>
      <c r="C324" s="8"/>
    </row>
    <row r="325" spans="1:3" ht="15">
      <c r="A325" s="8"/>
      <c r="B325" s="8"/>
      <c r="C325" s="8"/>
    </row>
    <row r="326" spans="1:3" ht="15">
      <c r="A326" s="8"/>
      <c r="B326" s="8"/>
      <c r="C326" s="8"/>
    </row>
    <row r="327" spans="1:3" ht="15">
      <c r="A327" s="8"/>
      <c r="B327" s="8"/>
      <c r="C327" s="8"/>
    </row>
    <row r="328" spans="1:3" ht="21">
      <c r="A328" s="9"/>
      <c r="B328" s="10" t="s">
        <v>941</v>
      </c>
      <c r="C328" s="9"/>
    </row>
    <row r="329" spans="1:3" ht="15">
      <c r="A329" s="8"/>
      <c r="B329" s="11"/>
      <c r="C329" s="8"/>
    </row>
    <row r="330" spans="1:3" ht="15">
      <c r="A330" s="8"/>
      <c r="B330" s="8"/>
      <c r="C330" s="8"/>
    </row>
    <row r="331" spans="1:3" ht="15">
      <c r="A331" s="8"/>
      <c r="B331" s="11" t="s">
        <v>921</v>
      </c>
      <c r="C331" s="8"/>
    </row>
    <row r="332" spans="1:3" ht="13.8">
      <c r="A332" s="8"/>
      <c r="B332" s="12" t="s">
        <v>922</v>
      </c>
      <c r="C332" s="8"/>
    </row>
    <row r="333" spans="1:3" ht="15">
      <c r="A333" s="8"/>
      <c r="B333" s="8"/>
      <c r="C333" s="8"/>
    </row>
    <row r="334" spans="1:3" ht="15">
      <c r="A334" s="8"/>
      <c r="B334" s="8"/>
      <c r="C334" s="8"/>
    </row>
    <row r="335" spans="1:3" ht="15">
      <c r="A335" s="8"/>
      <c r="B335" s="5" t="s">
        <v>923</v>
      </c>
      <c r="C335" s="8"/>
    </row>
    <row r="336" spans="1:3" ht="24">
      <c r="A336" s="8"/>
      <c r="B336" s="13" t="s">
        <v>943</v>
      </c>
      <c r="C336" s="8"/>
    </row>
    <row r="337" spans="1:3" ht="15.6">
      <c r="A337" s="8"/>
      <c r="B337" s="2"/>
      <c r="C337" s="8"/>
    </row>
    <row r="338" spans="1:3" ht="15">
      <c r="A338" s="8"/>
      <c r="B338" s="11" t="s">
        <v>924</v>
      </c>
      <c r="C338" s="8"/>
    </row>
    <row r="339" spans="1:3" ht="15">
      <c r="A339" s="8"/>
      <c r="B339" s="14" t="s">
        <v>925</v>
      </c>
      <c r="C339" s="8"/>
    </row>
    <row r="340" spans="1:3" ht="15">
      <c r="A340" s="8"/>
      <c r="B340" s="14" t="s">
        <v>926</v>
      </c>
      <c r="C340" s="8"/>
    </row>
    <row r="341" spans="1:3" ht="15">
      <c r="A341" s="8"/>
      <c r="B341" s="5"/>
      <c r="C341" s="8"/>
    </row>
    <row r="342" spans="1:3" ht="15">
      <c r="A342" s="8"/>
      <c r="B342" s="5"/>
      <c r="C342" s="8"/>
    </row>
    <row r="343" spans="1:3" ht="15">
      <c r="A343" s="8"/>
      <c r="B343" s="5" t="s">
        <v>927</v>
      </c>
      <c r="C343" s="8"/>
    </row>
    <row r="344" spans="1:3" ht="15">
      <c r="A344" s="8"/>
      <c r="B344" s="13" t="s">
        <v>928</v>
      </c>
      <c r="C344" s="8"/>
    </row>
    <row r="345" spans="1:3" ht="13.8">
      <c r="A345" s="15"/>
      <c r="B345" s="13" t="s">
        <v>926</v>
      </c>
      <c r="C345" s="15"/>
    </row>
    <row r="346" spans="1:3" ht="15">
      <c r="A346" s="11"/>
      <c r="B346" s="11"/>
      <c r="C346" s="11"/>
    </row>
    <row r="347" spans="1:3" ht="15">
      <c r="A347" s="8"/>
      <c r="B347" s="5"/>
      <c r="C347" s="8"/>
    </row>
    <row r="348" spans="1:3" ht="15">
      <c r="A348" s="8"/>
      <c r="B348" s="11" t="s">
        <v>929</v>
      </c>
      <c r="C348" s="8"/>
    </row>
    <row r="349" spans="1:3" ht="15">
      <c r="A349" s="8"/>
      <c r="B349" s="7" t="s">
        <v>930</v>
      </c>
      <c r="C349" s="8"/>
    </row>
    <row r="350" spans="1:3" ht="15">
      <c r="A350" s="8"/>
      <c r="B350" s="5" t="s">
        <v>931</v>
      </c>
      <c r="C350" s="8"/>
    </row>
    <row r="351" spans="1:3" ht="15">
      <c r="A351" s="8"/>
      <c r="B351" s="11" t="s">
        <v>932</v>
      </c>
      <c r="C351" s="8"/>
    </row>
    <row r="352" spans="1:3" ht="15">
      <c r="A352" s="8"/>
      <c r="B352" s="11" t="s">
        <v>933</v>
      </c>
      <c r="C352" s="8"/>
    </row>
    <row r="353" spans="1:3" ht="15">
      <c r="A353" s="8"/>
      <c r="B353" s="11"/>
      <c r="C353" s="8"/>
    </row>
    <row r="354" spans="1:3" ht="15">
      <c r="A354" s="8"/>
      <c r="B354" s="11"/>
      <c r="C354" s="8"/>
    </row>
    <row r="355" spans="1:3" ht="15">
      <c r="A355" s="8"/>
      <c r="B355" s="8"/>
      <c r="C355" s="8"/>
    </row>
    <row r="356" spans="1:3" ht="15">
      <c r="A356" s="8"/>
      <c r="B356" s="8"/>
      <c r="C356" s="8"/>
    </row>
    <row r="357" spans="1:3" ht="15">
      <c r="A357" s="8"/>
      <c r="B357" s="8"/>
      <c r="C357" s="8"/>
    </row>
    <row r="358" spans="1:3" ht="15">
      <c r="A358" s="8"/>
      <c r="B358" s="8"/>
      <c r="C358" s="8"/>
    </row>
    <row r="359" spans="1:3" ht="15">
      <c r="A359" s="8"/>
      <c r="B359" s="11" t="s">
        <v>934</v>
      </c>
      <c r="C359" s="8"/>
    </row>
    <row r="360" spans="1:3" ht="15">
      <c r="A360" s="8"/>
      <c r="B360" s="5" t="s">
        <v>935</v>
      </c>
      <c r="C360" s="8"/>
    </row>
    <row r="361" spans="1:3" ht="15">
      <c r="A361" s="8"/>
      <c r="B361" s="11" t="s">
        <v>936</v>
      </c>
      <c r="C361" s="8"/>
    </row>
    <row r="362" spans="1:3" ht="15">
      <c r="A362" s="8"/>
      <c r="B362" s="11" t="s">
        <v>937</v>
      </c>
      <c r="C362" s="8"/>
    </row>
    <row r="363" spans="1:3" ht="15">
      <c r="A363" s="8"/>
      <c r="B363" s="11" t="s">
        <v>938</v>
      </c>
      <c r="C363" s="8"/>
    </row>
    <row r="364" spans="1:3" ht="15">
      <c r="A364" s="8"/>
      <c r="B364" s="11" t="s">
        <v>939</v>
      </c>
      <c r="C364" s="8"/>
    </row>
    <row r="365" spans="1:3" ht="15">
      <c r="A365" s="8"/>
      <c r="B365" s="11" t="s">
        <v>940</v>
      </c>
      <c r="C365" s="8"/>
    </row>
    <row r="366" spans="1:3" ht="15">
      <c r="A366" s="8"/>
      <c r="B366" s="11"/>
      <c r="C366" s="8"/>
    </row>
    <row r="367" spans="1:3" ht="17.4">
      <c r="A367" s="8"/>
      <c r="B367" s="11"/>
      <c r="C367" s="16">
        <v>7</v>
      </c>
    </row>
    <row r="368" spans="1:3" ht="17.4">
      <c r="A368" s="8"/>
      <c r="B368" s="8"/>
      <c r="C368" s="16"/>
    </row>
    <row r="369" spans="1:3" ht="15">
      <c r="A369" s="17"/>
      <c r="B369" s="17"/>
      <c r="C369" s="17"/>
    </row>
    <row r="370" spans="1:3" ht="15">
      <c r="A370" s="8"/>
      <c r="B370" s="8"/>
      <c r="C370" s="8"/>
    </row>
    <row r="371" spans="1:3" ht="15">
      <c r="A371" s="8"/>
      <c r="B371" s="8"/>
      <c r="C371" s="8"/>
    </row>
    <row r="372" spans="1:3" ht="15">
      <c r="A372" s="8"/>
      <c r="B372" s="8"/>
      <c r="C372" s="8"/>
    </row>
    <row r="373" spans="1:3" ht="15">
      <c r="A373" s="8"/>
      <c r="B373" s="8"/>
      <c r="C373" s="8"/>
    </row>
    <row r="374" spans="1:3" ht="15">
      <c r="A374" s="8"/>
      <c r="B374" s="8"/>
      <c r="C374" s="8"/>
    </row>
    <row r="375" spans="1:3" ht="15">
      <c r="A375" s="8"/>
      <c r="B375" s="8"/>
      <c r="C375" s="8"/>
    </row>
    <row r="376" spans="1:3" ht="15">
      <c r="A376" s="8"/>
      <c r="B376" s="8"/>
      <c r="C376" s="8"/>
    </row>
    <row r="377" spans="1:3" ht="15">
      <c r="A377" s="8"/>
      <c r="B377" s="8"/>
      <c r="C377" s="8"/>
    </row>
    <row r="378" spans="1:3" ht="15">
      <c r="A378" s="8"/>
      <c r="B378" s="8"/>
      <c r="C378" s="8"/>
    </row>
    <row r="379" spans="1:3" ht="15">
      <c r="A379" s="8"/>
      <c r="B379" s="8"/>
      <c r="C379" s="8"/>
    </row>
  </sheetData>
  <mergeCells count="1">
    <mergeCell ref="A212:C213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AADC3D3432EF045B83E4FF049C0EF75" ma:contentTypeVersion="2" ma:contentTypeDescription="Vytvoří nový dokument" ma:contentTypeScope="" ma:versionID="50e5123666df03652810aa6956e4de29">
  <xsd:schema xmlns:xsd="http://www.w3.org/2001/XMLSchema" xmlns:xs="http://www.w3.org/2001/XMLSchema" xmlns:p="http://schemas.microsoft.com/office/2006/metadata/properties" xmlns:ns2="9e901002-42fc-479d-bd44-b55d44aaa772" targetNamespace="http://schemas.microsoft.com/office/2006/metadata/properties" ma:root="true" ma:fieldsID="53b79356efe2e28f3d49f6a76102fb90" ns2:_="">
    <xsd:import namespace="9e901002-42fc-479d-bd44-b55d44aaa77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901002-42fc-479d-bd44-b55d44aaa77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D69B640-64A8-4429-BCB3-D85002EBD79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7899E88-D2C9-4E31-A893-A86A1996AD0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e901002-42fc-479d-bd44-b55d44aaa77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Milena</dc:creator>
  <cp:keywords/>
  <dc:description/>
  <cp:lastModifiedBy>User</cp:lastModifiedBy>
  <dcterms:created xsi:type="dcterms:W3CDTF">2011-12-18T09:20:50Z</dcterms:created>
  <dcterms:modified xsi:type="dcterms:W3CDTF">2023-02-09T12:05:07Z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0x010100DAADC3D3432EF045B83E4FF049C0EF75</vt:lpwstr>
  </property>
</Properties>
</file>