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8" yWindow="65428" windowWidth="23256" windowHeight="12576" firstSheet="1" activeTab="1"/>
  </bookViews>
  <sheets>
    <sheet name="Celková rekapitulace" sheetId="11" r:id="rId1"/>
    <sheet name="1. Etapa (1136-3) Rekap" sheetId="6" r:id="rId2"/>
    <sheet name="1. Etapa D.1.1-Stavba" sheetId="7" r:id="rId3"/>
    <sheet name="1. Etapa D.1.4.a-VZT" sheetId="8" r:id="rId4"/>
    <sheet name="1. Etapa D.1.4.b-Zdravotechnika" sheetId="9" r:id="rId5"/>
    <sheet name="1. Etapa D.1.4.c-elekroinstalac" sheetId="10" r:id="rId6"/>
    <sheet name="2. Etapa (1137-1) Rekap" sheetId="5" r:id="rId7"/>
    <sheet name="2. Etapa D.1.1-Stavba" sheetId="1" r:id="rId8"/>
    <sheet name="2. Etapa D.1.4.a-VZT" sheetId="4" r:id="rId9"/>
    <sheet name="2. Etapa D.1.4.b-Zdravotechnika" sheetId="2" r:id="rId10"/>
    <sheet name="2. Etapa D.1.4.c-elekroinstlace" sheetId="3" r:id="rId11"/>
  </sheets>
  <definedNames>
    <definedName name="_xlnm._FilterDatabase" localSheetId="2" hidden="1">'1. Etapa D.1.1-Stavba'!$A$3:$L$184</definedName>
    <definedName name="_xlnm._FilterDatabase" localSheetId="5" hidden="1">'1. Etapa D.1.4.c-elekroinstalac'!$A$71:$U$109</definedName>
    <definedName name="_xlnm._FilterDatabase" localSheetId="7" hidden="1">'2. Etapa D.1.1-Stavba'!$A$3:$L$184</definedName>
    <definedName name="_xlnm._FilterDatabase" localSheetId="8" hidden="1">'2. Etapa D.1.4.a-VZT'!$A$3:$J$40</definedName>
    <definedName name="_xlnm._FilterDatabase" localSheetId="10" hidden="1">'2. Etapa D.1.4.c-elekroinstlace'!$A$71:$U$109</definedName>
    <definedName name="_xlnm.Print_Titles" localSheetId="2">'1. Etapa D.1.1-Stavba'!$1:$5</definedName>
    <definedName name="_xlnm.Print_Titles" localSheetId="7">'2. Etapa D.1.1-Stavba'!$1:$5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<sst xmlns="http://schemas.openxmlformats.org/spreadsheetml/2006/main" count="2027" uniqueCount="601">
  <si>
    <t>Oprava a rekonstrukce sociálek a kuchyní na kolejích Palachova v Hradci Králové</t>
  </si>
  <si>
    <t>Rekapitulace ceny:</t>
  </si>
  <si>
    <t>INV</t>
  </si>
  <si>
    <t>NEI</t>
  </si>
  <si>
    <t>Etapa výstavby</t>
  </si>
  <si>
    <t>Popis etapy (část výstavby)</t>
  </si>
  <si>
    <t>Cena bez DPH</t>
  </si>
  <si>
    <t>DPH</t>
  </si>
  <si>
    <t>Cena včetně DPH</t>
  </si>
  <si>
    <t>1. ETAPA</t>
  </si>
  <si>
    <t>Koleje Palachova 1136-3</t>
  </si>
  <si>
    <t>2. ETAPA</t>
  </si>
  <si>
    <t>Koleje Palachova 1137-1</t>
  </si>
  <si>
    <t>Celkem</t>
  </si>
  <si>
    <t>REKAPITULACE STAVBY</t>
  </si>
  <si>
    <t>Kód:</t>
  </si>
  <si>
    <t>Stavba:</t>
  </si>
  <si>
    <t>Místo:</t>
  </si>
  <si>
    <t>parc. č. 2299, v k. ú. Nový Hradec Králové</t>
  </si>
  <si>
    <t>Datum:</t>
  </si>
  <si>
    <t>Palachova č.p. 1133/3</t>
  </si>
  <si>
    <t>Zadavatel:</t>
  </si>
  <si>
    <t>Univerzita Karlova</t>
  </si>
  <si>
    <t>IČ:</t>
  </si>
  <si>
    <t>00216208</t>
  </si>
  <si>
    <t xml:space="preserve"> </t>
  </si>
  <si>
    <t>Zvoníčkova 5, 162 08 Praha 6</t>
  </si>
  <si>
    <t>DIČ:</t>
  </si>
  <si>
    <t>CZ00216208</t>
  </si>
  <si>
    <t>Zhotovitel:</t>
  </si>
  <si>
    <t/>
  </si>
  <si>
    <t>Projektant:</t>
  </si>
  <si>
    <t>studioDD projekt s.r.o.</t>
  </si>
  <si>
    <t>Karlovo náměstí 287/18,  120 00 Praha 2 - Nové Město,</t>
  </si>
  <si>
    <t>CZ10690409</t>
  </si>
  <si>
    <t>Zpracovatel:</t>
  </si>
  <si>
    <t>Poznámka:</t>
  </si>
  <si>
    <t>Sazba daně</t>
  </si>
  <si>
    <t>Základ daně</t>
  </si>
  <si>
    <t>Výše daně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</si>
  <si>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</si>
  <si>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</si>
  <si>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</si>
  <si>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</si>
  <si>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</si>
  <si>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</si>
  <si>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</si>
  <si>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</si>
  <si>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</si>
  <si>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</si>
  <si>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</si>
  <si>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</si>
  <si>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</si>
  <si>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</si>
  <si>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</si>
  <si>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Kód</t>
  </si>
  <si>
    <t>Popis</t>
  </si>
  <si>
    <t>Cena bez DPH [CZK]</t>
  </si>
  <si>
    <t>Cena s DPH [CZK]</t>
  </si>
  <si>
    <t>Typ</t>
  </si>
  <si>
    <t>Kontrola</t>
  </si>
  <si>
    <t>Náklady z rozpočtů</t>
  </si>
  <si>
    <t>Stavební část</t>
  </si>
  <si>
    <t>STA</t>
  </si>
  <si>
    <t>Vzduchotechnika</t>
  </si>
  <si>
    <t>ZTI</t>
  </si>
  <si>
    <t>Silnoproudé elektroinstlace</t>
  </si>
  <si>
    <t xml:space="preserve">Při zpracování nabídky je nutné vycházet ze všech částí dokumentace (technické zprávy, výkresové dokumentace). </t>
  </si>
  <si>
    <t xml:space="preserve">Povinností dodavatele je překontrolovat specifikaci materiálu a případný chybějící materiál nebo výkony doplnit a ocenit. </t>
  </si>
  <si>
    <t xml:space="preserve">Součástí ceny musí být veškeré náklady, aby cena byla konečná a zahrnovala celou dodávku a montáž akce. </t>
  </si>
  <si>
    <t xml:space="preserve">Dodávka akce se předpokládá včetně kompletní montáže, veškerého souvisejícího doplňkového, podružného a montážního </t>
  </si>
  <si>
    <t>materiálu tak, aby celé zařízení bylo funkční</t>
  </si>
  <si>
    <t xml:space="preserve">Do ceny je nutno zahrnout  pomocný materiál a pomocné práce. Režie zhotovitele a vedlejší rozpočtové náklady musí být zahrnuty do cen položek. </t>
  </si>
  <si>
    <t>Náklady na dopravu a přesuny hmot, pokud není uvedeno jinak, musí být zahrnuty do ceny dodávky.</t>
  </si>
  <si>
    <t>Dodavatel (uchazeč) o vyspecifikovanou část se zavazuje překontrolovat výkaz výměr s příslušnou projektovou dokumentací,</t>
  </si>
  <si>
    <t>kterou nelze samostatně vydat a jsou na sebe přímo vázány.</t>
  </si>
  <si>
    <t xml:space="preserve">Případné rozpory VV a PD, či položky dle vlastní zkušenosti z realizace zahrne do svého rozpočtu! </t>
  </si>
  <si>
    <t>D.1.1- Architektonicko stavebni část</t>
  </si>
  <si>
    <t>vypracoval:</t>
  </si>
  <si>
    <t>Milan Žamberský</t>
  </si>
  <si>
    <t>Č.</t>
  </si>
  <si>
    <t>KCN</t>
  </si>
  <si>
    <t>Kód položky</t>
  </si>
  <si>
    <t>MJ</t>
  </si>
  <si>
    <t>Množství celkem</t>
  </si>
  <si>
    <t>Cena jednotková</t>
  </si>
  <si>
    <t>Cena celkem</t>
  </si>
  <si>
    <t>INV(I)
/ NEI ( )</t>
  </si>
  <si>
    <t>1</t>
  </si>
  <si>
    <t>2</t>
  </si>
  <si>
    <t>3</t>
  </si>
  <si>
    <t>4</t>
  </si>
  <si>
    <t>5</t>
  </si>
  <si>
    <t>6</t>
  </si>
  <si>
    <t>7</t>
  </si>
  <si>
    <t>10</t>
  </si>
  <si>
    <t>HSV</t>
  </si>
  <si>
    <t xml:space="preserve">Práce a dodávky HSV   </t>
  </si>
  <si>
    <t xml:space="preserve">Svislé a kompletní konstrukce   </t>
  </si>
  <si>
    <t>014</t>
  </si>
  <si>
    <t>340271045</t>
  </si>
  <si>
    <t xml:space="preserve">Zazdívka otvorů v příčkách nebo stěnách pl přes 1 do 4 m2 tvárnicemi pórobetonovými tl 150 mm   </t>
  </si>
  <si>
    <t>m2</t>
  </si>
  <si>
    <t>I</t>
  </si>
  <si>
    <t>0,915*2,03*24</t>
  </si>
  <si>
    <t xml:space="preserve">Úpravy povrchů, podlahy a osazování výplní   </t>
  </si>
  <si>
    <t>011</t>
  </si>
  <si>
    <t>611321131</t>
  </si>
  <si>
    <t xml:space="preserve">Potažení vnitřních rovných stropů vápenocementovým štukem tloušťky do 3 mm   </t>
  </si>
  <si>
    <t>N</t>
  </si>
  <si>
    <t>611325412</t>
  </si>
  <si>
    <t xml:space="preserve">Oprava vnitřní vápenocementové hladké omítky stropů v rozsahu plochy přes 10 do 30 %   </t>
  </si>
  <si>
    <t xml:space="preserve">C1.1   </t>
  </si>
  <si>
    <t xml:space="preserve">16*(6,24+11,14)   </t>
  </si>
  <si>
    <t xml:space="preserve">8*(7,96+7,89)   </t>
  </si>
  <si>
    <t>612321121</t>
  </si>
  <si>
    <t xml:space="preserve">Vápenocementová omítka hladká jednovrstvá vnitřních stěn nanášená ručně   </t>
  </si>
  <si>
    <t xml:space="preserve">S1.2   </t>
  </si>
  <si>
    <t xml:space="preserve">24*0,915*2,03   </t>
  </si>
  <si>
    <t>612321131</t>
  </si>
  <si>
    <t xml:space="preserve">Potažení vnitřních stěn vápenocementovým štukem tloušťky do 3 mm   </t>
  </si>
  <si>
    <t xml:space="preserve">S1.1   </t>
  </si>
  <si>
    <t xml:space="preserve">16*(2*1,27+2*3,45+2*1,16+4,72+1,75)*2,8   </t>
  </si>
  <si>
    <t xml:space="preserve">8*(2*1,85+2*3,45+1,7+2*2,2+2*1,2)*2,8   </t>
  </si>
  <si>
    <t>*-24*0,915*2,03</t>
  </si>
  <si>
    <t xml:space="preserve">*-24*2,1*1,5   </t>
  </si>
  <si>
    <t xml:space="preserve">*-24*3*0,8*1,97   </t>
  </si>
  <si>
    <t>612325412</t>
  </si>
  <si>
    <t xml:space="preserve">Oprava vnitřní vápenocementové hladké omítky stěn v rozsahu plochy přes 10 do 30 %   </t>
  </si>
  <si>
    <t>619991011</t>
  </si>
  <si>
    <t xml:space="preserve">Obalení konstrukcí a prvků fólií přilepenou lepící páskou   </t>
  </si>
  <si>
    <t xml:space="preserve">24*2*0,8*1,97   </t>
  </si>
  <si>
    <t>9</t>
  </si>
  <si>
    <t xml:space="preserve">Ostatní konstrukce a práce, bourání   </t>
  </si>
  <si>
    <t>952901111</t>
  </si>
  <si>
    <t xml:space="preserve">Vyčištění budov bytové a občanské výstavby při výšce podlaží do 4 m   </t>
  </si>
  <si>
    <t xml:space="preserve">16*(6,24+11,14+2,93+1,24)+8*(7,96+7,89+2,16+1,24)   </t>
  </si>
  <si>
    <t>013</t>
  </si>
  <si>
    <t>962051115</t>
  </si>
  <si>
    <t xml:space="preserve">Bourání příček ze ŽB tl do 100 mm   </t>
  </si>
  <si>
    <t xml:space="preserve">(16*1,82+8*(1,25+0,395))*2,8   </t>
  </si>
  <si>
    <t xml:space="preserve">*-16*0,6*1,97   </t>
  </si>
  <si>
    <t xml:space="preserve">-8*0,7*1,97   </t>
  </si>
  <si>
    <t>968072455</t>
  </si>
  <si>
    <t xml:space="preserve">Vybourání kovových dveřních zárubní pl do 2 m2   </t>
  </si>
  <si>
    <t xml:space="preserve">24*0,8*1,97   </t>
  </si>
  <si>
    <t xml:space="preserve">8*0,7*1,97   </t>
  </si>
  <si>
    <t xml:space="preserve">16*0,6*1,97   </t>
  </si>
  <si>
    <t>997</t>
  </si>
  <si>
    <t xml:space="preserve">Přesun sutě   </t>
  </si>
  <si>
    <t>997013217</t>
  </si>
  <si>
    <t xml:space="preserve">Vnitrostaveništní doprava suti a vybouraných hmot pro budovy v přes 21 do 24 m ručně   </t>
  </si>
  <si>
    <t>t</t>
  </si>
  <si>
    <t>997013501</t>
  </si>
  <si>
    <t xml:space="preserve">Odvoz suti a vybouraných hmot na skládku nebo meziskládku do 1 km se složením   </t>
  </si>
  <si>
    <t>997013509</t>
  </si>
  <si>
    <t xml:space="preserve">Příplatek k odvozu suti a vybouraných hmot na skládku ZKD 1 km přes 1 km   </t>
  </si>
  <si>
    <t xml:space="preserve">49,332*19   </t>
  </si>
  <si>
    <t>997013631</t>
  </si>
  <si>
    <t xml:space="preserve">Poplatek za uložení na skládce (skládkovné) stavebního odpadu směsného kód odpadu 17 09 04   </t>
  </si>
  <si>
    <t>998</t>
  </si>
  <si>
    <t xml:space="preserve">Přesun hmot   </t>
  </si>
  <si>
    <t>998012023</t>
  </si>
  <si>
    <t xml:space="preserve">Přesun hmot pro budovy monolitické v přes 12 do 24 m   </t>
  </si>
  <si>
    <t>PSV</t>
  </si>
  <si>
    <t xml:space="preserve">Práce a dodávky PSV   </t>
  </si>
  <si>
    <t>725</t>
  </si>
  <si>
    <t xml:space="preserve">Zdravotechnika - zařizovací předměty   </t>
  </si>
  <si>
    <t>721</t>
  </si>
  <si>
    <t>725110814</t>
  </si>
  <si>
    <t xml:space="preserve">Demontáž klozetu Kombi   </t>
  </si>
  <si>
    <t>soubor</t>
  </si>
  <si>
    <t>725210821</t>
  </si>
  <si>
    <t xml:space="preserve">Demontáž umyvadel bez výtokových armatur   </t>
  </si>
  <si>
    <t>725220841</t>
  </si>
  <si>
    <t xml:space="preserve">Demontáž van ocelová rohová   </t>
  </si>
  <si>
    <t>725310823</t>
  </si>
  <si>
    <t xml:space="preserve">Demontáž dřez jednoduchý vestavěný v kuchyňských sestavách bez výtokových armatur   </t>
  </si>
  <si>
    <t>725820801</t>
  </si>
  <si>
    <t xml:space="preserve">Demontáž baterie nástěnné do G 3 / 4   </t>
  </si>
  <si>
    <t>725820802</t>
  </si>
  <si>
    <t xml:space="preserve">Demontáž baterie stojánkové do jednoho otvoru   </t>
  </si>
  <si>
    <t>725860811</t>
  </si>
  <si>
    <t xml:space="preserve">Demontáž uzávěrů zápachu jednoduchých   </t>
  </si>
  <si>
    <t>kus</t>
  </si>
  <si>
    <t>751</t>
  </si>
  <si>
    <t xml:space="preserve">Vzduchotechnika   </t>
  </si>
  <si>
    <t>751377811</t>
  </si>
  <si>
    <t xml:space="preserve">Demontáž odsávacího zákrytu (digestoř) bytového vestavěného   </t>
  </si>
  <si>
    <t>763</t>
  </si>
  <si>
    <t xml:space="preserve">Konstrukce suché výstavby   </t>
  </si>
  <si>
    <t>763131451</t>
  </si>
  <si>
    <t xml:space="preserve">SDK podhled deska 1xH2 12,5 bez izolace dvouvrstvá spodní kce profil CD+UD   </t>
  </si>
  <si>
    <t xml:space="preserve">C2.1   </t>
  </si>
  <si>
    <t xml:space="preserve">16*(2,93+1,24)   </t>
  </si>
  <si>
    <t xml:space="preserve">8*(2,16+1,24)   </t>
  </si>
  <si>
    <t>763181311</t>
  </si>
  <si>
    <t xml:space="preserve">Montáž jednokřídlové kovové zárubně do SDK příčky   </t>
  </si>
  <si>
    <t>553</t>
  </si>
  <si>
    <t>55331589</t>
  </si>
  <si>
    <t xml:space="preserve">zárubeň jednokřídlá ocelová pro sádrokartonové příčky tl stěny 75-100mm rozměru 700/1970, 2100mm   </t>
  </si>
  <si>
    <t>55331590</t>
  </si>
  <si>
    <t xml:space="preserve">zárubeň jednokřídlá ocelová pro sádrokartonové příčky tl stěny 75-100mm rozměru 800/1970, 2100mm   </t>
  </si>
  <si>
    <t>763211121</t>
  </si>
  <si>
    <t xml:space="preserve">Sádrovláknitá příčka tl 75 mm profil CW+UW 50 desky 1x12,5 bez izolace   </t>
  </si>
  <si>
    <t xml:space="preserve">16*(1,725+1,3+1,78)*2,8   </t>
  </si>
  <si>
    <t xml:space="preserve">8*(1,7+3,45)*2,8   </t>
  </si>
  <si>
    <t>*-0,7*1,97*48</t>
  </si>
  <si>
    <t>*-0,8*1,97*24</t>
  </si>
  <si>
    <t>763211123</t>
  </si>
  <si>
    <t xml:space="preserve">Sádrovláknitá příčka tl 100 mm profil CW+UW 75 desky 1x12,5 bez izolace   </t>
  </si>
  <si>
    <t xml:space="preserve">16*(1,8+1,3)*2,8   </t>
  </si>
  <si>
    <t xml:space="preserve">8*(1,57+1,6+0,35)*2,8   </t>
  </si>
  <si>
    <t>763223111</t>
  </si>
  <si>
    <t xml:space="preserve">Sádrovláknitá stěna šachtová tl 62,5 mm profil CW+UW 75 deska 1x12,5 bez izolace   </t>
  </si>
  <si>
    <t xml:space="preserve">16*2*(1+0,36)*2,8   </t>
  </si>
  <si>
    <t xml:space="preserve">8*2*0,9*2,8   </t>
  </si>
  <si>
    <t>763711811</t>
  </si>
  <si>
    <t xml:space="preserve">Demontáž dřevostaveb stěn a příček z panelů bez izolace a omítky tl do 100 mm   </t>
  </si>
  <si>
    <t xml:space="preserve">16*(3*1,6+2,5+0,825)*2,8   </t>
  </si>
  <si>
    <t xml:space="preserve">8*(3*1,6+2*2,5+0,82)*2,8   </t>
  </si>
  <si>
    <t>998763303</t>
  </si>
  <si>
    <t xml:space="preserve">Přesun hmot tonážní pro sádrokartonové konstrukce v objektech v přes 12 do 24 m   </t>
  </si>
  <si>
    <t>766</t>
  </si>
  <si>
    <t xml:space="preserve">Konstrukce truhlářské   </t>
  </si>
  <si>
    <t>766660001</t>
  </si>
  <si>
    <t xml:space="preserve">Montáž dveřních křídel otvíravých jednokřídlových š do 0,8 m do ocelové zárubně   </t>
  </si>
  <si>
    <t>611</t>
  </si>
  <si>
    <t>61162073</t>
  </si>
  <si>
    <t xml:space="preserve">dveře jednokřídlé voštinové povrch laminátový plné 700x1970-2100mm   </t>
  </si>
  <si>
    <t>61162074</t>
  </si>
  <si>
    <t xml:space="preserve">dveře jednokřídlé voštinové povrch laminátový plné 800x1970-2100mm   </t>
  </si>
  <si>
    <t>766660729</t>
  </si>
  <si>
    <t xml:space="preserve">Montáž dveřního interiérového kování - štítku s klikou   </t>
  </si>
  <si>
    <t>549</t>
  </si>
  <si>
    <t>54914123</t>
  </si>
  <si>
    <t xml:space="preserve">kování rozetové klika/klika   </t>
  </si>
  <si>
    <t>766660730</t>
  </si>
  <si>
    <t xml:space="preserve">Montáž dveřního interiérového kování - WC kliky se zámkem   </t>
  </si>
  <si>
    <t>54914128</t>
  </si>
  <si>
    <t xml:space="preserve">kování rozetové pro WC   </t>
  </si>
  <si>
    <t>766691914</t>
  </si>
  <si>
    <t xml:space="preserve">Vyvěšení nebo zavěšení dřevěných křídel dveří pl do 2 m2   </t>
  </si>
  <si>
    <t>766812840</t>
  </si>
  <si>
    <t xml:space="preserve">Demontáž kuchyňských linek dřevěných nebo kovových dl přes 1,8 do 2,1 m   </t>
  </si>
  <si>
    <t>766825821</t>
  </si>
  <si>
    <t xml:space="preserve">Demontáž truhlářských vestavěných skříní dvoukřídlových   </t>
  </si>
  <si>
    <t>R</t>
  </si>
  <si>
    <t>76695001</t>
  </si>
  <si>
    <t xml:space="preserve">Kuchyňská linka včetně spotřebičů   </t>
  </si>
  <si>
    <t>998766103</t>
  </si>
  <si>
    <t xml:space="preserve">Přesun hmot tonážní pro kce truhlářské v objektech v přes 12 do 24 m   </t>
  </si>
  <si>
    <t>771</t>
  </si>
  <si>
    <t xml:space="preserve">Podlahy z dlaždic   </t>
  </si>
  <si>
    <t>771121011</t>
  </si>
  <si>
    <t xml:space="preserve">Nátěr penetrační na podlahu   </t>
  </si>
  <si>
    <t>771573810</t>
  </si>
  <si>
    <t xml:space="preserve">Demontáž podlah z dlaždic keramických lepených   </t>
  </si>
  <si>
    <t xml:space="preserve">24*(2,56+0,98)   </t>
  </si>
  <si>
    <t>776</t>
  </si>
  <si>
    <t>776111117</t>
  </si>
  <si>
    <t xml:space="preserve">Broušení stávajícího podkladu povlakových podlah diamantovým kotoučem   </t>
  </si>
  <si>
    <t>771574416</t>
  </si>
  <si>
    <t xml:space="preserve">Montáž podlah keramických hladkých lepených cementovým flexibilním lepidlem přes 9 do 12 ks/m2   </t>
  </si>
  <si>
    <t>597</t>
  </si>
  <si>
    <t>59761160</t>
  </si>
  <si>
    <t xml:space="preserve">dlažba keramická slinutá mrazuvzdorná do interiéru i exteriéru povrch hladký/matný tl do 10mm přes 9 do 12ks/m2   </t>
  </si>
  <si>
    <t xml:space="preserve">93,92 * 1,1   </t>
  </si>
  <si>
    <t>771591112</t>
  </si>
  <si>
    <t xml:space="preserve">Izolace pod dlažbu nátěrem nebo stěrkou ve dvou vrstvách   </t>
  </si>
  <si>
    <t>998771103</t>
  </si>
  <si>
    <t xml:space="preserve">Přesun hmot tonážní pro podlahy z dlaždic v objektech v přes 12 do 24 m   </t>
  </si>
  <si>
    <t xml:space="preserve">Podlahy povlakové   </t>
  </si>
  <si>
    <t>776111116</t>
  </si>
  <si>
    <t xml:space="preserve">Odstranění zbytků lepidla z podkladu povlakových podlah broušením   </t>
  </si>
  <si>
    <t>776111311</t>
  </si>
  <si>
    <t xml:space="preserve">Vysátí podkladu povlakových podlah   </t>
  </si>
  <si>
    <t>776121112</t>
  </si>
  <si>
    <t xml:space="preserve">Vodou ředitelná penetrace savého podkladu povlakových podlah   </t>
  </si>
  <si>
    <t>776141122</t>
  </si>
  <si>
    <t xml:space="preserve">Stěrka podlahová nivelační pro vyrovnání podkladu povlakových podlah pevnosti 30 MPa tl přes 3 do 5 mm   </t>
  </si>
  <si>
    <t>776201811</t>
  </si>
  <si>
    <t xml:space="preserve">Demontáž lepených povlakových podlah bez podložky ručně   </t>
  </si>
  <si>
    <t xml:space="preserve">16*(6,24+12,26)+8*(7,96+8,06)   </t>
  </si>
  <si>
    <t>776231111</t>
  </si>
  <si>
    <t xml:space="preserve">Lepení lamel a čtverců z vinylu standardním lepidlem   </t>
  </si>
  <si>
    <t>284</t>
  </si>
  <si>
    <t>28411064</t>
  </si>
  <si>
    <t xml:space="preserve">dílce vinylové tl 5mm, zátěž 23/31, R10, hořlavost Cfl-s1, podložka kompozitní   </t>
  </si>
  <si>
    <t xml:space="preserve">404,88 * 1,1   </t>
  </si>
  <si>
    <t>776421111</t>
  </si>
  <si>
    <t xml:space="preserve">Montáž obvodových lišt lepením   </t>
  </si>
  <si>
    <t>m</t>
  </si>
  <si>
    <t xml:space="preserve">16*(2*3,45+2,43+4,72)   </t>
  </si>
  <si>
    <t xml:space="preserve">8*(3*3,45+2,2)   </t>
  </si>
  <si>
    <t xml:space="preserve">*-24*5*0,8   </t>
  </si>
  <si>
    <t xml:space="preserve">*-24*2*0,7   </t>
  </si>
  <si>
    <t>283</t>
  </si>
  <si>
    <t>28342166</t>
  </si>
  <si>
    <t xml:space="preserve">lišta podlahová PVC zakončovací   </t>
  </si>
  <si>
    <t xml:space="preserve">195,6 * 1,02   </t>
  </si>
  <si>
    <t>998776103</t>
  </si>
  <si>
    <t xml:space="preserve">Přesun hmot tonážní pro podlahy povlakové v objektech v přes 12 do 24 m   </t>
  </si>
  <si>
    <t>781</t>
  </si>
  <si>
    <t xml:space="preserve">Dokončovací práce - obklady   </t>
  </si>
  <si>
    <t>781121011</t>
  </si>
  <si>
    <t xml:space="preserve">Nátěr penetrační na stěnu   </t>
  </si>
  <si>
    <t>781131112</t>
  </si>
  <si>
    <t xml:space="preserve">Izolace pod obklad nátěrem nebo stěrkou ve dvou vrstvách   </t>
  </si>
  <si>
    <t xml:space="preserve">24*2*1*1,85   </t>
  </si>
  <si>
    <t xml:space="preserve">234,304*0,15   </t>
  </si>
  <si>
    <t>781131264</t>
  </si>
  <si>
    <t xml:space="preserve">Izolace pod obklad těsnícími pásy mezi podlahou a stěnou   </t>
  </si>
  <si>
    <t xml:space="preserve">16*2*(1,625+1,8)   </t>
  </si>
  <si>
    <t xml:space="preserve">8*2*(1,6+1,47)   </t>
  </si>
  <si>
    <t>*-24*0,7</t>
  </si>
  <si>
    <t xml:space="preserve">16*2*(1,237+1)   </t>
  </si>
  <si>
    <t xml:space="preserve">8*2*(1,15+1,2)   </t>
  </si>
  <si>
    <t xml:space="preserve">*-24*0,7   </t>
  </si>
  <si>
    <t>781474112</t>
  </si>
  <si>
    <t xml:space="preserve">Montáž obkladů vnitřních keramických hladkých přes 9 do 12 ks/m2 lepených flexibilním lepidlem   </t>
  </si>
  <si>
    <t xml:space="preserve">16*2*(1,625+1,8)*2   </t>
  </si>
  <si>
    <t xml:space="preserve">8*2*(1,6+1,47)*2   </t>
  </si>
  <si>
    <t xml:space="preserve">*-24*0,7*1,97   </t>
  </si>
  <si>
    <t xml:space="preserve">16*2*(1,237+1)*1,2   </t>
  </si>
  <si>
    <t xml:space="preserve">8*2*(1,15+1,2)*1,2   </t>
  </si>
  <si>
    <t xml:space="preserve">*-24*0,7*1,2   </t>
  </si>
  <si>
    <t xml:space="preserve">kuchyně   </t>
  </si>
  <si>
    <t xml:space="preserve">24*3*0,6   </t>
  </si>
  <si>
    <t>59761026</t>
  </si>
  <si>
    <t xml:space="preserve">obklad keramický hladký do 12ks/m2   </t>
  </si>
  <si>
    <t xml:space="preserve">438,405 * 1,1   </t>
  </si>
  <si>
    <t>998781103</t>
  </si>
  <si>
    <t xml:space="preserve">Přesun hmot tonážní pro obklady keramické v objektech v přes 12 do 24 m   </t>
  </si>
  <si>
    <t>784</t>
  </si>
  <si>
    <t xml:space="preserve">Dokončovací práce - malby a tapety   </t>
  </si>
  <si>
    <t>784181101</t>
  </si>
  <si>
    <t xml:space="preserve">Základní akrylátová jednonásobná bezbarvá penetrace podkladu v místnostech v do 3,80 m   </t>
  </si>
  <si>
    <t>784221101</t>
  </si>
  <si>
    <t xml:space="preserve">Dvojnásobné bílé malby ze směsí za sucha dobře otěruvzdorných v místnostech do 3,80 m   </t>
  </si>
  <si>
    <t xml:space="preserve">969,585   </t>
  </si>
  <si>
    <t xml:space="preserve">42,721   </t>
  </si>
  <si>
    <t xml:space="preserve">S2.1+S2.2+S2.3   </t>
  </si>
  <si>
    <t xml:space="preserve">16*(1,73+2,98+3,45+1,72)*2,8   </t>
  </si>
  <si>
    <t xml:space="preserve">8*(2*3,45+1,7)*2,8   </t>
  </si>
  <si>
    <t xml:space="preserve">*-24*2*0,8*1,97   </t>
  </si>
  <si>
    <t xml:space="preserve">*-24*2*0,7*1,97   </t>
  </si>
  <si>
    <t xml:space="preserve">nad obklad   </t>
  </si>
  <si>
    <t xml:space="preserve">16*2*(1,625+1,8)*0,8   </t>
  </si>
  <si>
    <t xml:space="preserve">8*2*(1,6+1,47)*0,8   </t>
  </si>
  <si>
    <t xml:space="preserve">16*2*(1,237+1)*1,6   </t>
  </si>
  <si>
    <t xml:space="preserve">8*2*(1,15+1,2)*1,6   </t>
  </si>
  <si>
    <t xml:space="preserve">387,5   </t>
  </si>
  <si>
    <t xml:space="preserve">89,75   </t>
  </si>
  <si>
    <t>VRN</t>
  </si>
  <si>
    <t xml:space="preserve">Vedlejší rozpočtové náklady   </t>
  </si>
  <si>
    <t>VRN3</t>
  </si>
  <si>
    <t xml:space="preserve">Zařízení staveniště   </t>
  </si>
  <si>
    <t>000</t>
  </si>
  <si>
    <t>030001000</t>
  </si>
  <si>
    <t>kpl</t>
  </si>
  <si>
    <t>Dokumentace skutečného provedení</t>
  </si>
  <si>
    <t xml:space="preserve">Celkem   </t>
  </si>
  <si>
    <t>SPECIFIKACE MATERIÁLU</t>
  </si>
  <si>
    <t>Akce</t>
  </si>
  <si>
    <t>OPRAVA A REKONSTRUKCE SOCIÁLEK A KUCHYNÍ NA KOLEJÍCH PALACHOVA V HRADCI KRÁLOVÉ pozemek parc. č. 2299 a 2300 k. ú. Hradec Králové</t>
  </si>
  <si>
    <t>pozice</t>
  </si>
  <si>
    <t>název</t>
  </si>
  <si>
    <t>množství</t>
  </si>
  <si>
    <t>m.j.</t>
  </si>
  <si>
    <t>Cena / mj</t>
  </si>
  <si>
    <t>Cena 
celkem</t>
  </si>
  <si>
    <t>Zařízení č.1 - Hygienická zázemí</t>
  </si>
  <si>
    <t>O1</t>
  </si>
  <si>
    <t>střešní ventilátor</t>
  </si>
  <si>
    <t>Typ: IP55 - 1200 m3/h při 160 Pa - 230V, 180W</t>
  </si>
  <si>
    <t>A1</t>
  </si>
  <si>
    <t>odtahové potrubí                                                                                                             Ohebná Al laminátová hadice s kostrou z ocelového drátu spirálovitě vinutou mezi dvěma vrstvami několikavrstvého Al laminátu s tepelnou a hlukovou izolací.</t>
  </si>
  <si>
    <t>ø125</t>
  </si>
  <si>
    <t>bm</t>
  </si>
  <si>
    <t>A2</t>
  </si>
  <si>
    <t xml:space="preserve">Kruhové potrubí </t>
  </si>
  <si>
    <t>A3</t>
  </si>
  <si>
    <t>Čtverhranné potrubí z pozinkovaného plechu se zatmelenými spárami vč. závěsného materiálu</t>
  </si>
  <si>
    <t>200/200</t>
  </si>
  <si>
    <t>300/200</t>
  </si>
  <si>
    <t>A4</t>
  </si>
  <si>
    <t>Talířový ventil - odtah</t>
  </si>
  <si>
    <r>
      <rPr>
        <sz val="9"/>
        <color indexed="8"/>
        <rFont val="Calibri"/>
        <family val="2"/>
      </rPr>
      <t>Ø</t>
    </r>
    <r>
      <rPr>
        <sz val="9"/>
        <color indexed="8"/>
        <rFont val="Arial"/>
        <family val="2"/>
      </rPr>
      <t>125</t>
    </r>
  </si>
  <si>
    <t>ks</t>
  </si>
  <si>
    <t>A5</t>
  </si>
  <si>
    <t>Obdelníková mřížka - stěnová</t>
  </si>
  <si>
    <t>300/100</t>
  </si>
  <si>
    <t>A6</t>
  </si>
  <si>
    <t>Tlumič hluku soklový</t>
  </si>
  <si>
    <t>A7</t>
  </si>
  <si>
    <t>požarní izolace</t>
  </si>
  <si>
    <t xml:space="preserve">Zařízení č.2 - Kuchyně </t>
  </si>
  <si>
    <t>O2</t>
  </si>
  <si>
    <t xml:space="preserve">Cirkulační vestavná digestoř </t>
  </si>
  <si>
    <t>recirkulace vzduchu přes uhlíkové filtry</t>
  </si>
  <si>
    <t>bez pozice</t>
  </si>
  <si>
    <t>Zaregulování potrubní sítě</t>
  </si>
  <si>
    <t>Montáž zařízení, doprava, manipulace</t>
  </si>
  <si>
    <t>D.1.4.a</t>
  </si>
  <si>
    <t>Vzduchotechnická zařízení</t>
  </si>
  <si>
    <t>Kč</t>
  </si>
  <si>
    <t>D.1.4.b - Zdravotně technické instalace</t>
  </si>
  <si>
    <t>Martin Edlman</t>
  </si>
  <si>
    <t>Ozn.</t>
  </si>
  <si>
    <t>Popis položky</t>
  </si>
  <si>
    <t>Pozn. (upřesnění typu, referenční výrobek,..)</t>
  </si>
  <si>
    <t>výměra</t>
  </si>
  <si>
    <t>[mj]</t>
  </si>
  <si>
    <t>Instalace</t>
  </si>
  <si>
    <t>Kanalizace</t>
  </si>
  <si>
    <t>1.</t>
  </si>
  <si>
    <t>Potrubí splaškové kanalizace připojovací potrubí
hrdlové potrubí s těsněním "o" kroužky, včetně tvarovek, příslušenství, kotvícího materiálu, pomocného materiálu a montáže
PP - tichý systém - DN50</t>
  </si>
  <si>
    <t>připojovací potrubí</t>
  </si>
  <si>
    <t>2.</t>
  </si>
  <si>
    <t>Potrubí splaškové kanalizace připojovací potrubí
hrdlové potrubí s těsněním "o" kroužky, včetně tvarovek, příslušenství, kotvícího materiálu, pomocného materiálu a montáže
PP - HT systém - DN110</t>
  </si>
  <si>
    <t>3.</t>
  </si>
  <si>
    <r>
      <t>Potrubí splaškové kanalizace svislé a ležaté potrubí
hrdlové potrubí s těsněním "o" kroužky,</t>
    </r>
    <r>
      <rPr>
        <sz val="10"/>
        <color indexed="10"/>
        <rFont val="Arial"/>
        <family val="2"/>
      </rPr>
      <t xml:space="preserve"> tiché potrubí</t>
    </r>
    <r>
      <rPr>
        <sz val="10"/>
        <color indexed="8"/>
        <rFont val="Arial"/>
        <family val="2"/>
      </rPr>
      <t>, včetně tvarovek, příslušenství, kotvícího materiálu, pomocného materiálu a montáže
PP - SK systém - DN110</t>
    </r>
  </si>
  <si>
    <t>svislé potrubí</t>
  </si>
  <si>
    <t>4.</t>
  </si>
  <si>
    <t>Potrubí splaškové kanalizace kondenzát
hrdlové potrubí s těsněním "o" kroužky, včetně tvarovek, příslušenství, kotvícího materiálu, pomocného materiálu a montáže
PP - HT systém - DN32</t>
  </si>
  <si>
    <t>odvod kondenzátu</t>
  </si>
  <si>
    <t>5.</t>
  </si>
  <si>
    <t>Souprava větrací hlavice polypropylen PP - DN110, včetně příslušenství, kotvícího materiálu, pomocného materiálu a montáže.</t>
  </si>
  <si>
    <t>Vodovod</t>
  </si>
  <si>
    <t>11.</t>
  </si>
  <si>
    <t>Kulový kohout s vypouštěním DN32 pro potrubí studené vody, včetně montáže a montážních prvků</t>
  </si>
  <si>
    <t>SV - podlažní rozvod</t>
  </si>
  <si>
    <t>12.</t>
  </si>
  <si>
    <t>Kulový kohout s vypouštěním DN32 pro potrubí teplé vody, včetně montáže a montážních prvků</t>
  </si>
  <si>
    <t>TV - podlažní rozvod</t>
  </si>
  <si>
    <t>13.</t>
  </si>
  <si>
    <t>Kulový kohout s vypouštěním DN20 pro potrubí cirkulace teplé vody, včetně montáže a montážních prvků</t>
  </si>
  <si>
    <t>CV - podlažní rozvod</t>
  </si>
  <si>
    <t>14.</t>
  </si>
  <si>
    <t>Termoregulační vyvažovací ventil DN20 pro potrubí cirkulace teplé vody, včetně montáže a montážních prvků</t>
  </si>
  <si>
    <t>15.</t>
  </si>
  <si>
    <t>Rohový ventil DN15, včetně montáže a montážních prvků</t>
  </si>
  <si>
    <t>16.</t>
  </si>
  <si>
    <r>
      <t>Bytový vodoměr DN20 s radiovým odečtem na SV, jm.průtok Q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= 2,5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/h, včetně montáže a montážních prvků</t>
    </r>
  </si>
  <si>
    <t>SV - podružné měření</t>
  </si>
  <si>
    <t>17.</t>
  </si>
  <si>
    <r>
      <t>Bytový vodoměr DN20 s radiovým odečtem na TV, jm.průtok Q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= 2,5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/h, včetně montáže a montážních prvků</t>
    </r>
  </si>
  <si>
    <t>TV - podružné měření</t>
  </si>
  <si>
    <t>18.</t>
  </si>
  <si>
    <t>Kulový kohout DN20, pro rozvod studené vody, včetně montáže a montážních prvků</t>
  </si>
  <si>
    <t>19.</t>
  </si>
  <si>
    <t>Kulový kohout DN20, pro rozvod teplé vody, včetně montáže a montážních prvků</t>
  </si>
  <si>
    <t>20.</t>
  </si>
  <si>
    <t>Zpětný ventil DN20, pro rozvod studené vody, včetně montáže a montážních prvků</t>
  </si>
  <si>
    <t>21.</t>
  </si>
  <si>
    <t>Zpětný ventil DN20, pro rozvod teplé vody, včetně montáže a montážních prvků</t>
  </si>
  <si>
    <t>22.</t>
  </si>
  <si>
    <t>Potrubí pro hlavní rozvody a stoupačky studené vody - SV 
včetně tvarovek, příslušenství, kotvícího materiálu, pomocného materiálu a montáže
 PP-RCT- D32</t>
  </si>
  <si>
    <t>SV - svislý rozvod</t>
  </si>
  <si>
    <t>23.</t>
  </si>
  <si>
    <t>Potrubí pro hlavní rozvody a stoupačky studené vody - SV 
včetně tvarovek, příslušenství, kotvícího materiálu, pomocného materiálu a montáže
 PP-RCT- D40</t>
  </si>
  <si>
    <t>24.</t>
  </si>
  <si>
    <t>Potrubí pro hlavní rozvody a stoupačky teplé vody - TV 
včetně tvarovek, příslušenství, kotvícího materiálu, pomocného materiálu a montáže
 PP-RCT- D32</t>
  </si>
  <si>
    <t>TV - svislý rozvod</t>
  </si>
  <si>
    <t>25.</t>
  </si>
  <si>
    <t>Potrubí pro hlavní rozvody a stoupačky teplé vody - TV 
včetně tvarovek, příslušenství, kotvícího materiálu, pomocného materiálu a montáže
 PP-RCT- D40</t>
  </si>
  <si>
    <t>26.</t>
  </si>
  <si>
    <t>Potrubí pro hlavní rozvody a stoupačky cirkulace - CV 
včetně tvarovek, příslušenství, kotvícího materiálu, pomocného materiálu a montáže
 PP-RCT- D25</t>
  </si>
  <si>
    <t>CV - svislý rozvod</t>
  </si>
  <si>
    <t>27.</t>
  </si>
  <si>
    <t>Potrubí pro připojovací trasy studené vody - SV 
včetně tvarovek, příslušenství, kotvícího materiálu, pomocného materiálu a montáže
  PP-RCT- PP-RCT- D25</t>
  </si>
  <si>
    <t>SV - připojovací potrubí</t>
  </si>
  <si>
    <t>28.</t>
  </si>
  <si>
    <t>Potrubí pro připojovací trasy studené vody - SV 
včetně tvarovek, příslušenství, kotvícího materiálu, pomocného materiálu a montáže
  PP-RCT- PP-RCT- D20</t>
  </si>
  <si>
    <t>29.</t>
  </si>
  <si>
    <t>Potrubí pro připojovací trasy teplé vody - TV
včetně tvarovek, příslušenství, kotvícího materiálu, pomocného materiálu a montáže
  PP-RCT- PP-RCT- D25</t>
  </si>
  <si>
    <t>TV - připojovací potrubí</t>
  </si>
  <si>
    <t>30.</t>
  </si>
  <si>
    <t>Potrubí pro připojovací trasy teplé vody - TV
včetně tvarovek, příslušenství, kotvícího materiálu, pomocného materiálu a montáže
  PP-RCT- PP-RCT- D20</t>
  </si>
  <si>
    <t>31.</t>
  </si>
  <si>
    <t>Návleková izolace z PE tl. 13 mm pro izolaci rozvodného potrubí studené vody  PP-RCT- D40, včetně izolace tvarovek a armatur. Včetně pomocného materiálu a montáže.</t>
  </si>
  <si>
    <t>32.</t>
  </si>
  <si>
    <t>Návleková izolace z PE tl. 13 mm pro izolaci rozvodného potrubí studené vody  PP-RCT- D32, včetně izolace tvarovek a armatur. Včetně pomocného materiálu a montáže.</t>
  </si>
  <si>
    <t>SV - svislý rozvod - izolace</t>
  </si>
  <si>
    <t>33.</t>
  </si>
  <si>
    <t>Návleková izolace z menerální vlny+AL tl. 40 mm pro izolaci rozvodného potrubí teplé vody  PP-RCT- D40, včetně izolace tvarovek a armatur. Včetně pomocného materiálu a montáže.</t>
  </si>
  <si>
    <t>TV - svislý rozvod - izolace</t>
  </si>
  <si>
    <t>34.</t>
  </si>
  <si>
    <t>Návleková izolace z menerální vlny+AL tl. 32 mm pro izolaci rozvodného potrubí teplé vody  PP-RCT- D32, včetně izolace tvarovek a armatur. Včetně pomocného materiálu a montáže.</t>
  </si>
  <si>
    <t>35.</t>
  </si>
  <si>
    <t>Návleková izolace z menerální vlny+AL tl. 25 mm pro izolaci rozvodného potrubí cirkulace teplé vody  PP-RCT- D25, včetně izolace tvarovek a armatur. Včetně pomocného materiálu a montáže.</t>
  </si>
  <si>
    <t>CV - svislý rozvod - izolace</t>
  </si>
  <si>
    <t>36.</t>
  </si>
  <si>
    <t>Návleková izolace z PE tl. 9 mm pro izolaci připojovacího potrubí studené vody  PP-RCT- D25, včetně izolace tvarovek a armatur. Včetně pomocného materiálu a montáže.</t>
  </si>
  <si>
    <t>SV - připojovací potrubí - izolace</t>
  </si>
  <si>
    <t>37.</t>
  </si>
  <si>
    <t>Návleková izolace z PE tl. 9 mm pro izolaci připojovacího potrubí studené vody  PP-RCT- D20, včetně izolace tvarovek a armatur. Včetně pomocného materiálu a montáže.</t>
  </si>
  <si>
    <t>38.</t>
  </si>
  <si>
    <t>Návleková izolace z PE tl. 9 mm pro izolaci připojovacího potrubí teplé vody  PP-RCT- D25, včetně izolace tvarovek a armatur. Včetně pomocného materiálu a montáže.</t>
  </si>
  <si>
    <t>TV - připojovací potrubí - izolace</t>
  </si>
  <si>
    <t>39.</t>
  </si>
  <si>
    <t>Návleková izolace z PE tl. 9 mm pro izolaci připojovacího potrubí teplé vody  PP-RCT- D20, včetně izolace tvarovek a armatur. Včetně pomocného materiálu a montáže.</t>
  </si>
  <si>
    <t>Zařizovací předměty - viz dodávka interiéru</t>
  </si>
  <si>
    <t>50.</t>
  </si>
  <si>
    <t>Klozet závěsný - WC</t>
  </si>
  <si>
    <t>WC</t>
  </si>
  <si>
    <t>hluboké splachování, sedátko barva bílá bez sklápěcí automatiky; závěsný systém s nádržkou, ovládání zpředu modul; ovládací tlačítko pro WC, dvojčinné, plastové bílá, souprava pro odhlučnění,včetně kotvícího, mocného materiálu a montáže</t>
  </si>
  <si>
    <t>51.</t>
  </si>
  <si>
    <t>Umyvadlo - U
sifon umyvadlový chrom; baterie stojánková páková, ovládání zátky; 2x rohový ventil s filtrem,                                                                  včetně kotvícího, pomocného materiálu a montáže</t>
  </si>
  <si>
    <t>U</t>
  </si>
  <si>
    <t>52.</t>
  </si>
  <si>
    <t>Umývátko - U
sifon umyvadlový chrom; baterie stojánková páková, ovládání zátky; 2x rohový ventil s filtrem,                                                               včetně kotvícího, pomocného materiálu a montáže</t>
  </si>
  <si>
    <t>53.</t>
  </si>
  <si>
    <t>Sprchová vanička - S</t>
  </si>
  <si>
    <t>S</t>
  </si>
  <si>
    <t xml:space="preserve">akrylátová, nohy k akrylátovým vestavným vaničkám; sifon k vaničkám, chromová krytka; posuvné dveře a pevná stěna; baterie sprchová páková, set dvoufunkční sprcha + tyč 600mm + mýdlenka + hadice, včetně kotvícího, pomocného materiálu a montáže </t>
  </si>
  <si>
    <t>Dokumentace</t>
  </si>
  <si>
    <t>D.1.4.b</t>
  </si>
  <si>
    <t>Zdravotně technické instalace</t>
  </si>
  <si>
    <t>KRYCÍ LIST SOUPISU</t>
  </si>
  <si>
    <t>v ---  níže se nacházejí doplnkové a pomocné údaje k sestavám  --- v</t>
  </si>
  <si>
    <t>Profese:</t>
  </si>
  <si>
    <t>Elektroinstalace – silnoproud</t>
  </si>
  <si>
    <t>Koleje Jana Palacha, Hradec Králové</t>
  </si>
  <si>
    <t>Zodpovědný projektant:</t>
  </si>
  <si>
    <t>Jiří Flosman</t>
  </si>
  <si>
    <t>Rozpočet zpracoval:</t>
  </si>
  <si>
    <t>REKAPITULACE ČLENĚNÍ SOUPISU PRACÍ A MATERIÁLU</t>
  </si>
  <si>
    <t>Náklady soupisu celkem</t>
  </si>
  <si>
    <t>-1</t>
  </si>
  <si>
    <t>SOUPIS PRACÍ  A MATERIÁLU</t>
  </si>
  <si>
    <t>Poznámky:</t>
  </si>
  <si>
    <t>Součástí ceny není:</t>
  </si>
  <si>
    <t>Elektroinstalace společných prostor</t>
  </si>
  <si>
    <t>Napájecí vedení pro stávající rozvodnice z podružných patrových rozvaděčů</t>
  </si>
  <si>
    <t>Demontáže a likvidace stávajících elektrický zařízení</t>
  </si>
  <si>
    <t>Elektroinstalace slaboproud</t>
  </si>
  <si>
    <t>ROZPOČET JE PRO CELÝ OBJEKT</t>
  </si>
  <si>
    <t>D</t>
  </si>
  <si>
    <t>pč</t>
  </si>
  <si>
    <t>typ</t>
  </si>
  <si>
    <t>popis</t>
  </si>
  <si>
    <t>poznámka</t>
  </si>
  <si>
    <t>mj</t>
  </si>
  <si>
    <t>cena/mat.</t>
  </si>
  <si>
    <t>cena/montáž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</si>
  <si>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</si>
  <si>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</si>
  <si>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</si>
  <si>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</si>
  <si>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</si>
  <si>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</si>
  <si>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</si>
  <si>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 xml:space="preserve">Kabely silnoproud </t>
  </si>
  <si>
    <t>ROZPOCET</t>
  </si>
  <si>
    <t>M+P</t>
  </si>
  <si>
    <t>CYKY-J 3x2,5</t>
  </si>
  <si>
    <t>CYKY-J 3x1,5</t>
  </si>
  <si>
    <t>vedeno volně v podhledu</t>
  </si>
  <si>
    <t>CYKY-O 3x1,5</t>
  </si>
  <si>
    <t>CYKY-O 2x1,5</t>
  </si>
  <si>
    <t>Rozvaděčová technika</t>
  </si>
  <si>
    <t>Rozvodnice „A“</t>
  </si>
  <si>
    <t>Dodávka nových komponent do stávající rozvodnice, dle schématu zapojení rozvodnice</t>
  </si>
  <si>
    <t>Rozvodnice „B“</t>
  </si>
  <si>
    <t>Rozvodnice „C“</t>
  </si>
  <si>
    <t>Rozvaděč RSP</t>
  </si>
  <si>
    <t>Zapojení kabelů z bytových rozvodnic pro zajištění</t>
  </si>
  <si>
    <t>spínání ventilátorů na střeše, doplnění řadových RS svorek kde bude ukončena</t>
  </si>
  <si>
    <t>kabeláž CYKY-O 2x1,5 z rozvodnic</t>
  </si>
  <si>
    <t>Elektrické přístroje silnoproud</t>
  </si>
  <si>
    <t>Vypínač č.1</t>
  </si>
  <si>
    <t>Vypínač jednopólový č.1 komplet, barva bílá</t>
  </si>
  <si>
    <t>Vypínač č.6</t>
  </si>
  <si>
    <t>Vypínač schodišťový č.6 komplet, barva bílá</t>
  </si>
  <si>
    <t>Vypínač č.7</t>
  </si>
  <si>
    <t>Vypínač křížový č.7 komplet, barva bílá</t>
  </si>
  <si>
    <t>Tlačítko (pro ventilátory)</t>
  </si>
  <si>
    <t>Tlačítko, komplet, barva bílá</t>
  </si>
  <si>
    <t>Zásuvka 230V 16A jednonásobná bez rámečku, montáž pod omítku</t>
  </si>
  <si>
    <t>s clonkami</t>
  </si>
  <si>
    <t>Dvouzásuvka 230V 16A pod omítku</t>
  </si>
  <si>
    <t>s natočenou dutino a s clonkami</t>
  </si>
  <si>
    <t>Rámaček 1-násobný</t>
  </si>
  <si>
    <t>Rámeček 2-násobný</t>
  </si>
  <si>
    <t>M</t>
  </si>
  <si>
    <t>Drobný montážní materiál</t>
  </si>
  <si>
    <t>Elektroinstalační materiál</t>
  </si>
  <si>
    <t>Štítky a značení</t>
  </si>
  <si>
    <t>Osvětlení v bytech</t>
  </si>
  <si>
    <t>dodávka svítidel bude včetně nezbytného montážního a instalačního příslušenství</t>
  </si>
  <si>
    <t>Svítidlo typ A1</t>
  </si>
  <si>
    <t>detaily viz. Legenda svítidel</t>
  </si>
  <si>
    <t>Svítidlo typ C1</t>
  </si>
  <si>
    <t>Svítidlo typ C2</t>
  </si>
  <si>
    <t>Montážní a inženýrská činnost</t>
  </si>
  <si>
    <t>P</t>
  </si>
  <si>
    <t>Výchozí revize</t>
  </si>
  <si>
    <t>parc. č. 2300, v k. ú. Nový Hradec Králové</t>
  </si>
  <si>
    <t>Palachova č.p. 1137/1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</si>
</sst>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.000;\-#,##0.000"/>
    <numFmt numFmtId="165" formatCode="#,##0.00000;\-#,##0.00000"/>
    <numFmt numFmtId="166" formatCode="#,##0.00_ ;\-#,##0.00\ "/>
    <numFmt numFmtId="167" formatCode="#,##0.0"/>
    <numFmt numFmtId="168" formatCode="#,##0.00&quot; Kč&quot;"/>
    <numFmt numFmtId="169" formatCode="#,##0.00%"/>
    <numFmt numFmtId="170" formatCode="dd\.mm\.yyyy"/>
    <numFmt numFmtId="171" formatCode="_-* #,##0\ &quot;Kč&quot;_-;\-* #,##0\ &quot;Kč&quot;_-;_-* &quot;-&quot;??\ &quot;Kč&quot;_-;_-@"/>
    <numFmt numFmtId="172" formatCode="_(#,##0&quot;.&quot;_);;;_(@_)"/>
  </numFmts>
  <fonts count="55">
    <font>
      <sz val="8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E"/>
      <family val="2"/>
    </font>
    <font>
      <sz val="7"/>
      <name val="Arial CE"/>
      <family val="2"/>
    </font>
    <font>
      <sz val="8"/>
      <name val="Arial CYR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sz val="8"/>
      <color indexed="63"/>
      <name val="Arial CE"/>
      <family val="2"/>
    </font>
    <font>
      <sz val="8"/>
      <color indexed="20"/>
      <name val="Arial CE"/>
      <family val="2"/>
    </font>
    <font>
      <i/>
      <sz val="8"/>
      <color indexed="12"/>
      <name val="Arial CE"/>
      <family val="2"/>
    </font>
    <font>
      <sz val="8"/>
      <color indexed="61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96969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464646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960000"/>
      <name val="Calibri"/>
      <family val="2"/>
      <scheme val="minor"/>
    </font>
    <font>
      <b/>
      <sz val="11"/>
      <color rgb="FF003366"/>
      <name val="Calibri"/>
      <family val="2"/>
      <scheme val="minor"/>
    </font>
    <font>
      <sz val="11"/>
      <color rgb="FF003366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rgb="FF993300"/>
      <name val="Arial"/>
      <family val="2"/>
    </font>
    <font>
      <sz val="10"/>
      <color rgb="FF000000"/>
      <name val="Arial"/>
      <family val="2"/>
    </font>
    <font>
      <sz val="10"/>
      <color rgb="FF0066CC"/>
      <name val="Arial"/>
      <family val="2"/>
    </font>
    <font>
      <b/>
      <sz val="10"/>
      <color rgb="FF969696"/>
      <name val="Calibri"/>
      <family val="2"/>
      <scheme val="minor"/>
    </font>
    <font>
      <b/>
      <sz val="8"/>
      <name val="MS Sans Serif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hair">
        <color indexed="8"/>
      </bottom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4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>
      <alignment/>
      <protection locked="0"/>
    </xf>
    <xf numFmtId="9" fontId="0" fillId="0" borderId="0" applyFont="0" applyFill="0" applyBorder="0">
      <alignment/>
      <protection locked="0"/>
    </xf>
    <xf numFmtId="0" fontId="2" fillId="0" borderId="0">
      <alignment/>
      <protection/>
    </xf>
    <xf numFmtId="43" fontId="2" fillId="0" borderId="0" applyFont="0" applyFill="0" applyBorder="0" applyAlignment="0" applyProtection="0"/>
  </cellStyleXfs>
  <cellXfs count="365">
    <xf numFmtId="0" fontId="0" fillId="0" borderId="0" xfId="0" applyAlignment="1" applyProtection="1">
      <alignment vertical="top"/>
      <protection locked="0"/>
    </xf>
    <xf numFmtId="0" fontId="4" fillId="0" borderId="0" xfId="0" applyFont="1" applyAlignment="1" applyProtection="1">
      <alignment horizontal="left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Alignment="1" applyProtection="1">
      <alignment horizontal="left" vertical="center" wrapText="1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49" fontId="27" fillId="0" borderId="0" xfId="0" applyNumberFormat="1" applyFont="1" applyAlignment="1" applyProtection="1">
      <alignment horizontal="left" vertical="center" wrapText="1"/>
      <protection/>
    </xf>
    <xf numFmtId="49" fontId="27" fillId="0" borderId="0" xfId="0" applyNumberFormat="1" applyFont="1" applyAlignment="1" applyProtection="1">
      <alignment horizontal="left" vertical="center"/>
      <protection/>
    </xf>
    <xf numFmtId="4" fontId="27" fillId="3" borderId="2" xfId="0" applyNumberFormat="1" applyFont="1" applyFill="1" applyBorder="1" applyAlignment="1" applyProtection="1">
      <alignment horizontal="center" vertical="center"/>
      <protection/>
    </xf>
    <xf numFmtId="4" fontId="13" fillId="3" borderId="2" xfId="0" applyNumberFormat="1" applyFont="1" applyFill="1" applyBorder="1" applyAlignment="1" applyProtection="1">
      <alignment horizontal="left" vertical="center" wrapText="1"/>
      <protection/>
    </xf>
    <xf numFmtId="4" fontId="27" fillId="3" borderId="2" xfId="0" applyNumberFormat="1" applyFont="1" applyFill="1" applyBorder="1" applyAlignment="1" applyProtection="1">
      <alignment horizontal="left" vertical="center"/>
      <protection/>
    </xf>
    <xf numFmtId="4" fontId="27" fillId="4" borderId="2" xfId="0" applyNumberFormat="1" applyFont="1" applyFill="1" applyBorder="1" applyAlignment="1" applyProtection="1">
      <alignment horizontal="center" vertical="center"/>
      <protection/>
    </xf>
    <xf numFmtId="4" fontId="28" fillId="4" borderId="2" xfId="0" applyNumberFormat="1" applyFont="1" applyFill="1" applyBorder="1" applyAlignment="1" applyProtection="1">
      <alignment horizontal="left" vertical="center"/>
      <protection/>
    </xf>
    <xf numFmtId="4" fontId="27" fillId="4" borderId="2" xfId="0" applyNumberFormat="1" applyFont="1" applyFill="1" applyBorder="1" applyAlignment="1" applyProtection="1">
      <alignment horizontal="left" vertical="center"/>
      <protection/>
    </xf>
    <xf numFmtId="49" fontId="27" fillId="0" borderId="3" xfId="0" applyNumberFormat="1" applyFont="1" applyBorder="1" applyAlignment="1" applyProtection="1">
      <alignment horizontal="center" vertical="center"/>
      <protection/>
    </xf>
    <xf numFmtId="49" fontId="27" fillId="0" borderId="4" xfId="0" applyNumberFormat="1" applyFont="1" applyBorder="1" applyAlignment="1" applyProtection="1">
      <alignment horizontal="left" vertical="center" wrapText="1"/>
      <protection/>
    </xf>
    <xf numFmtId="49" fontId="27" fillId="0" borderId="3" xfId="0" applyNumberFormat="1" applyFont="1" applyBorder="1" applyAlignment="1" applyProtection="1">
      <alignment horizontal="left" vertical="center"/>
      <protection/>
    </xf>
    <xf numFmtId="4" fontId="27" fillId="0" borderId="3" xfId="0" applyNumberFormat="1" applyFont="1" applyBorder="1" applyAlignment="1" applyProtection="1">
      <alignment horizontal="center" vertical="center"/>
      <protection/>
    </xf>
    <xf numFmtId="49" fontId="27" fillId="0" borderId="3" xfId="0" applyNumberFormat="1" applyFont="1" applyBorder="1" applyAlignment="1" applyProtection="1">
      <alignment horizontal="left" vertical="center" wrapText="1"/>
      <protection/>
    </xf>
    <xf numFmtId="4" fontId="27" fillId="5" borderId="2" xfId="0" applyNumberFormat="1" applyFont="1" applyFill="1" applyBorder="1" applyAlignment="1" applyProtection="1">
      <alignment horizontal="center" vertical="center"/>
      <protection/>
    </xf>
    <xf numFmtId="4" fontId="28" fillId="5" borderId="2" xfId="0" applyNumberFormat="1" applyFont="1" applyFill="1" applyBorder="1" applyAlignment="1" applyProtection="1">
      <alignment horizontal="left" vertical="center"/>
      <protection/>
    </xf>
    <xf numFmtId="4" fontId="27" fillId="5" borderId="2" xfId="0" applyNumberFormat="1" applyFont="1" applyFill="1" applyBorder="1" applyAlignment="1" applyProtection="1">
      <alignment horizontal="left" vertical="center"/>
      <protection/>
    </xf>
    <xf numFmtId="49" fontId="27" fillId="0" borderId="4" xfId="0" applyNumberFormat="1" applyFont="1" applyBorder="1" applyAlignment="1" applyProtection="1">
      <alignment horizontal="left" vertical="center"/>
      <protection/>
    </xf>
    <xf numFmtId="4" fontId="28" fillId="3" borderId="2" xfId="0" applyNumberFormat="1" applyFont="1" applyFill="1" applyBorder="1" applyAlignment="1" applyProtection="1">
      <alignment horizontal="left" vertical="center"/>
      <protection/>
    </xf>
    <xf numFmtId="49" fontId="29" fillId="0" borderId="4" xfId="0" applyNumberFormat="1" applyFont="1" applyBorder="1" applyAlignment="1" applyProtection="1">
      <alignment horizontal="left" vertical="center" wrapText="1"/>
      <protection/>
    </xf>
    <xf numFmtId="4" fontId="29" fillId="0" borderId="3" xfId="0" applyNumberFormat="1" applyFont="1" applyBorder="1" applyAlignment="1" applyProtection="1">
      <alignment horizontal="center" vertical="center"/>
      <protection/>
    </xf>
    <xf numFmtId="4" fontId="27" fillId="0" borderId="4" xfId="0" applyNumberFormat="1" applyFont="1" applyBorder="1" applyAlignment="1" applyProtection="1">
      <alignment horizontal="center" vertical="center"/>
      <protection/>
    </xf>
    <xf numFmtId="49" fontId="27" fillId="3" borderId="4" xfId="0" applyNumberFormat="1" applyFont="1" applyFill="1" applyBorder="1" applyAlignment="1" applyProtection="1">
      <alignment horizontal="center" vertical="center"/>
      <protection/>
    </xf>
    <xf numFmtId="49" fontId="28" fillId="3" borderId="3" xfId="0" applyNumberFormat="1" applyFont="1" applyFill="1" applyBorder="1" applyAlignment="1" applyProtection="1">
      <alignment horizontal="left" vertical="center" wrapText="1"/>
      <protection/>
    </xf>
    <xf numFmtId="49" fontId="27" fillId="3" borderId="4" xfId="0" applyNumberFormat="1" applyFont="1" applyFill="1" applyBorder="1" applyAlignment="1" applyProtection="1">
      <alignment horizontal="left" vertical="center"/>
      <protection/>
    </xf>
    <xf numFmtId="4" fontId="27" fillId="3" borderId="4" xfId="0" applyNumberFormat="1" applyFont="1" applyFill="1" applyBorder="1" applyAlignment="1" applyProtection="1">
      <alignment horizontal="center" vertical="center"/>
      <protection/>
    </xf>
    <xf numFmtId="49" fontId="27" fillId="0" borderId="5" xfId="0" applyNumberFormat="1" applyFont="1" applyBorder="1" applyAlignment="1" applyProtection="1">
      <alignment horizontal="center" vertical="center"/>
      <protection/>
    </xf>
    <xf numFmtId="49" fontId="27" fillId="0" borderId="5" xfId="0" applyNumberFormat="1" applyFont="1" applyBorder="1" applyAlignment="1" applyProtection="1">
      <alignment horizontal="left" vertical="center" wrapText="1"/>
      <protection/>
    </xf>
    <xf numFmtId="49" fontId="27" fillId="0" borderId="5" xfId="0" applyNumberFormat="1" applyFont="1" applyBorder="1" applyAlignment="1" applyProtection="1">
      <alignment horizontal="left" vertical="center"/>
      <protection/>
    </xf>
    <xf numFmtId="4" fontId="27" fillId="0" borderId="5" xfId="0" applyNumberFormat="1" applyFont="1" applyBorder="1" applyAlignment="1" applyProtection="1">
      <alignment horizontal="center" vertical="center"/>
      <protection/>
    </xf>
    <xf numFmtId="4" fontId="28" fillId="0" borderId="0" xfId="0" applyNumberFormat="1" applyFont="1" applyAlignment="1" applyProtection="1">
      <alignment horizontal="center" vertical="center"/>
      <protection/>
    </xf>
    <xf numFmtId="4" fontId="28" fillId="0" borderId="0" xfId="0" applyNumberFormat="1" applyFont="1" applyAlignment="1" applyProtection="1">
      <alignment horizontal="left" vertical="center" wrapText="1"/>
      <protection/>
    </xf>
    <xf numFmtId="4" fontId="27" fillId="0" borderId="0" xfId="0" applyNumberFormat="1" applyFont="1" applyAlignment="1" applyProtection="1">
      <alignment horizontal="center" vertical="center"/>
      <protection/>
    </xf>
    <xf numFmtId="49" fontId="29" fillId="0" borderId="0" xfId="0" applyNumberFormat="1" applyFont="1" applyAlignment="1" applyProtection="1">
      <alignment vertical="center" wrapText="1"/>
      <protection/>
    </xf>
    <xf numFmtId="49" fontId="27" fillId="0" borderId="2" xfId="0" applyNumberFormat="1" applyFont="1" applyBorder="1" applyAlignment="1" applyProtection="1">
      <alignment horizontal="left" vertical="center" wrapText="1"/>
      <protection/>
    </xf>
    <xf numFmtId="49" fontId="29" fillId="0" borderId="2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39" fontId="13" fillId="0" borderId="0" xfId="0" applyNumberFormat="1" applyFont="1" applyAlignment="1" applyProtection="1">
      <alignment horizontal="right" vertical="center"/>
      <protection locked="0"/>
    </xf>
    <xf numFmtId="39" fontId="1" fillId="0" borderId="0" xfId="0" applyNumberFormat="1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165" fontId="13" fillId="0" borderId="0" xfId="0" applyNumberFormat="1" applyFont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166" fontId="13" fillId="0" borderId="6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left" vertical="center"/>
      <protection locked="0"/>
    </xf>
    <xf numFmtId="49" fontId="22" fillId="0" borderId="0" xfId="0" applyNumberFormat="1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164" fontId="22" fillId="0" borderId="0" xfId="0" applyNumberFormat="1" applyFont="1" applyAlignment="1" applyProtection="1">
      <alignment horizontal="left" vertical="center"/>
      <protection locked="0"/>
    </xf>
    <xf numFmtId="39" fontId="22" fillId="0" borderId="0" xfId="0" applyNumberFormat="1" applyFont="1" applyAlignment="1" applyProtection="1">
      <alignment horizontal="left" vertical="center"/>
      <protection locked="0"/>
    </xf>
    <xf numFmtId="39" fontId="22" fillId="0" borderId="0" xfId="0" applyNumberFormat="1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65" fontId="22" fillId="0" borderId="0" xfId="0" applyNumberFormat="1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164" fontId="23" fillId="0" borderId="0" xfId="0" applyNumberFormat="1" applyFont="1" applyAlignment="1" applyProtection="1">
      <alignment horizontal="left" vertical="center"/>
      <protection locked="0"/>
    </xf>
    <xf numFmtId="167" fontId="23" fillId="0" borderId="0" xfId="0" applyNumberFormat="1" applyFont="1" applyAlignment="1" applyProtection="1">
      <alignment horizontal="left" vertical="center"/>
      <protection locked="0"/>
    </xf>
    <xf numFmtId="2" fontId="23" fillId="0" borderId="0" xfId="0" applyNumberFormat="1" applyFont="1" applyAlignment="1" applyProtection="1">
      <alignment horizontal="right" vertical="center"/>
      <protection locked="0"/>
    </xf>
    <xf numFmtId="168" fontId="23" fillId="0" borderId="0" xfId="0" applyNumberFormat="1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165" fontId="23" fillId="0" borderId="0" xfId="0" applyNumberFormat="1" applyFont="1" applyAlignment="1" applyProtection="1">
      <alignment horizontal="right" vertical="center"/>
      <protection locked="0"/>
    </xf>
    <xf numFmtId="39" fontId="23" fillId="0" borderId="0" xfId="0" applyNumberFormat="1" applyFont="1" applyAlignment="1" applyProtection="1">
      <alignment horizontal="right" vertical="center"/>
      <protection locked="0"/>
    </xf>
    <xf numFmtId="167" fontId="22" fillId="0" borderId="0" xfId="0" applyNumberFormat="1" applyFont="1" applyAlignment="1" applyProtection="1">
      <alignment horizontal="left" vertical="center"/>
      <protection locked="0"/>
    </xf>
    <xf numFmtId="168" fontId="22" fillId="0" borderId="0" xfId="0" applyNumberFormat="1" applyFont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left" vertical="center"/>
      <protection/>
    </xf>
    <xf numFmtId="0" fontId="30" fillId="0" borderId="7" xfId="0" applyFont="1" applyBorder="1" applyAlignment="1" applyProtection="1">
      <alignment/>
      <protection/>
    </xf>
    <xf numFmtId="0" fontId="32" fillId="0" borderId="0" xfId="0" applyFont="1" applyAlignment="1" applyProtection="1">
      <alignment horizontal="left" vertical="top"/>
      <protection/>
    </xf>
    <xf numFmtId="0" fontId="33" fillId="0" borderId="0" xfId="0" applyFont="1" applyAlignment="1" applyProtection="1">
      <alignment horizontal="left" vertical="top"/>
      <protection/>
    </xf>
    <xf numFmtId="0" fontId="32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top"/>
      <protection locked="0"/>
    </xf>
    <xf numFmtId="0" fontId="30" fillId="0" borderId="0" xfId="0" applyFont="1" applyAlignment="1" applyProtection="1">
      <alignment horizontal="left" vertical="top"/>
      <protection locked="0"/>
    </xf>
    <xf numFmtId="0" fontId="30" fillId="0" borderId="0" xfId="0" applyFont="1" applyAlignment="1" applyProtection="1">
      <alignment vertical="top"/>
      <protection locked="0"/>
    </xf>
    <xf numFmtId="0" fontId="35" fillId="6" borderId="0" xfId="0" applyFont="1" applyFill="1" applyAlignment="1" applyProtection="1">
      <alignment/>
      <protection locked="0"/>
    </xf>
    <xf numFmtId="0" fontId="30" fillId="6" borderId="0" xfId="0" applyFont="1" applyFill="1" applyAlignment="1" applyProtection="1">
      <alignment/>
      <protection locked="0"/>
    </xf>
    <xf numFmtId="0" fontId="30" fillId="0" borderId="8" xfId="0" applyFont="1" applyBorder="1" applyAlignment="1" applyProtection="1">
      <alignment/>
      <protection/>
    </xf>
    <xf numFmtId="0" fontId="30" fillId="0" borderId="0" xfId="0" applyFont="1" applyAlignment="1" applyProtection="1">
      <alignment vertical="center"/>
      <protection/>
    </xf>
    <xf numFmtId="0" fontId="36" fillId="0" borderId="9" xfId="0" applyFont="1" applyBorder="1" applyAlignment="1" applyProtection="1">
      <alignment horizontal="left" vertical="center"/>
      <protection/>
    </xf>
    <xf numFmtId="0" fontId="30" fillId="0" borderId="7" xfId="0" applyFont="1" applyBorder="1" applyAlignment="1" applyProtection="1">
      <alignment vertical="center"/>
      <protection/>
    </xf>
    <xf numFmtId="0" fontId="32" fillId="0" borderId="7" xfId="0" applyFont="1" applyBorder="1" applyAlignment="1" applyProtection="1">
      <alignment vertical="center"/>
      <protection/>
    </xf>
    <xf numFmtId="0" fontId="30" fillId="7" borderId="0" xfId="0" applyFont="1" applyFill="1" applyAlignment="1" applyProtection="1">
      <alignment vertical="center"/>
      <protection/>
    </xf>
    <xf numFmtId="0" fontId="37" fillId="7" borderId="10" xfId="0" applyFont="1" applyFill="1" applyBorder="1" applyAlignment="1" applyProtection="1">
      <alignment horizontal="left" vertical="center"/>
      <protection/>
    </xf>
    <xf numFmtId="0" fontId="37" fillId="7" borderId="11" xfId="0" applyFont="1" applyFill="1" applyBorder="1" applyAlignment="1" applyProtection="1">
      <alignment horizontal="center" vertical="center"/>
      <protection/>
    </xf>
    <xf numFmtId="0" fontId="38" fillId="0" borderId="8" xfId="0" applyFont="1" applyBorder="1" applyAlignment="1" applyProtection="1">
      <alignment horizontal="left" vertical="center"/>
      <protection/>
    </xf>
    <xf numFmtId="0" fontId="30" fillId="0" borderId="8" xfId="0" applyFont="1" applyBorder="1" applyAlignment="1" applyProtection="1">
      <alignment vertical="center"/>
      <protection/>
    </xf>
    <xf numFmtId="0" fontId="32" fillId="0" borderId="9" xfId="0" applyFont="1" applyBorder="1" applyAlignment="1" applyProtection="1">
      <alignment horizontal="left" vertical="center"/>
      <protection/>
    </xf>
    <xf numFmtId="0" fontId="30" fillId="0" borderId="12" xfId="0" applyFont="1" applyBorder="1" applyAlignment="1" applyProtection="1">
      <alignment vertical="center"/>
      <protection/>
    </xf>
    <xf numFmtId="0" fontId="30" fillId="0" borderId="13" xfId="0" applyFont="1" applyBorder="1" applyAlignment="1" applyProtection="1">
      <alignment vertical="center"/>
      <protection/>
    </xf>
    <xf numFmtId="0" fontId="34" fillId="0" borderId="7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3" fillId="0" borderId="7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30" fillId="8" borderId="11" xfId="0" applyFont="1" applyFill="1" applyBorder="1" applyAlignment="1" applyProtection="1">
      <alignment vertical="center"/>
      <protection/>
    </xf>
    <xf numFmtId="0" fontId="39" fillId="8" borderId="0" xfId="0" applyFont="1" applyFill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center" vertical="center"/>
      <protection/>
    </xf>
    <xf numFmtId="0" fontId="37" fillId="0" borderId="7" xfId="0" applyFont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horizontal="left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33" fillId="0" borderId="0" xfId="0" applyFont="1" applyAlignment="1" applyProtection="1">
      <alignment horizontal="center" vertical="center"/>
      <protection/>
    </xf>
    <xf numFmtId="0" fontId="43" fillId="0" borderId="7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horizontal="left" vertical="top"/>
      <protection/>
    </xf>
    <xf numFmtId="49" fontId="30" fillId="0" borderId="0" xfId="0" applyNumberFormat="1" applyFont="1" applyAlignment="1" applyProtection="1">
      <alignment horizontal="left" vertical="top"/>
      <protection locked="0"/>
    </xf>
    <xf numFmtId="0" fontId="44" fillId="9" borderId="14" xfId="0" applyFont="1" applyFill="1" applyBorder="1" applyAlignment="1" applyProtection="1">
      <alignment horizontal="right" wrapText="1"/>
      <protection/>
    </xf>
    <xf numFmtId="49" fontId="44" fillId="9" borderId="15" xfId="0" applyNumberFormat="1" applyFont="1" applyFill="1" applyBorder="1" applyAlignment="1" applyProtection="1">
      <alignment horizontal="center" wrapText="1"/>
      <protection/>
    </xf>
    <xf numFmtId="0" fontId="44" fillId="9" borderId="15" xfId="0" applyFont="1" applyFill="1" applyBorder="1" applyAlignment="1" applyProtection="1">
      <alignment horizontal="center" vertical="top"/>
      <protection/>
    </xf>
    <xf numFmtId="0" fontId="44" fillId="9" borderId="16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44" fillId="9" borderId="17" xfId="0" applyNumberFormat="1" applyFont="1" applyFill="1" applyBorder="1" applyAlignment="1" applyProtection="1">
      <alignment horizontal="center" wrapText="1"/>
      <protection/>
    </xf>
    <xf numFmtId="49" fontId="28" fillId="9" borderId="18" xfId="0" applyNumberFormat="1" applyFont="1" applyFill="1" applyBorder="1" applyAlignment="1" applyProtection="1">
      <alignment horizontal="center" wrapText="1"/>
      <protection/>
    </xf>
    <xf numFmtId="0" fontId="44" fillId="9" borderId="18" xfId="0" applyFont="1" applyFill="1" applyBorder="1" applyAlignment="1" applyProtection="1">
      <alignment horizontal="center" vertical="top"/>
      <protection/>
    </xf>
    <xf numFmtId="0" fontId="44" fillId="9" borderId="19" xfId="0" applyFont="1" applyFill="1" applyBorder="1" applyAlignment="1" applyProtection="1">
      <alignment horizontal="center"/>
      <protection/>
    </xf>
    <xf numFmtId="49" fontId="45" fillId="9" borderId="17" xfId="0" applyNumberFormat="1" applyFont="1" applyFill="1" applyBorder="1" applyAlignment="1" applyProtection="1">
      <alignment horizontal="center"/>
      <protection/>
    </xf>
    <xf numFmtId="49" fontId="27" fillId="9" borderId="18" xfId="0" applyNumberFormat="1" applyFont="1" applyFill="1" applyBorder="1" applyAlignment="1" applyProtection="1">
      <alignment horizontal="center" wrapText="1"/>
      <protection/>
    </xf>
    <xf numFmtId="0" fontId="45" fillId="9" borderId="18" xfId="0" applyFont="1" applyFill="1" applyBorder="1" applyAlignment="1" applyProtection="1">
      <alignment horizontal="center" wrapText="1"/>
      <protection/>
    </xf>
    <xf numFmtId="49" fontId="44" fillId="10" borderId="20" xfId="0" applyNumberFormat="1" applyFont="1" applyFill="1" applyBorder="1" applyAlignment="1" applyProtection="1">
      <alignment horizontal="center" vertical="center" wrapText="1"/>
      <protection/>
    </xf>
    <xf numFmtId="0" fontId="46" fillId="10" borderId="21" xfId="0" applyFont="1" applyFill="1" applyBorder="1" applyAlignment="1" applyProtection="1">
      <alignment wrapText="1"/>
      <protection/>
    </xf>
    <xf numFmtId="3" fontId="44" fillId="10" borderId="21" xfId="0" applyNumberFormat="1" applyFont="1" applyFill="1" applyBorder="1" applyAlignment="1" applyProtection="1">
      <alignment horizontal="center" vertical="top" wrapText="1"/>
      <protection/>
    </xf>
    <xf numFmtId="49" fontId="44" fillId="10" borderId="17" xfId="0" applyNumberFormat="1" applyFont="1" applyFill="1" applyBorder="1" applyAlignment="1" applyProtection="1">
      <alignment horizontal="center" vertical="center" wrapText="1"/>
      <protection/>
    </xf>
    <xf numFmtId="0" fontId="44" fillId="10" borderId="18" xfId="0" applyFont="1" applyFill="1" applyBorder="1" applyAlignment="1" applyProtection="1">
      <alignment vertical="top" wrapText="1"/>
      <protection/>
    </xf>
    <xf numFmtId="3" fontId="44" fillId="10" borderId="18" xfId="0" applyNumberFormat="1" applyFont="1" applyFill="1" applyBorder="1" applyAlignment="1" applyProtection="1">
      <alignment horizontal="center" vertical="top" wrapText="1"/>
      <protection/>
    </xf>
    <xf numFmtId="3" fontId="44" fillId="10" borderId="19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Alignment="1" applyProtection="1">
      <alignment/>
      <protection/>
    </xf>
    <xf numFmtId="3" fontId="48" fillId="10" borderId="18" xfId="0" applyNumberFormat="1" applyFont="1" applyFill="1" applyBorder="1" applyAlignment="1" applyProtection="1">
      <alignment horizontal="center" vertical="top" wrapText="1"/>
      <protection/>
    </xf>
    <xf numFmtId="49" fontId="44" fillId="11" borderId="17" xfId="0" applyNumberFormat="1" applyFont="1" applyFill="1" applyBorder="1" applyAlignment="1" applyProtection="1">
      <alignment horizontal="center" vertical="center" wrapText="1"/>
      <protection/>
    </xf>
    <xf numFmtId="0" fontId="46" fillId="11" borderId="18" xfId="0" applyFont="1" applyFill="1" applyBorder="1" applyAlignment="1" applyProtection="1">
      <alignment wrapText="1"/>
      <protection/>
    </xf>
    <xf numFmtId="3" fontId="44" fillId="11" borderId="18" xfId="0" applyNumberFormat="1" applyFont="1" applyFill="1" applyBorder="1" applyAlignment="1" applyProtection="1">
      <alignment horizontal="center" vertical="top" wrapText="1"/>
      <protection/>
    </xf>
    <xf numFmtId="3" fontId="44" fillId="11" borderId="19" xfId="0" applyNumberFormat="1" applyFont="1" applyFill="1" applyBorder="1" applyAlignment="1" applyProtection="1">
      <alignment horizontal="center" vertical="top" wrapText="1"/>
      <protection/>
    </xf>
    <xf numFmtId="0" fontId="44" fillId="11" borderId="18" xfId="0" applyFont="1" applyFill="1" applyBorder="1" applyAlignment="1" applyProtection="1">
      <alignment vertical="top" wrapText="1"/>
      <protection/>
    </xf>
    <xf numFmtId="0" fontId="49" fillId="11" borderId="17" xfId="0" applyFont="1" applyFill="1" applyBorder="1" applyAlignment="1" applyProtection="1">
      <alignment/>
      <protection/>
    </xf>
    <xf numFmtId="0" fontId="49" fillId="11" borderId="18" xfId="0" applyFont="1" applyFill="1" applyBorder="1" applyAlignment="1" applyProtection="1">
      <alignment/>
      <protection/>
    </xf>
    <xf numFmtId="0" fontId="49" fillId="11" borderId="19" xfId="0" applyFont="1" applyFill="1" applyBorder="1" applyAlignment="1" applyProtection="1">
      <alignment/>
      <protection/>
    </xf>
    <xf numFmtId="0" fontId="49" fillId="12" borderId="17" xfId="0" applyFont="1" applyFill="1" applyBorder="1" applyAlignment="1" applyProtection="1">
      <alignment horizontal="center" wrapText="1"/>
      <protection/>
    </xf>
    <xf numFmtId="172" fontId="44" fillId="12" borderId="18" xfId="0" applyNumberFormat="1" applyFont="1" applyFill="1" applyBorder="1" applyAlignment="1" applyProtection="1">
      <alignment horizontal="left" vertical="center" wrapText="1"/>
      <protection/>
    </xf>
    <xf numFmtId="1" fontId="45" fillId="12" borderId="18" xfId="0" applyNumberFormat="1" applyFont="1" applyFill="1" applyBorder="1" applyAlignment="1" applyProtection="1">
      <alignment horizontal="center" vertical="center" wrapText="1"/>
      <protection/>
    </xf>
    <xf numFmtId="0" fontId="49" fillId="12" borderId="22" xfId="0" applyFont="1" applyFill="1" applyBorder="1" applyAlignment="1" applyProtection="1">
      <alignment horizontal="center" wrapText="1"/>
      <protection/>
    </xf>
    <xf numFmtId="172" fontId="44" fillId="12" borderId="23" xfId="0" applyNumberFormat="1" applyFont="1" applyFill="1" applyBorder="1" applyAlignment="1" applyProtection="1">
      <alignment horizontal="left" vertical="center" wrapText="1"/>
      <protection/>
    </xf>
    <xf numFmtId="1" fontId="45" fillId="12" borderId="23" xfId="0" applyNumberFormat="1" applyFont="1" applyFill="1" applyBorder="1" applyAlignment="1" applyProtection="1">
      <alignment horizontal="center" vertical="center" wrapText="1"/>
      <protection/>
    </xf>
    <xf numFmtId="0" fontId="45" fillId="9" borderId="18" xfId="0" applyFont="1" applyFill="1" applyBorder="1" applyAlignment="1" applyProtection="1">
      <alignment horizontal="center"/>
      <protection/>
    </xf>
    <xf numFmtId="171" fontId="50" fillId="10" borderId="19" xfId="0" applyNumberFormat="1" applyFont="1" applyFill="1" applyBorder="1" applyAlignment="1" applyProtection="1">
      <alignment/>
      <protection/>
    </xf>
    <xf numFmtId="171" fontId="50" fillId="11" borderId="19" xfId="0" applyNumberFormat="1" applyFont="1" applyFill="1" applyBorder="1" applyAlignment="1" applyProtection="1">
      <alignment/>
      <protection/>
    </xf>
    <xf numFmtId="172" fontId="44" fillId="12" borderId="18" xfId="0" applyNumberFormat="1" applyFont="1" applyFill="1" applyBorder="1" applyAlignment="1" applyProtection="1">
      <alignment horizontal="center" vertical="center" wrapText="1"/>
      <protection/>
    </xf>
    <xf numFmtId="171" fontId="50" fillId="12" borderId="19" xfId="0" applyNumberFormat="1" applyFont="1" applyFill="1" applyBorder="1" applyAlignment="1" applyProtection="1">
      <alignment/>
      <protection/>
    </xf>
    <xf numFmtId="172" fontId="44" fillId="12" borderId="23" xfId="0" applyNumberFormat="1" applyFont="1" applyFill="1" applyBorder="1" applyAlignment="1" applyProtection="1">
      <alignment horizontal="center" vertical="center" wrapText="1"/>
      <protection/>
    </xf>
    <xf numFmtId="171" fontId="50" fillId="12" borderId="24" xfId="0" applyNumberFormat="1" applyFont="1" applyFill="1" applyBorder="1" applyAlignment="1" applyProtection="1">
      <alignment/>
      <protection/>
    </xf>
    <xf numFmtId="171" fontId="13" fillId="0" borderId="0" xfId="0" applyNumberFormat="1" applyFont="1" applyAlignment="1" applyProtection="1">
      <alignment/>
      <protection/>
    </xf>
    <xf numFmtId="39" fontId="37" fillId="0" borderId="3" xfId="0" applyNumberFormat="1" applyFont="1" applyBorder="1" applyAlignment="1" applyProtection="1">
      <alignment vertical="center"/>
      <protection/>
    </xf>
    <xf numFmtId="43" fontId="37" fillId="0" borderId="0" xfId="20" applyFont="1" applyAlignment="1" applyProtection="1">
      <alignment vertical="center"/>
      <protection/>
    </xf>
    <xf numFmtId="39" fontId="43" fillId="0" borderId="3" xfId="0" applyNumberFormat="1" applyFont="1" applyBorder="1" applyAlignment="1" applyProtection="1">
      <alignment vertical="center"/>
      <protection/>
    </xf>
    <xf numFmtId="43" fontId="43" fillId="0" borderId="0" xfId="20" applyFont="1" applyAlignment="1" applyProtection="1">
      <alignment vertical="center"/>
      <protection/>
    </xf>
    <xf numFmtId="43" fontId="30" fillId="0" borderId="0" xfId="20" applyFont="1" applyAlignment="1" applyProtection="1">
      <alignment vertical="center"/>
      <protection/>
    </xf>
    <xf numFmtId="10" fontId="30" fillId="0" borderId="0" xfId="21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4" fontId="29" fillId="0" borderId="4" xfId="0" applyNumberFormat="1" applyFont="1" applyBorder="1" applyAlignment="1" applyProtection="1">
      <alignment horizontal="center" vertical="center"/>
      <protection/>
    </xf>
    <xf numFmtId="49" fontId="27" fillId="0" borderId="4" xfId="0" applyNumberFormat="1" applyFont="1" applyBorder="1" applyAlignment="1" applyProtection="1">
      <alignment horizontal="center" vertical="center"/>
      <protection/>
    </xf>
    <xf numFmtId="49" fontId="29" fillId="0" borderId="4" xfId="0" applyNumberFormat="1" applyFont="1" applyBorder="1" applyAlignment="1" applyProtection="1">
      <alignment horizontal="left" vertical="center"/>
      <protection/>
    </xf>
    <xf numFmtId="0" fontId="5" fillId="13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left" vertical="top"/>
      <protection/>
    </xf>
    <xf numFmtId="37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 wrapText="1"/>
      <protection/>
    </xf>
    <xf numFmtId="164" fontId="6" fillId="0" borderId="0" xfId="0" applyNumberFormat="1" applyFont="1" applyAlignment="1" applyProtection="1">
      <alignment horizontal="right"/>
      <protection/>
    </xf>
    <xf numFmtId="39" fontId="6" fillId="0" borderId="0" xfId="0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center" wrapText="1"/>
      <protection/>
    </xf>
    <xf numFmtId="164" fontId="7" fillId="0" borderId="0" xfId="0" applyNumberFormat="1" applyFont="1" applyAlignment="1" applyProtection="1">
      <alignment horizontal="right"/>
      <protection/>
    </xf>
    <xf numFmtId="39" fontId="7" fillId="0" borderId="0" xfId="0" applyNumberFormat="1" applyFont="1" applyAlignment="1" applyProtection="1">
      <alignment horizontal="right"/>
      <protection/>
    </xf>
    <xf numFmtId="37" fontId="3" fillId="0" borderId="1" xfId="0" applyNumberFormat="1" applyFont="1" applyBorder="1" applyAlignment="1" applyProtection="1">
      <alignment horizontal="right"/>
      <protection/>
    </xf>
    <xf numFmtId="0" fontId="3" fillId="0" borderId="1" xfId="0" applyFont="1" applyBorder="1" applyAlignment="1" applyProtection="1">
      <alignment horizontal="left" wrapText="1"/>
      <protection/>
    </xf>
    <xf numFmtId="0" fontId="3" fillId="0" borderId="1" xfId="0" applyFont="1" applyBorder="1" applyAlignment="1" applyProtection="1">
      <alignment horizontal="center" wrapText="1"/>
      <protection/>
    </xf>
    <xf numFmtId="164" fontId="3" fillId="0" borderId="1" xfId="0" applyNumberFormat="1" applyFont="1" applyBorder="1" applyAlignment="1" applyProtection="1">
      <alignment horizontal="right"/>
      <protection/>
    </xf>
    <xf numFmtId="39" fontId="3" fillId="0" borderId="1" xfId="0" applyNumberFormat="1" applyFont="1" applyBorder="1" applyAlignment="1" applyProtection="1">
      <alignment horizontal="right"/>
      <protection/>
    </xf>
    <xf numFmtId="0" fontId="0" fillId="13" borderId="0" xfId="0" applyFill="1" applyAlignment="1" applyProtection="1">
      <alignment horizontal="center" vertical="top"/>
      <protection/>
    </xf>
    <xf numFmtId="37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0" applyNumberFormat="1" applyFont="1" applyAlignment="1" applyProtection="1">
      <alignment horizontal="right"/>
      <protection/>
    </xf>
    <xf numFmtId="39" fontId="8" fillId="0" borderId="0" xfId="0" applyNumberFormat="1" applyFont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center" wrapText="1"/>
      <protection/>
    </xf>
    <xf numFmtId="164" fontId="9" fillId="0" borderId="0" xfId="0" applyNumberFormat="1" applyFont="1" applyAlignment="1" applyProtection="1">
      <alignment horizontal="right"/>
      <protection/>
    </xf>
    <xf numFmtId="39" fontId="9" fillId="0" borderId="0" xfId="0" applyNumberFormat="1" applyFont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0" fontId="10" fillId="0" borderId="1" xfId="0" applyFont="1" applyBorder="1" applyAlignment="1" applyProtection="1">
      <alignment horizontal="left" wrapText="1"/>
      <protection/>
    </xf>
    <xf numFmtId="0" fontId="10" fillId="0" borderId="1" xfId="0" applyFont="1" applyBorder="1" applyAlignment="1" applyProtection="1">
      <alignment horizontal="center" wrapText="1"/>
      <protection/>
    </xf>
    <xf numFmtId="164" fontId="10" fillId="0" borderId="1" xfId="0" applyNumberFormat="1" applyFont="1" applyBorder="1" applyAlignment="1" applyProtection="1">
      <alignment horizontal="right"/>
      <protection/>
    </xf>
    <xf numFmtId="39" fontId="10" fillId="0" borderId="1" xfId="0" applyNumberFormat="1" applyFont="1" applyBorder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center" wrapText="1"/>
      <protection/>
    </xf>
    <xf numFmtId="164" fontId="11" fillId="0" borderId="0" xfId="0" applyNumberFormat="1" applyFont="1" applyAlignment="1" applyProtection="1">
      <alignment horizontal="right"/>
      <protection/>
    </xf>
    <xf numFmtId="39" fontId="11" fillId="0" borderId="0" xfId="0" applyNumberFormat="1" applyFont="1" applyAlignment="1" applyProtection="1">
      <alignment horizontal="right"/>
      <protection/>
    </xf>
    <xf numFmtId="37" fontId="12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left" wrapText="1"/>
      <protection/>
    </xf>
    <xf numFmtId="0" fontId="12" fillId="0" borderId="0" xfId="0" applyFont="1" applyAlignment="1" applyProtection="1">
      <alignment horizontal="center" wrapText="1"/>
      <protection/>
    </xf>
    <xf numFmtId="164" fontId="12" fillId="0" borderId="0" xfId="0" applyNumberFormat="1" applyFont="1" applyAlignment="1" applyProtection="1">
      <alignment horizontal="right"/>
      <protection/>
    </xf>
    <xf numFmtId="39" fontId="12" fillId="0" borderId="0" xfId="0" applyNumberFormat="1" applyFont="1" applyAlignment="1" applyProtection="1">
      <alignment horizontal="right"/>
      <protection/>
    </xf>
    <xf numFmtId="37" fontId="0" fillId="0" borderId="0" xfId="0" applyNumberFormat="1" applyAlignment="1" applyProtection="1">
      <alignment horizontal="right" vertical="top"/>
      <protection/>
    </xf>
    <xf numFmtId="0" fontId="0" fillId="0" borderId="0" xfId="0" applyAlignment="1" applyProtection="1">
      <alignment horizontal="left" vertical="top" wrapText="1"/>
      <protection/>
    </xf>
    <xf numFmtId="164" fontId="0" fillId="0" borderId="0" xfId="0" applyNumberFormat="1" applyAlignment="1" applyProtection="1">
      <alignment horizontal="right" vertical="top"/>
      <protection/>
    </xf>
    <xf numFmtId="39" fontId="0" fillId="0" borderId="0" xfId="0" applyNumberFormat="1" applyAlignment="1" applyProtection="1">
      <alignment horizontal="right" vertical="top"/>
      <protection/>
    </xf>
    <xf numFmtId="39" fontId="3" fillId="6" borderId="1" xfId="0" applyNumberFormat="1" applyFont="1" applyFill="1" applyBorder="1" applyAlignment="1" applyProtection="1">
      <alignment horizontal="right"/>
      <protection locked="0"/>
    </xf>
    <xf numFmtId="39" fontId="10" fillId="6" borderId="1" xfId="0" applyNumberFormat="1" applyFont="1" applyFill="1" applyBorder="1" applyAlignment="1" applyProtection="1">
      <alignment horizontal="right"/>
      <protection locked="0"/>
    </xf>
    <xf numFmtId="0" fontId="0" fillId="13" borderId="0" xfId="0" applyFill="1" applyAlignment="1" applyProtection="1">
      <alignment horizontal="center"/>
      <protection/>
    </xf>
    <xf numFmtId="3" fontId="22" fillId="10" borderId="18" xfId="0" applyNumberFormat="1" applyFont="1" applyFill="1" applyBorder="1" applyAlignment="1" applyProtection="1">
      <alignment horizontal="center" vertical="top" wrapText="1"/>
      <protection/>
    </xf>
    <xf numFmtId="171" fontId="1" fillId="14" borderId="18" xfId="0" applyNumberFormat="1" applyFont="1" applyFill="1" applyBorder="1" applyAlignment="1" applyProtection="1">
      <alignment/>
      <protection locked="0"/>
    </xf>
    <xf numFmtId="3" fontId="22" fillId="11" borderId="18" xfId="0" applyNumberFormat="1" applyFont="1" applyFill="1" applyBorder="1" applyAlignment="1" applyProtection="1">
      <alignment horizontal="center" vertical="top" wrapText="1"/>
      <protection/>
    </xf>
    <xf numFmtId="171" fontId="1" fillId="15" borderId="18" xfId="0" applyNumberFormat="1" applyFont="1" applyFill="1" applyBorder="1" applyAlignment="1" applyProtection="1">
      <alignment/>
      <protection locked="0"/>
    </xf>
    <xf numFmtId="0" fontId="1" fillId="11" borderId="18" xfId="0" applyFont="1" applyFill="1" applyBorder="1" applyAlignment="1" applyProtection="1">
      <alignment/>
      <protection/>
    </xf>
    <xf numFmtId="171" fontId="1" fillId="16" borderId="18" xfId="0" applyNumberFormat="1" applyFont="1" applyFill="1" applyBorder="1" applyAlignment="1" applyProtection="1">
      <alignment/>
      <protection locked="0"/>
    </xf>
    <xf numFmtId="171" fontId="1" fillId="16" borderId="23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 vertical="top"/>
      <protection/>
    </xf>
    <xf numFmtId="39" fontId="52" fillId="0" borderId="0" xfId="0" applyNumberFormat="1" applyFont="1" applyAlignment="1" applyProtection="1">
      <alignment horizontal="center" vertical="center"/>
      <protection/>
    </xf>
    <xf numFmtId="4" fontId="0" fillId="0" borderId="0" xfId="0" applyNumberFormat="1" applyAlignment="1" applyProtection="1">
      <alignment vertical="top"/>
      <protection/>
    </xf>
    <xf numFmtId="4" fontId="27" fillId="6" borderId="3" xfId="0" applyNumberFormat="1" applyFont="1" applyFill="1" applyBorder="1" applyAlignment="1" applyProtection="1">
      <alignment horizontal="center" vertical="center"/>
      <protection locked="0"/>
    </xf>
    <xf numFmtId="4" fontId="1" fillId="6" borderId="3" xfId="0" applyNumberFormat="1" applyFont="1" applyFill="1" applyBorder="1" applyAlignment="1" applyProtection="1">
      <alignment horizontal="center" vertical="center"/>
      <protection locked="0"/>
    </xf>
    <xf numFmtId="4" fontId="29" fillId="6" borderId="3" xfId="0" applyNumberFormat="1" applyFont="1" applyFill="1" applyBorder="1" applyAlignment="1" applyProtection="1">
      <alignment horizontal="center" vertical="center"/>
      <protection locked="0"/>
    </xf>
    <xf numFmtId="4" fontId="27" fillId="6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/>
      <protection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39" fontId="13" fillId="0" borderId="0" xfId="0" applyNumberFormat="1" applyFont="1" applyAlignment="1" applyProtection="1">
      <alignment horizontal="left" vertical="center"/>
      <protection/>
    </xf>
    <xf numFmtId="39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39" fontId="18" fillId="0" borderId="0" xfId="0" applyNumberFormat="1" applyFont="1" applyAlignment="1" applyProtection="1">
      <alignment horizontal="right" vertical="center"/>
      <protection/>
    </xf>
    <xf numFmtId="39" fontId="1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39" fontId="13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 horizontal="left" vertical="center" wrapText="1"/>
      <protection/>
    </xf>
    <xf numFmtId="164" fontId="13" fillId="0" borderId="0" xfId="0" applyNumberFormat="1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vertical="center"/>
      <protection/>
    </xf>
    <xf numFmtId="49" fontId="22" fillId="0" borderId="0" xfId="0" applyNumberFormat="1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164" fontId="22" fillId="0" borderId="0" xfId="0" applyNumberFormat="1" applyFont="1" applyAlignment="1" applyProtection="1">
      <alignment horizontal="left" vertical="center"/>
      <protection/>
    </xf>
    <xf numFmtId="39" fontId="22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39" fontId="22" fillId="6" borderId="0" xfId="0" applyNumberFormat="1" applyFont="1" applyFill="1" applyAlignment="1" applyProtection="1">
      <alignment horizontal="left" vertical="center"/>
      <protection locked="0"/>
    </xf>
    <xf numFmtId="167" fontId="22" fillId="6" borderId="0" xfId="0" applyNumberFormat="1" applyFont="1" applyFill="1" applyAlignment="1" applyProtection="1">
      <alignment horizontal="left" vertical="center"/>
      <protection locked="0"/>
    </xf>
    <xf numFmtId="0" fontId="22" fillId="13" borderId="0" xfId="0" applyFont="1" applyFill="1" applyAlignment="1" applyProtection="1">
      <alignment horizontal="center" vertical="center"/>
      <protection/>
    </xf>
    <xf numFmtId="0" fontId="44" fillId="10" borderId="25" xfId="0" applyFont="1" applyFill="1" applyBorder="1" applyAlignment="1" applyProtection="1">
      <alignment vertical="top" wrapText="1"/>
      <protection/>
    </xf>
    <xf numFmtId="0" fontId="44" fillId="10" borderId="26" xfId="0" applyFont="1" applyFill="1" applyBorder="1" applyAlignment="1" applyProtection="1">
      <alignment vertical="top" wrapText="1"/>
      <protection/>
    </xf>
    <xf numFmtId="0" fontId="44" fillId="10" borderId="27" xfId="0" applyFont="1" applyFill="1" applyBorder="1" applyAlignment="1" applyProtection="1">
      <alignment vertical="top" wrapText="1"/>
      <protection/>
    </xf>
    <xf numFmtId="39" fontId="3" fillId="0" borderId="28" xfId="0" applyNumberFormat="1" applyFont="1" applyBorder="1" applyAlignment="1" applyProtection="1">
      <alignment horizontal="right"/>
      <protection/>
    </xf>
    <xf numFmtId="0" fontId="36" fillId="17" borderId="0" xfId="0" applyFont="1" applyFill="1" applyAlignment="1" applyProtection="1">
      <alignment horizontal="left" vertical="center"/>
      <protection/>
    </xf>
    <xf numFmtId="0" fontId="30" fillId="17" borderId="0" xfId="0" applyFont="1" applyFill="1" applyAlignment="1" applyProtection="1">
      <alignment/>
      <protection/>
    </xf>
    <xf numFmtId="0" fontId="53" fillId="0" borderId="0" xfId="22" applyFont="1">
      <alignment/>
      <protection/>
    </xf>
    <xf numFmtId="0" fontId="4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30" fillId="7" borderId="11" xfId="0" applyFont="1" applyFill="1" applyBorder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/>
      <protection/>
    </xf>
    <xf numFmtId="0" fontId="30" fillId="0" borderId="9" xfId="0" applyFont="1" applyBorder="1" applyAlignment="1" applyProtection="1">
      <alignment vertical="center"/>
      <protection/>
    </xf>
    <xf numFmtId="0" fontId="2" fillId="0" borderId="0" xfId="22" applyFont="1">
      <alignment/>
      <protection/>
    </xf>
    <xf numFmtId="0" fontId="2" fillId="0" borderId="0" xfId="22" applyFont="1" applyAlignment="1">
      <alignment horizontal="center"/>
      <protection/>
    </xf>
    <xf numFmtId="0" fontId="2" fillId="18" borderId="29" xfId="22" applyFont="1" applyFill="1" applyBorder="1" applyAlignment="1">
      <alignment horizontal="center"/>
      <protection/>
    </xf>
    <xf numFmtId="0" fontId="2" fillId="18" borderId="30" xfId="22" applyFont="1" applyFill="1" applyBorder="1" applyAlignment="1">
      <alignment horizontal="center"/>
      <protection/>
    </xf>
    <xf numFmtId="0" fontId="2" fillId="18" borderId="31" xfId="22" applyFont="1" applyFill="1" applyBorder="1" applyAlignment="1">
      <alignment horizontal="center"/>
      <protection/>
    </xf>
    <xf numFmtId="0" fontId="2" fillId="0" borderId="32" xfId="22" applyFont="1" applyBorder="1">
      <alignment/>
      <protection/>
    </xf>
    <xf numFmtId="0" fontId="2" fillId="0" borderId="3" xfId="22" applyFont="1" applyBorder="1">
      <alignment/>
      <protection/>
    </xf>
    <xf numFmtId="43" fontId="43" fillId="0" borderId="3" xfId="20" applyFont="1" applyFill="1" applyBorder="1" applyAlignment="1" applyProtection="1">
      <alignment/>
      <protection/>
    </xf>
    <xf numFmtId="43" fontId="43" fillId="0" borderId="33" xfId="20" applyFont="1" applyFill="1" applyBorder="1" applyAlignment="1" applyProtection="1">
      <alignment/>
      <protection/>
    </xf>
    <xf numFmtId="0" fontId="53" fillId="0" borderId="34" xfId="22" applyFont="1" applyBorder="1">
      <alignment/>
      <protection/>
    </xf>
    <xf numFmtId="0" fontId="53" fillId="0" borderId="5" xfId="22" applyFont="1" applyBorder="1">
      <alignment/>
      <protection/>
    </xf>
    <xf numFmtId="43" fontId="53" fillId="0" borderId="5" xfId="20" applyFont="1" applyBorder="1" applyAlignment="1" applyProtection="1">
      <alignment/>
      <protection/>
    </xf>
    <xf numFmtId="43" fontId="53" fillId="19" borderId="5" xfId="20" applyFont="1" applyFill="1" applyBorder="1" applyAlignment="1" applyProtection="1">
      <alignment/>
      <protection/>
    </xf>
    <xf numFmtId="43" fontId="53" fillId="0" borderId="35" xfId="20" applyFont="1" applyBorder="1" applyAlignment="1" applyProtection="1">
      <alignment/>
      <protection/>
    </xf>
    <xf numFmtId="4" fontId="2" fillId="0" borderId="0" xfId="22" applyNumberFormat="1" applyFont="1">
      <alignment/>
      <protection/>
    </xf>
    <xf numFmtId="0" fontId="54" fillId="0" borderId="0" xfId="22" applyFont="1">
      <alignment/>
      <protection/>
    </xf>
    <xf numFmtId="4" fontId="54" fillId="0" borderId="0" xfId="22" applyNumberFormat="1" applyFont="1">
      <alignment/>
      <protection/>
    </xf>
    <xf numFmtId="0" fontId="35" fillId="0" borderId="0" xfId="0" applyFont="1" applyAlignment="1" applyProtection="1">
      <alignment vertical="top"/>
      <protection/>
    </xf>
    <xf numFmtId="49" fontId="30" fillId="0" borderId="0" xfId="0" applyNumberFormat="1" applyFont="1" applyAlignment="1" applyProtection="1">
      <alignment horizontal="left" vertical="top"/>
      <protection/>
    </xf>
    <xf numFmtId="0" fontId="30" fillId="0" borderId="0" xfId="0" applyFont="1" applyAlignment="1" applyProtection="1">
      <alignment horizontal="left" vertical="top"/>
      <protection/>
    </xf>
    <xf numFmtId="14" fontId="34" fillId="6" borderId="0" xfId="0" applyNumberFormat="1" applyFont="1" applyFill="1" applyAlignment="1" applyProtection="1">
      <alignment horizontal="left" vertical="center"/>
      <protection locked="0"/>
    </xf>
    <xf numFmtId="0" fontId="30" fillId="6" borderId="0" xfId="0" applyFont="1" applyFill="1" applyAlignment="1" applyProtection="1">
      <alignment horizontal="left" vertical="top"/>
      <protection locked="0"/>
    </xf>
    <xf numFmtId="0" fontId="30" fillId="6" borderId="0" xfId="0" applyFont="1" applyFill="1" applyAlignment="1" applyProtection="1">
      <alignment vertical="top"/>
      <protection locked="0"/>
    </xf>
    <xf numFmtId="49" fontId="14" fillId="0" borderId="18" xfId="0" applyNumberFormat="1" applyFont="1" applyBorder="1" applyAlignment="1" applyProtection="1">
      <alignment horizontal="center" vertical="center" wrapText="1"/>
      <protection/>
    </xf>
    <xf numFmtId="49" fontId="14" fillId="0" borderId="19" xfId="0" applyNumberFormat="1" applyFont="1" applyBorder="1" applyAlignment="1" applyProtection="1">
      <alignment horizontal="center" vertical="center" wrapText="1"/>
      <protection/>
    </xf>
    <xf numFmtId="49" fontId="14" fillId="0" borderId="36" xfId="0" applyNumberFormat="1" applyFont="1" applyBorder="1" applyAlignment="1" applyProtection="1">
      <alignment horizontal="center" vertical="center"/>
      <protection/>
    </xf>
    <xf numFmtId="49" fontId="14" fillId="0" borderId="36" xfId="0" applyNumberFormat="1" applyFont="1" applyBorder="1" applyAlignment="1" applyProtection="1">
      <alignment horizontal="left" vertical="center" wrapText="1"/>
      <protection/>
    </xf>
    <xf numFmtId="49" fontId="14" fillId="0" borderId="36" xfId="0" applyNumberFormat="1" applyFont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left" vertical="top" wrapText="1"/>
      <protection/>
    </xf>
    <xf numFmtId="0" fontId="34" fillId="0" borderId="0" xfId="0" applyFont="1" applyAlignment="1" applyProtection="1">
      <alignment horizontal="left" vertical="center" wrapText="1"/>
      <protection/>
    </xf>
    <xf numFmtId="4" fontId="36" fillId="0" borderId="9" xfId="0" applyNumberFormat="1" applyFont="1" applyBorder="1" applyAlignment="1" applyProtection="1">
      <alignment vertical="center"/>
      <protection/>
    </xf>
    <xf numFmtId="0" fontId="30" fillId="0" borderId="9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horizontal="right" vertical="center"/>
      <protection/>
    </xf>
    <xf numFmtId="169" fontId="32" fillId="0" borderId="0" xfId="0" applyNumberFormat="1" applyFont="1" applyAlignment="1" applyProtection="1">
      <alignment horizontal="left" vertical="center"/>
      <protection/>
    </xf>
    <xf numFmtId="0" fontId="32" fillId="0" borderId="0" xfId="0" applyFont="1" applyAlignment="1" applyProtection="1">
      <alignment vertical="center"/>
      <protection/>
    </xf>
    <xf numFmtId="4" fontId="51" fillId="0" borderId="0" xfId="0" applyNumberFormat="1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vertical="center"/>
      <protection/>
    </xf>
    <xf numFmtId="0" fontId="37" fillId="7" borderId="11" xfId="0" applyFont="1" applyFill="1" applyBorder="1" applyAlignment="1" applyProtection="1">
      <alignment horizontal="left" vertical="center"/>
      <protection/>
    </xf>
    <xf numFmtId="0" fontId="30" fillId="7" borderId="11" xfId="0" applyFont="1" applyFill="1" applyBorder="1" applyAlignment="1" applyProtection="1">
      <alignment vertical="center"/>
      <protection/>
    </xf>
    <xf numFmtId="4" fontId="37" fillId="7" borderId="11" xfId="0" applyNumberFormat="1" applyFont="1" applyFill="1" applyBorder="1" applyAlignment="1" applyProtection="1">
      <alignment vertical="center"/>
      <protection/>
    </xf>
    <xf numFmtId="0" fontId="30" fillId="7" borderId="37" xfId="0" applyFont="1" applyFill="1" applyBorder="1" applyAlignment="1" applyProtection="1">
      <alignment vertical="center"/>
      <protection/>
    </xf>
    <xf numFmtId="170" fontId="34" fillId="0" borderId="0" xfId="0" applyNumberFormat="1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34" fillId="0" borderId="0" xfId="0" applyFont="1" applyAlignment="1" applyProtection="1">
      <alignment vertical="center"/>
      <protection/>
    </xf>
    <xf numFmtId="0" fontId="39" fillId="8" borderId="10" xfId="0" applyFont="1" applyFill="1" applyBorder="1" applyAlignment="1" applyProtection="1">
      <alignment horizontal="center" vertical="center"/>
      <protection/>
    </xf>
    <xf numFmtId="0" fontId="39" fillId="8" borderId="11" xfId="0" applyFont="1" applyFill="1" applyBorder="1" applyAlignment="1" applyProtection="1">
      <alignment horizontal="left" vertical="center"/>
      <protection/>
    </xf>
    <xf numFmtId="0" fontId="39" fillId="8" borderId="11" xfId="0" applyFont="1" applyFill="1" applyBorder="1" applyAlignment="1" applyProtection="1">
      <alignment horizontal="center" vertical="center"/>
      <protection/>
    </xf>
    <xf numFmtId="0" fontId="39" fillId="8" borderId="11" xfId="0" applyFont="1" applyFill="1" applyBorder="1" applyAlignment="1" applyProtection="1">
      <alignment horizontal="right" vertical="center"/>
      <protection/>
    </xf>
    <xf numFmtId="0" fontId="39" fillId="8" borderId="37" xfId="0" applyFont="1" applyFill="1" applyBorder="1" applyAlignment="1" applyProtection="1">
      <alignment horizontal="left" vertical="center"/>
      <protection/>
    </xf>
    <xf numFmtId="4" fontId="42" fillId="0" borderId="0" xfId="0" applyNumberFormat="1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4" fontId="40" fillId="0" borderId="0" xfId="0" applyNumberFormat="1" applyFont="1" applyAlignment="1" applyProtection="1">
      <alignment horizontal="right" vertical="center"/>
      <protection/>
    </xf>
    <xf numFmtId="4" fontId="40" fillId="0" borderId="0" xfId="0" applyNumberFormat="1" applyFont="1" applyAlignment="1" applyProtection="1">
      <alignment vertical="center"/>
      <protection/>
    </xf>
    <xf numFmtId="4" fontId="29" fillId="0" borderId="4" xfId="0" applyNumberFormat="1" applyFont="1" applyBorder="1" applyAlignment="1" applyProtection="1">
      <alignment horizontal="center" vertical="center"/>
      <protection/>
    </xf>
    <xf numFmtId="4" fontId="29" fillId="0" borderId="2" xfId="0" applyNumberFormat="1" applyFont="1" applyBorder="1" applyAlignment="1" applyProtection="1">
      <alignment horizontal="center" vertical="center"/>
      <protection/>
    </xf>
    <xf numFmtId="49" fontId="27" fillId="0" borderId="4" xfId="0" applyNumberFormat="1" applyFont="1" applyBorder="1" applyAlignment="1" applyProtection="1">
      <alignment horizontal="center" vertical="center"/>
      <protection/>
    </xf>
    <xf numFmtId="49" fontId="27" fillId="0" borderId="2" xfId="0" applyNumberFormat="1" applyFont="1" applyBorder="1" applyAlignment="1" applyProtection="1">
      <alignment horizontal="center" vertical="center"/>
      <protection/>
    </xf>
    <xf numFmtId="49" fontId="29" fillId="0" borderId="4" xfId="0" applyNumberFormat="1" applyFont="1" applyBorder="1" applyAlignment="1" applyProtection="1">
      <alignment horizontal="left" vertical="center"/>
      <protection/>
    </xf>
    <xf numFmtId="49" fontId="29" fillId="0" borderId="2" xfId="0" applyNumberFormat="1" applyFont="1" applyBorder="1" applyAlignment="1" applyProtection="1">
      <alignment horizontal="left" vertical="center"/>
      <protection/>
    </xf>
    <xf numFmtId="4" fontId="29" fillId="6" borderId="4" xfId="0" applyNumberFormat="1" applyFont="1" applyFill="1" applyBorder="1" applyAlignment="1" applyProtection="1">
      <alignment horizontal="center" vertical="center"/>
      <protection locked="0"/>
    </xf>
    <xf numFmtId="4" fontId="29" fillId="6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  <cellStyle name="Normální 2" xfId="22"/>
    <cellStyle name="Čárk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workbookViewId="0" topLeftCell="A1">
      <selection activeCell="A5" sqref="A5"/>
    </sheetView>
  </sheetViews>
  <sheetFormatPr defaultColWidth="9.33203125" defaultRowHeight="10.5"/>
  <cols>
    <col min="1" max="1" width="19.66015625" style="299" customWidth="1"/>
    <col min="2" max="2" width="29.5" style="299" bestFit="1" customWidth="1"/>
    <col min="3" max="4" width="18.5" style="299" hidden="1" customWidth="1"/>
    <col min="5" max="5" width="18.5" style="299" customWidth="1"/>
    <col min="6" max="6" width="16.66015625" style="299" customWidth="1"/>
    <col min="7" max="7" width="18.83203125" style="299" bestFit="1" customWidth="1"/>
    <col min="8" max="16384" width="9.33203125" style="299" customWidth="1"/>
  </cols>
  <sheetData>
    <row r="1" ht="10.5">
      <c r="A1" s="290" t="s">
        <v>0</v>
      </c>
    </row>
    <row r="3" ht="10.5">
      <c r="A3" s="299" t="s">
        <v>1</v>
      </c>
    </row>
    <row r="4" spans="3:4" ht="15" thickBot="1">
      <c r="C4" s="300" t="s">
        <v>2</v>
      </c>
      <c r="D4" s="300" t="s">
        <v>3</v>
      </c>
    </row>
    <row r="5" spans="1:7" s="300" customFormat="1" ht="10.5">
      <c r="A5" s="301" t="s">
        <v>4</v>
      </c>
      <c r="B5" s="302" t="s">
        <v>5</v>
      </c>
      <c r="C5" s="302" t="s">
        <v>6</v>
      </c>
      <c r="D5" s="302" t="s">
        <v>6</v>
      </c>
      <c r="E5" s="302" t="s">
        <v>6</v>
      </c>
      <c r="F5" s="302" t="s">
        <v>7</v>
      </c>
      <c r="G5" s="303" t="s">
        <v>8</v>
      </c>
    </row>
    <row r="6" spans="1:7" ht="10.5">
      <c r="A6" s="304" t="s">
        <v>9</v>
      </c>
      <c r="B6" s="305" t="s">
        <v>10</v>
      </c>
      <c r="C6" s="306">
        <f>'1. Etapa (1136-3) Rekap'!AQ87</f>
        <v>0</v>
      </c>
      <c r="D6" s="306">
        <f>'1. Etapa (1136-3) Rekap'!AR87</f>
        <v>0</v>
      </c>
      <c r="E6" s="306">
        <f>SUM(C6:D6)</f>
        <v>0</v>
      </c>
      <c r="F6" s="306">
        <f>E6*0.21</f>
        <v>0</v>
      </c>
      <c r="G6" s="307">
        <f>E6+F6</f>
        <v>0</v>
      </c>
    </row>
    <row r="7" spans="1:7" ht="10.5">
      <c r="A7" s="304" t="s">
        <v>11</v>
      </c>
      <c r="B7" s="305" t="s">
        <v>12</v>
      </c>
      <c r="C7" s="306">
        <f>'2. Etapa (1137-1) Rekap'!AQ87</f>
        <v>0</v>
      </c>
      <c r="D7" s="306">
        <f>'2. Etapa (1137-1) Rekap'!AR87</f>
        <v>0</v>
      </c>
      <c r="E7" s="306">
        <f>SUM(C7:D7)</f>
        <v>0</v>
      </c>
      <c r="F7" s="306">
        <f>E7*0.21</f>
        <v>0</v>
      </c>
      <c r="G7" s="307">
        <f>E7+F7</f>
        <v>0</v>
      </c>
    </row>
    <row r="8" spans="1:7" ht="19.5" customHeight="1" thickBot="1">
      <c r="A8" s="308" t="s">
        <v>13</v>
      </c>
      <c r="B8" s="309"/>
      <c r="C8" s="310">
        <f>SUM(C6:C7)</f>
        <v>0</v>
      </c>
      <c r="D8" s="310">
        <f aca="true" t="shared" si="0" ref="D8:E8">SUM(D6:D7)</f>
        <v>0</v>
      </c>
      <c r="E8" s="311">
        <f t="shared" si="0"/>
        <v>0</v>
      </c>
      <c r="F8" s="310">
        <f aca="true" t="shared" si="1" ref="F8:G8">SUM(F6:F7)</f>
        <v>0</v>
      </c>
      <c r="G8" s="312">
        <f t="shared" si="1"/>
        <v>0</v>
      </c>
    </row>
    <row r="11" ht="10.5">
      <c r="D11" s="313"/>
    </row>
    <row r="12" spans="1:4" ht="10.5">
      <c r="A12" s="314"/>
      <c r="B12" s="314"/>
      <c r="C12" s="314"/>
      <c r="D12" s="31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51"/>
  <sheetViews>
    <sheetView workbookViewId="0" topLeftCell="A1">
      <pane ySplit="4" topLeftCell="A5" activePane="bottomLeft" state="frozen"/>
      <selection pane="topLeft" activeCell="AL15" activeCellId="2" sqref="I15:AF16 AL4 AL15:AL16"/>
      <selection pane="bottomLeft" activeCell="C7" sqref="C7"/>
    </sheetView>
  </sheetViews>
  <sheetFormatPr defaultColWidth="9.33203125" defaultRowHeight="10.5"/>
  <cols>
    <col min="1" max="1" width="9.16015625" style="184" customWidth="1"/>
    <col min="2" max="2" width="56.83203125" style="184" customWidth="1"/>
    <col min="3" max="3" width="25.83203125" style="184" customWidth="1"/>
    <col min="4" max="4" width="8" style="184" bestFit="1" customWidth="1"/>
    <col min="5" max="5" width="11.66015625" style="184" bestFit="1" customWidth="1"/>
    <col min="6" max="6" width="10.66015625" style="184" bestFit="1" customWidth="1"/>
    <col min="7" max="7" width="15.33203125" style="184" bestFit="1" customWidth="1"/>
    <col min="8" max="8" width="9.33203125" style="184" customWidth="1"/>
    <col min="9" max="9" width="9.33203125" style="184" hidden="1" customWidth="1"/>
    <col min="10" max="11" width="17.33203125" style="184" hidden="1" customWidth="1"/>
    <col min="12" max="12" width="9.33203125" style="184" hidden="1" customWidth="1"/>
    <col min="13" max="16384" width="9.33203125" style="184" customWidth="1"/>
  </cols>
  <sheetData>
    <row r="1" spans="1:7" ht="13.2">
      <c r="A1" s="42" t="s">
        <v>407</v>
      </c>
      <c r="B1" s="3"/>
      <c r="C1" s="4"/>
      <c r="D1" s="5"/>
      <c r="E1" s="5" t="s">
        <v>78</v>
      </c>
      <c r="F1" s="5"/>
      <c r="G1" s="5" t="s">
        <v>408</v>
      </c>
    </row>
    <row r="2" spans="1:7" ht="13.2">
      <c r="A2" s="6"/>
      <c r="B2" s="7"/>
      <c r="C2" s="8"/>
      <c r="D2" s="6"/>
      <c r="E2" s="6"/>
      <c r="F2" s="6"/>
      <c r="G2" s="6"/>
    </row>
    <row r="3" spans="1:11" ht="27" thickBot="1">
      <c r="A3" s="324" t="s">
        <v>409</v>
      </c>
      <c r="B3" s="325" t="s">
        <v>410</v>
      </c>
      <c r="C3" s="325" t="s">
        <v>411</v>
      </c>
      <c r="D3" s="326" t="s">
        <v>412</v>
      </c>
      <c r="E3" s="326" t="s">
        <v>413</v>
      </c>
      <c r="F3" s="326" t="s">
        <v>370</v>
      </c>
      <c r="G3" s="326" t="s">
        <v>371</v>
      </c>
      <c r="I3" s="175" t="s">
        <v>87</v>
      </c>
      <c r="J3" s="2" t="s">
        <v>2</v>
      </c>
      <c r="K3" s="2" t="s">
        <v>3</v>
      </c>
    </row>
    <row r="4" spans="1:9" ht="13.2">
      <c r="A4" s="9"/>
      <c r="B4" s="10" t="s">
        <v>414</v>
      </c>
      <c r="C4" s="11"/>
      <c r="D4" s="9"/>
      <c r="E4" s="9"/>
      <c r="F4" s="9"/>
      <c r="G4" s="9"/>
      <c r="I4" s="241"/>
    </row>
    <row r="5" spans="1:9" ht="13.2">
      <c r="A5" s="12"/>
      <c r="B5" s="13" t="s">
        <v>415</v>
      </c>
      <c r="C5" s="14"/>
      <c r="D5" s="12"/>
      <c r="E5" s="12"/>
      <c r="F5" s="12"/>
      <c r="G5" s="12"/>
      <c r="I5" s="241"/>
    </row>
    <row r="6" spans="1:11" ht="66">
      <c r="A6" s="15" t="s">
        <v>416</v>
      </c>
      <c r="B6" s="16" t="s">
        <v>417</v>
      </c>
      <c r="C6" s="17" t="s">
        <v>418</v>
      </c>
      <c r="D6" s="18">
        <v>300</v>
      </c>
      <c r="E6" s="18" t="s">
        <v>292</v>
      </c>
      <c r="F6" s="244"/>
      <c r="G6" s="18">
        <f>D6*F6</f>
        <v>0</v>
      </c>
      <c r="I6" s="201" t="str">
        <f>'1. Etapa D.1.4.b-Zdravotechnika'!I6</f>
        <v>N</v>
      </c>
      <c r="J6" s="200" t="str">
        <f aca="true" t="shared" si="0" ref="J6:J50">IF(I6="I",G6," ")</f>
        <v xml:space="preserve"> </v>
      </c>
      <c r="K6" s="200">
        <f>IF(I6="N",G6," ")</f>
        <v>0</v>
      </c>
    </row>
    <row r="7" spans="1:11" ht="66">
      <c r="A7" s="15" t="s">
        <v>419</v>
      </c>
      <c r="B7" s="16" t="s">
        <v>420</v>
      </c>
      <c r="C7" s="17" t="s">
        <v>418</v>
      </c>
      <c r="D7" s="18">
        <v>30</v>
      </c>
      <c r="E7" s="18" t="s">
        <v>292</v>
      </c>
      <c r="F7" s="244"/>
      <c r="G7" s="18">
        <f>D7*F7</f>
        <v>0</v>
      </c>
      <c r="I7" s="201" t="str">
        <f>'1. Etapa D.1.4.b-Zdravotechnika'!I7</f>
        <v>N</v>
      </c>
      <c r="J7" s="200" t="str">
        <f t="shared" si="0"/>
        <v xml:space="preserve"> </v>
      </c>
      <c r="K7" s="200">
        <f aca="true" t="shared" si="1" ref="K7:K50">IF(I7="N",G7," ")</f>
        <v>0</v>
      </c>
    </row>
    <row r="8" spans="1:11" ht="66">
      <c r="A8" s="15" t="s">
        <v>421</v>
      </c>
      <c r="B8" s="16" t="s">
        <v>422</v>
      </c>
      <c r="C8" s="17" t="s">
        <v>423</v>
      </c>
      <c r="D8" s="18">
        <v>170</v>
      </c>
      <c r="E8" s="18" t="s">
        <v>292</v>
      </c>
      <c r="F8" s="244"/>
      <c r="G8" s="18">
        <f>D8*F8</f>
        <v>0</v>
      </c>
      <c r="I8" s="201" t="str">
        <f>'1. Etapa D.1.4.b-Zdravotechnika'!I8</f>
        <v>N</v>
      </c>
      <c r="J8" s="200" t="str">
        <f t="shared" si="0"/>
        <v xml:space="preserve"> </v>
      </c>
      <c r="K8" s="200">
        <f t="shared" si="1"/>
        <v>0</v>
      </c>
    </row>
    <row r="9" spans="1:11" ht="66">
      <c r="A9" s="15" t="s">
        <v>424</v>
      </c>
      <c r="B9" s="16" t="s">
        <v>425</v>
      </c>
      <c r="C9" s="17" t="s">
        <v>426</v>
      </c>
      <c r="D9" s="18">
        <v>0</v>
      </c>
      <c r="E9" s="18" t="s">
        <v>292</v>
      </c>
      <c r="F9" s="244"/>
      <c r="G9" s="18">
        <f>D9*F9</f>
        <v>0</v>
      </c>
      <c r="I9" s="201" t="str">
        <f>'1. Etapa D.1.4.b-Zdravotechnika'!I9</f>
        <v>N</v>
      </c>
      <c r="J9" s="200" t="str">
        <f t="shared" si="0"/>
        <v xml:space="preserve"> </v>
      </c>
      <c r="K9" s="200">
        <f t="shared" si="1"/>
        <v>0</v>
      </c>
    </row>
    <row r="10" spans="1:11" ht="39.6">
      <c r="A10" s="15" t="s">
        <v>427</v>
      </c>
      <c r="B10" s="19" t="s">
        <v>428</v>
      </c>
      <c r="C10" s="17" t="s">
        <v>423</v>
      </c>
      <c r="D10" s="18">
        <v>6</v>
      </c>
      <c r="E10" s="18" t="s">
        <v>389</v>
      </c>
      <c r="F10" s="244"/>
      <c r="G10" s="18">
        <f>D10*F10</f>
        <v>0</v>
      </c>
      <c r="I10" s="201" t="str">
        <f>'1. Etapa D.1.4.b-Zdravotechnika'!I10</f>
        <v>N</v>
      </c>
      <c r="J10" s="200" t="str">
        <f t="shared" si="0"/>
        <v xml:space="preserve"> </v>
      </c>
      <c r="K10" s="200">
        <f t="shared" si="1"/>
        <v>0</v>
      </c>
    </row>
    <row r="11" spans="1:11" ht="13.2">
      <c r="A11" s="20"/>
      <c r="B11" s="21" t="s">
        <v>429</v>
      </c>
      <c r="C11" s="22"/>
      <c r="D11" s="20"/>
      <c r="E11" s="20"/>
      <c r="F11" s="20"/>
      <c r="G11" s="20"/>
      <c r="I11" s="241"/>
      <c r="J11" s="200" t="str">
        <f t="shared" si="0"/>
        <v xml:space="preserve"> </v>
      </c>
      <c r="K11" s="200" t="str">
        <f t="shared" si="1"/>
        <v xml:space="preserve"> </v>
      </c>
    </row>
    <row r="12" spans="1:11" ht="26.4">
      <c r="A12" s="15" t="s">
        <v>430</v>
      </c>
      <c r="B12" s="16" t="s">
        <v>431</v>
      </c>
      <c r="C12" s="19" t="s">
        <v>432</v>
      </c>
      <c r="D12" s="18">
        <v>6</v>
      </c>
      <c r="E12" s="18" t="s">
        <v>389</v>
      </c>
      <c r="F12" s="245"/>
      <c r="G12" s="18">
        <f aca="true" t="shared" si="2" ref="G12:G46">F12*D12</f>
        <v>0</v>
      </c>
      <c r="I12" s="201" t="str">
        <f>'1. Etapa D.1.4.b-Zdravotechnika'!I12</f>
        <v>N</v>
      </c>
      <c r="J12" s="200" t="str">
        <f t="shared" si="0"/>
        <v xml:space="preserve"> </v>
      </c>
      <c r="K12" s="200">
        <f t="shared" si="1"/>
        <v>0</v>
      </c>
    </row>
    <row r="13" spans="1:11" ht="26.4">
      <c r="A13" s="15" t="s">
        <v>433</v>
      </c>
      <c r="B13" s="16" t="s">
        <v>434</v>
      </c>
      <c r="C13" s="19" t="s">
        <v>435</v>
      </c>
      <c r="D13" s="18">
        <v>6</v>
      </c>
      <c r="E13" s="18" t="s">
        <v>389</v>
      </c>
      <c r="F13" s="245"/>
      <c r="G13" s="18">
        <f t="shared" si="2"/>
        <v>0</v>
      </c>
      <c r="I13" s="201" t="str">
        <f>'1. Etapa D.1.4.b-Zdravotechnika'!I13</f>
        <v>N</v>
      </c>
      <c r="J13" s="200" t="str">
        <f t="shared" si="0"/>
        <v xml:space="preserve"> </v>
      </c>
      <c r="K13" s="200">
        <f t="shared" si="1"/>
        <v>0</v>
      </c>
    </row>
    <row r="14" spans="1:11" ht="39.6">
      <c r="A14" s="15" t="s">
        <v>436</v>
      </c>
      <c r="B14" s="16" t="s">
        <v>437</v>
      </c>
      <c r="C14" s="19" t="s">
        <v>438</v>
      </c>
      <c r="D14" s="18">
        <v>6</v>
      </c>
      <c r="E14" s="18" t="s">
        <v>389</v>
      </c>
      <c r="F14" s="245"/>
      <c r="G14" s="18">
        <f t="shared" si="2"/>
        <v>0</v>
      </c>
      <c r="I14" s="201" t="str">
        <f>'1. Etapa D.1.4.b-Zdravotechnika'!I14</f>
        <v>N</v>
      </c>
      <c r="J14" s="200" t="str">
        <f t="shared" si="0"/>
        <v xml:space="preserve"> </v>
      </c>
      <c r="K14" s="200">
        <f t="shared" si="1"/>
        <v>0</v>
      </c>
    </row>
    <row r="15" spans="1:11" ht="39.6">
      <c r="A15" s="15" t="s">
        <v>439</v>
      </c>
      <c r="B15" s="16" t="s">
        <v>440</v>
      </c>
      <c r="C15" s="19" t="s">
        <v>438</v>
      </c>
      <c r="D15" s="18">
        <v>6</v>
      </c>
      <c r="E15" s="18" t="s">
        <v>389</v>
      </c>
      <c r="F15" s="245"/>
      <c r="G15" s="18">
        <f t="shared" si="2"/>
        <v>0</v>
      </c>
      <c r="I15" s="201" t="str">
        <f>'1. Etapa D.1.4.b-Zdravotechnika'!I15</f>
        <v>N</v>
      </c>
      <c r="J15" s="200" t="str">
        <f t="shared" si="0"/>
        <v xml:space="preserve"> </v>
      </c>
      <c r="K15" s="200">
        <f t="shared" si="1"/>
        <v>0</v>
      </c>
    </row>
    <row r="16" spans="1:11" ht="26.4">
      <c r="A16" s="15" t="s">
        <v>441</v>
      </c>
      <c r="B16" s="16" t="s">
        <v>442</v>
      </c>
      <c r="C16" s="23"/>
      <c r="D16" s="18">
        <f>D42*1+D44*2+D45*2+D46*2+48</f>
        <v>384</v>
      </c>
      <c r="E16" s="18" t="s">
        <v>389</v>
      </c>
      <c r="F16" s="244"/>
      <c r="G16" s="18">
        <f t="shared" si="2"/>
        <v>0</v>
      </c>
      <c r="I16" s="201" t="str">
        <f>'1. Etapa D.1.4.b-Zdravotechnika'!I16</f>
        <v>N</v>
      </c>
      <c r="J16" s="200" t="str">
        <f t="shared" si="0"/>
        <v xml:space="preserve"> </v>
      </c>
      <c r="K16" s="200">
        <f t="shared" si="1"/>
        <v>0</v>
      </c>
    </row>
    <row r="17" spans="1:11" ht="43.2">
      <c r="A17" s="15" t="s">
        <v>443</v>
      </c>
      <c r="B17" s="16" t="s">
        <v>444</v>
      </c>
      <c r="C17" s="23" t="s">
        <v>445</v>
      </c>
      <c r="D17" s="18">
        <v>48</v>
      </c>
      <c r="E17" s="18" t="s">
        <v>389</v>
      </c>
      <c r="F17" s="244"/>
      <c r="G17" s="18">
        <f t="shared" si="2"/>
        <v>0</v>
      </c>
      <c r="I17" s="201" t="str">
        <f>'1. Etapa D.1.4.b-Zdravotechnika'!I17</f>
        <v>I</v>
      </c>
      <c r="J17" s="200">
        <f t="shared" si="0"/>
        <v>0</v>
      </c>
      <c r="K17" s="200" t="str">
        <f t="shared" si="1"/>
        <v xml:space="preserve"> </v>
      </c>
    </row>
    <row r="18" spans="1:11" ht="43.2">
      <c r="A18" s="15" t="s">
        <v>446</v>
      </c>
      <c r="B18" s="16" t="s">
        <v>447</v>
      </c>
      <c r="C18" s="23" t="s">
        <v>448</v>
      </c>
      <c r="D18" s="18">
        <v>48</v>
      </c>
      <c r="E18" s="18" t="s">
        <v>389</v>
      </c>
      <c r="F18" s="244"/>
      <c r="G18" s="18">
        <f t="shared" si="2"/>
        <v>0</v>
      </c>
      <c r="I18" s="201" t="str">
        <f>'1. Etapa D.1.4.b-Zdravotechnika'!I18</f>
        <v>I</v>
      </c>
      <c r="J18" s="200">
        <f t="shared" si="0"/>
        <v>0</v>
      </c>
      <c r="K18" s="200" t="str">
        <f t="shared" si="1"/>
        <v xml:space="preserve"> </v>
      </c>
    </row>
    <row r="19" spans="1:11" ht="26.4">
      <c r="A19" s="15" t="s">
        <v>449</v>
      </c>
      <c r="B19" s="16" t="s">
        <v>450</v>
      </c>
      <c r="C19" s="23" t="s">
        <v>445</v>
      </c>
      <c r="D19" s="18">
        <v>48</v>
      </c>
      <c r="E19" s="18" t="s">
        <v>389</v>
      </c>
      <c r="F19" s="244"/>
      <c r="G19" s="18">
        <f t="shared" si="2"/>
        <v>0</v>
      </c>
      <c r="I19" s="201" t="str">
        <f>'1. Etapa D.1.4.b-Zdravotechnika'!I19</f>
        <v>I</v>
      </c>
      <c r="J19" s="200">
        <f t="shared" si="0"/>
        <v>0</v>
      </c>
      <c r="K19" s="200" t="str">
        <f t="shared" si="1"/>
        <v xml:space="preserve"> </v>
      </c>
    </row>
    <row r="20" spans="1:11" ht="26.4">
      <c r="A20" s="15" t="s">
        <v>451</v>
      </c>
      <c r="B20" s="16" t="s">
        <v>452</v>
      </c>
      <c r="C20" s="23" t="s">
        <v>448</v>
      </c>
      <c r="D20" s="18">
        <v>48</v>
      </c>
      <c r="E20" s="18" t="s">
        <v>389</v>
      </c>
      <c r="F20" s="244"/>
      <c r="G20" s="18">
        <f t="shared" si="2"/>
        <v>0</v>
      </c>
      <c r="I20" s="201" t="str">
        <f>'1. Etapa D.1.4.b-Zdravotechnika'!I20</f>
        <v>I</v>
      </c>
      <c r="J20" s="200">
        <f t="shared" si="0"/>
        <v>0</v>
      </c>
      <c r="K20" s="200" t="str">
        <f t="shared" si="1"/>
        <v xml:space="preserve"> </v>
      </c>
    </row>
    <row r="21" spans="1:11" ht="26.4">
      <c r="A21" s="15" t="s">
        <v>453</v>
      </c>
      <c r="B21" s="16" t="s">
        <v>454</v>
      </c>
      <c r="C21" s="23" t="s">
        <v>445</v>
      </c>
      <c r="D21" s="18">
        <v>48</v>
      </c>
      <c r="E21" s="18" t="s">
        <v>389</v>
      </c>
      <c r="F21" s="244"/>
      <c r="G21" s="18">
        <f t="shared" si="2"/>
        <v>0</v>
      </c>
      <c r="I21" s="201" t="str">
        <f>'1. Etapa D.1.4.b-Zdravotechnika'!I21</f>
        <v>I</v>
      </c>
      <c r="J21" s="200">
        <f t="shared" si="0"/>
        <v>0</v>
      </c>
      <c r="K21" s="200" t="str">
        <f t="shared" si="1"/>
        <v xml:space="preserve"> </v>
      </c>
    </row>
    <row r="22" spans="1:11" ht="26.4">
      <c r="A22" s="15" t="s">
        <v>455</v>
      </c>
      <c r="B22" s="16" t="s">
        <v>456</v>
      </c>
      <c r="C22" s="23" t="s">
        <v>448</v>
      </c>
      <c r="D22" s="18">
        <v>48</v>
      </c>
      <c r="E22" s="18" t="s">
        <v>389</v>
      </c>
      <c r="F22" s="244"/>
      <c r="G22" s="18">
        <f t="shared" si="2"/>
        <v>0</v>
      </c>
      <c r="I22" s="201" t="str">
        <f>'1. Etapa D.1.4.b-Zdravotechnika'!I22</f>
        <v>I</v>
      </c>
      <c r="J22" s="200">
        <f t="shared" si="0"/>
        <v>0</v>
      </c>
      <c r="K22" s="200" t="str">
        <f t="shared" si="1"/>
        <v xml:space="preserve"> </v>
      </c>
    </row>
    <row r="23" spans="1:11" ht="66">
      <c r="A23" s="15" t="s">
        <v>457</v>
      </c>
      <c r="B23" s="16" t="s">
        <v>458</v>
      </c>
      <c r="C23" s="19" t="s">
        <v>459</v>
      </c>
      <c r="D23" s="18">
        <v>40</v>
      </c>
      <c r="E23" s="18" t="s">
        <v>292</v>
      </c>
      <c r="F23" s="245"/>
      <c r="G23" s="18">
        <f t="shared" si="2"/>
        <v>0</v>
      </c>
      <c r="I23" s="201" t="str">
        <f>'1. Etapa D.1.4.b-Zdravotechnika'!I23</f>
        <v>N</v>
      </c>
      <c r="J23" s="200" t="str">
        <f t="shared" si="0"/>
        <v xml:space="preserve"> </v>
      </c>
      <c r="K23" s="200">
        <f t="shared" si="1"/>
        <v>0</v>
      </c>
    </row>
    <row r="24" spans="1:11" ht="66">
      <c r="A24" s="15" t="s">
        <v>460</v>
      </c>
      <c r="B24" s="16" t="s">
        <v>461</v>
      </c>
      <c r="C24" s="19" t="s">
        <v>459</v>
      </c>
      <c r="D24" s="18">
        <f>135-D23</f>
        <v>95</v>
      </c>
      <c r="E24" s="18" t="s">
        <v>292</v>
      </c>
      <c r="F24" s="245"/>
      <c r="G24" s="18">
        <f t="shared" si="2"/>
        <v>0</v>
      </c>
      <c r="I24" s="201" t="str">
        <f>'1. Etapa D.1.4.b-Zdravotechnika'!I24</f>
        <v>N</v>
      </c>
      <c r="J24" s="200" t="str">
        <f t="shared" si="0"/>
        <v xml:space="preserve"> </v>
      </c>
      <c r="K24" s="200">
        <f t="shared" si="1"/>
        <v>0</v>
      </c>
    </row>
    <row r="25" spans="1:11" ht="66">
      <c r="A25" s="15" t="s">
        <v>462</v>
      </c>
      <c r="B25" s="16" t="s">
        <v>463</v>
      </c>
      <c r="C25" s="19" t="s">
        <v>464</v>
      </c>
      <c r="D25" s="18">
        <v>60</v>
      </c>
      <c r="E25" s="18" t="s">
        <v>292</v>
      </c>
      <c r="F25" s="245"/>
      <c r="G25" s="18">
        <f t="shared" si="2"/>
        <v>0</v>
      </c>
      <c r="I25" s="201" t="str">
        <f>'1. Etapa D.1.4.b-Zdravotechnika'!I25</f>
        <v>N</v>
      </c>
      <c r="J25" s="200" t="str">
        <f t="shared" si="0"/>
        <v xml:space="preserve"> </v>
      </c>
      <c r="K25" s="200">
        <f t="shared" si="1"/>
        <v>0</v>
      </c>
    </row>
    <row r="26" spans="1:11" ht="66">
      <c r="A26" s="15" t="s">
        <v>465</v>
      </c>
      <c r="B26" s="16" t="s">
        <v>466</v>
      </c>
      <c r="C26" s="19" t="s">
        <v>464</v>
      </c>
      <c r="D26" s="18">
        <v>75</v>
      </c>
      <c r="E26" s="18" t="s">
        <v>292</v>
      </c>
      <c r="F26" s="245"/>
      <c r="G26" s="18">
        <f t="shared" si="2"/>
        <v>0</v>
      </c>
      <c r="I26" s="201" t="str">
        <f>'1. Etapa D.1.4.b-Zdravotechnika'!I26</f>
        <v>N</v>
      </c>
      <c r="J26" s="200" t="str">
        <f t="shared" si="0"/>
        <v xml:space="preserve"> </v>
      </c>
      <c r="K26" s="200">
        <f t="shared" si="1"/>
        <v>0</v>
      </c>
    </row>
    <row r="27" spans="1:11" ht="66">
      <c r="A27" s="15" t="s">
        <v>467</v>
      </c>
      <c r="B27" s="16" t="s">
        <v>468</v>
      </c>
      <c r="C27" s="19" t="s">
        <v>469</v>
      </c>
      <c r="D27" s="18">
        <f>22.5*6</f>
        <v>135</v>
      </c>
      <c r="E27" s="18" t="s">
        <v>292</v>
      </c>
      <c r="F27" s="245"/>
      <c r="G27" s="18">
        <f t="shared" si="2"/>
        <v>0</v>
      </c>
      <c r="I27" s="201" t="str">
        <f>'1. Etapa D.1.4.b-Zdravotechnika'!I27</f>
        <v>N</v>
      </c>
      <c r="J27" s="200" t="str">
        <f t="shared" si="0"/>
        <v xml:space="preserve"> </v>
      </c>
      <c r="K27" s="200">
        <f t="shared" si="1"/>
        <v>0</v>
      </c>
    </row>
    <row r="28" spans="1:11" ht="52.8">
      <c r="A28" s="15" t="s">
        <v>470</v>
      </c>
      <c r="B28" s="16" t="s">
        <v>471</v>
      </c>
      <c r="C28" s="19" t="s">
        <v>472</v>
      </c>
      <c r="D28" s="18">
        <v>100</v>
      </c>
      <c r="E28" s="18" t="s">
        <v>292</v>
      </c>
      <c r="F28" s="244"/>
      <c r="G28" s="18">
        <f t="shared" si="2"/>
        <v>0</v>
      </c>
      <c r="I28" s="201" t="str">
        <f>'1. Etapa D.1.4.b-Zdravotechnika'!I28</f>
        <v>N</v>
      </c>
      <c r="J28" s="200" t="str">
        <f t="shared" si="0"/>
        <v xml:space="preserve"> </v>
      </c>
      <c r="K28" s="200">
        <f t="shared" si="1"/>
        <v>0</v>
      </c>
    </row>
    <row r="29" spans="1:11" ht="52.8">
      <c r="A29" s="15" t="s">
        <v>473</v>
      </c>
      <c r="B29" s="16" t="s">
        <v>474</v>
      </c>
      <c r="C29" s="19" t="s">
        <v>472</v>
      </c>
      <c r="D29" s="18">
        <v>670</v>
      </c>
      <c r="E29" s="18" t="s">
        <v>292</v>
      </c>
      <c r="F29" s="244"/>
      <c r="G29" s="18">
        <f t="shared" si="2"/>
        <v>0</v>
      </c>
      <c r="I29" s="201" t="str">
        <f>'1. Etapa D.1.4.b-Zdravotechnika'!I29</f>
        <v>N</v>
      </c>
      <c r="J29" s="200" t="str">
        <f t="shared" si="0"/>
        <v xml:space="preserve"> </v>
      </c>
      <c r="K29" s="200">
        <f t="shared" si="1"/>
        <v>0</v>
      </c>
    </row>
    <row r="30" spans="1:11" ht="52.8">
      <c r="A30" s="15" t="s">
        <v>475</v>
      </c>
      <c r="B30" s="16" t="s">
        <v>476</v>
      </c>
      <c r="C30" s="19" t="s">
        <v>477</v>
      </c>
      <c r="D30" s="18">
        <v>100</v>
      </c>
      <c r="E30" s="18" t="s">
        <v>292</v>
      </c>
      <c r="F30" s="244"/>
      <c r="G30" s="18">
        <f t="shared" si="2"/>
        <v>0</v>
      </c>
      <c r="I30" s="201" t="str">
        <f>'1. Etapa D.1.4.b-Zdravotechnika'!I30</f>
        <v>N</v>
      </c>
      <c r="J30" s="200" t="str">
        <f t="shared" si="0"/>
        <v xml:space="preserve"> </v>
      </c>
      <c r="K30" s="200">
        <f t="shared" si="1"/>
        <v>0</v>
      </c>
    </row>
    <row r="31" spans="1:11" ht="52.8">
      <c r="A31" s="15" t="s">
        <v>478</v>
      </c>
      <c r="B31" s="16" t="s">
        <v>479</v>
      </c>
      <c r="C31" s="19" t="s">
        <v>477</v>
      </c>
      <c r="D31" s="18">
        <v>530</v>
      </c>
      <c r="E31" s="18" t="s">
        <v>292</v>
      </c>
      <c r="F31" s="244"/>
      <c r="G31" s="18">
        <f t="shared" si="2"/>
        <v>0</v>
      </c>
      <c r="I31" s="201" t="str">
        <f>'1. Etapa D.1.4.b-Zdravotechnika'!I31</f>
        <v>N</v>
      </c>
      <c r="J31" s="200" t="str">
        <f t="shared" si="0"/>
        <v xml:space="preserve"> </v>
      </c>
      <c r="K31" s="200">
        <f t="shared" si="1"/>
        <v>0</v>
      </c>
    </row>
    <row r="32" spans="1:11" ht="52.8">
      <c r="A32" s="15" t="s">
        <v>480</v>
      </c>
      <c r="B32" s="16" t="s">
        <v>481</v>
      </c>
      <c r="C32" s="19" t="s">
        <v>459</v>
      </c>
      <c r="D32" s="18">
        <f aca="true" t="shared" si="3" ref="D32:D40">D23</f>
        <v>40</v>
      </c>
      <c r="E32" s="18" t="s">
        <v>292</v>
      </c>
      <c r="F32" s="244"/>
      <c r="G32" s="18">
        <f t="shared" si="2"/>
        <v>0</v>
      </c>
      <c r="I32" s="201" t="str">
        <f>'1. Etapa D.1.4.b-Zdravotechnika'!I32</f>
        <v>N</v>
      </c>
      <c r="J32" s="200" t="str">
        <f t="shared" si="0"/>
        <v xml:space="preserve"> </v>
      </c>
      <c r="K32" s="200">
        <f t="shared" si="1"/>
        <v>0</v>
      </c>
    </row>
    <row r="33" spans="1:11" ht="52.8">
      <c r="A33" s="15" t="s">
        <v>482</v>
      </c>
      <c r="B33" s="16" t="s">
        <v>483</v>
      </c>
      <c r="C33" s="19" t="s">
        <v>484</v>
      </c>
      <c r="D33" s="18">
        <f t="shared" si="3"/>
        <v>95</v>
      </c>
      <c r="E33" s="18" t="s">
        <v>292</v>
      </c>
      <c r="F33" s="244"/>
      <c r="G33" s="18">
        <f t="shared" si="2"/>
        <v>0</v>
      </c>
      <c r="I33" s="201" t="str">
        <f>'1. Etapa D.1.4.b-Zdravotechnika'!I33</f>
        <v>N</v>
      </c>
      <c r="J33" s="200" t="str">
        <f t="shared" si="0"/>
        <v xml:space="preserve"> </v>
      </c>
      <c r="K33" s="200">
        <f t="shared" si="1"/>
        <v>0</v>
      </c>
    </row>
    <row r="34" spans="1:11" ht="52.8">
      <c r="A34" s="15" t="s">
        <v>485</v>
      </c>
      <c r="B34" s="16" t="s">
        <v>486</v>
      </c>
      <c r="C34" s="19" t="s">
        <v>487</v>
      </c>
      <c r="D34" s="18">
        <f t="shared" si="3"/>
        <v>60</v>
      </c>
      <c r="E34" s="18" t="s">
        <v>292</v>
      </c>
      <c r="F34" s="244"/>
      <c r="G34" s="18">
        <f t="shared" si="2"/>
        <v>0</v>
      </c>
      <c r="I34" s="201" t="str">
        <f>'1. Etapa D.1.4.b-Zdravotechnika'!I34</f>
        <v>N</v>
      </c>
      <c r="J34" s="200" t="str">
        <f t="shared" si="0"/>
        <v xml:space="preserve"> </v>
      </c>
      <c r="K34" s="200">
        <f t="shared" si="1"/>
        <v>0</v>
      </c>
    </row>
    <row r="35" spans="1:11" ht="52.8">
      <c r="A35" s="15" t="s">
        <v>488</v>
      </c>
      <c r="B35" s="16" t="s">
        <v>489</v>
      </c>
      <c r="C35" s="19" t="s">
        <v>487</v>
      </c>
      <c r="D35" s="18">
        <f t="shared" si="3"/>
        <v>75</v>
      </c>
      <c r="E35" s="18" t="s">
        <v>292</v>
      </c>
      <c r="F35" s="244"/>
      <c r="G35" s="18">
        <f t="shared" si="2"/>
        <v>0</v>
      </c>
      <c r="I35" s="201" t="str">
        <f>'1. Etapa D.1.4.b-Zdravotechnika'!I35</f>
        <v>N</v>
      </c>
      <c r="J35" s="200" t="str">
        <f t="shared" si="0"/>
        <v xml:space="preserve"> </v>
      </c>
      <c r="K35" s="200">
        <f t="shared" si="1"/>
        <v>0</v>
      </c>
    </row>
    <row r="36" spans="1:11" ht="52.8">
      <c r="A36" s="15" t="s">
        <v>490</v>
      </c>
      <c r="B36" s="16" t="s">
        <v>491</v>
      </c>
      <c r="C36" s="19" t="s">
        <v>492</v>
      </c>
      <c r="D36" s="18">
        <f t="shared" si="3"/>
        <v>135</v>
      </c>
      <c r="E36" s="18" t="s">
        <v>292</v>
      </c>
      <c r="F36" s="244"/>
      <c r="G36" s="18">
        <f t="shared" si="2"/>
        <v>0</v>
      </c>
      <c r="I36" s="201" t="str">
        <f>'1. Etapa D.1.4.b-Zdravotechnika'!I36</f>
        <v>N</v>
      </c>
      <c r="J36" s="200" t="str">
        <f t="shared" si="0"/>
        <v xml:space="preserve"> </v>
      </c>
      <c r="K36" s="200">
        <f t="shared" si="1"/>
        <v>0</v>
      </c>
    </row>
    <row r="37" spans="1:11" ht="52.8">
      <c r="A37" s="15" t="s">
        <v>493</v>
      </c>
      <c r="B37" s="16" t="s">
        <v>494</v>
      </c>
      <c r="C37" s="19" t="s">
        <v>495</v>
      </c>
      <c r="D37" s="18">
        <f t="shared" si="3"/>
        <v>100</v>
      </c>
      <c r="E37" s="18" t="s">
        <v>292</v>
      </c>
      <c r="F37" s="244"/>
      <c r="G37" s="18">
        <f t="shared" si="2"/>
        <v>0</v>
      </c>
      <c r="I37" s="201" t="str">
        <f>'1. Etapa D.1.4.b-Zdravotechnika'!I37</f>
        <v>N</v>
      </c>
      <c r="J37" s="200" t="str">
        <f t="shared" si="0"/>
        <v xml:space="preserve"> </v>
      </c>
      <c r="K37" s="200">
        <f t="shared" si="1"/>
        <v>0</v>
      </c>
    </row>
    <row r="38" spans="1:11" ht="52.8">
      <c r="A38" s="15" t="s">
        <v>496</v>
      </c>
      <c r="B38" s="16" t="s">
        <v>497</v>
      </c>
      <c r="C38" s="19" t="s">
        <v>495</v>
      </c>
      <c r="D38" s="18">
        <f t="shared" si="3"/>
        <v>670</v>
      </c>
      <c r="E38" s="18" t="s">
        <v>292</v>
      </c>
      <c r="F38" s="244"/>
      <c r="G38" s="18">
        <f t="shared" si="2"/>
        <v>0</v>
      </c>
      <c r="I38" s="201" t="str">
        <f>'1. Etapa D.1.4.b-Zdravotechnika'!I38</f>
        <v>N</v>
      </c>
      <c r="J38" s="200" t="str">
        <f t="shared" si="0"/>
        <v xml:space="preserve"> </v>
      </c>
      <c r="K38" s="200">
        <f t="shared" si="1"/>
        <v>0</v>
      </c>
    </row>
    <row r="39" spans="1:11" ht="52.8">
      <c r="A39" s="15" t="s">
        <v>498</v>
      </c>
      <c r="B39" s="19" t="s">
        <v>499</v>
      </c>
      <c r="C39" s="19" t="s">
        <v>500</v>
      </c>
      <c r="D39" s="18">
        <f t="shared" si="3"/>
        <v>100</v>
      </c>
      <c r="E39" s="18" t="s">
        <v>292</v>
      </c>
      <c r="F39" s="244"/>
      <c r="G39" s="18">
        <f t="shared" si="2"/>
        <v>0</v>
      </c>
      <c r="I39" s="201" t="str">
        <f>'1. Etapa D.1.4.b-Zdravotechnika'!I39</f>
        <v>N</v>
      </c>
      <c r="J39" s="200" t="str">
        <f t="shared" si="0"/>
        <v xml:space="preserve"> </v>
      </c>
      <c r="K39" s="200">
        <f t="shared" si="1"/>
        <v>0</v>
      </c>
    </row>
    <row r="40" spans="1:11" ht="52.8">
      <c r="A40" s="15" t="s">
        <v>501</v>
      </c>
      <c r="B40" s="19" t="s">
        <v>502</v>
      </c>
      <c r="C40" s="19" t="s">
        <v>500</v>
      </c>
      <c r="D40" s="18">
        <f t="shared" si="3"/>
        <v>530</v>
      </c>
      <c r="E40" s="18" t="s">
        <v>292</v>
      </c>
      <c r="F40" s="244"/>
      <c r="G40" s="18">
        <f t="shared" si="2"/>
        <v>0</v>
      </c>
      <c r="I40" s="201" t="str">
        <f>'1. Etapa D.1.4.b-Zdravotechnika'!I40</f>
        <v>N</v>
      </c>
      <c r="J40" s="200" t="str">
        <f t="shared" si="0"/>
        <v xml:space="preserve"> </v>
      </c>
      <c r="K40" s="200">
        <f t="shared" si="1"/>
        <v>0</v>
      </c>
    </row>
    <row r="41" spans="1:11" ht="13.2">
      <c r="A41" s="9"/>
      <c r="B41" s="24" t="s">
        <v>503</v>
      </c>
      <c r="C41" s="11"/>
      <c r="D41" s="9"/>
      <c r="E41" s="9"/>
      <c r="F41" s="9"/>
      <c r="G41" s="9"/>
      <c r="I41" s="241"/>
      <c r="J41" s="200" t="str">
        <f t="shared" si="0"/>
        <v xml:space="preserve"> </v>
      </c>
      <c r="K41" s="200" t="str">
        <f t="shared" si="1"/>
        <v xml:space="preserve"> </v>
      </c>
    </row>
    <row r="42" spans="1:25" ht="13.2">
      <c r="A42" s="357" t="s">
        <v>504</v>
      </c>
      <c r="B42" s="16" t="s">
        <v>505</v>
      </c>
      <c r="C42" s="359" t="s">
        <v>506</v>
      </c>
      <c r="D42" s="355">
        <v>48</v>
      </c>
      <c r="E42" s="355" t="s">
        <v>389</v>
      </c>
      <c r="F42" s="361"/>
      <c r="G42" s="355">
        <f t="shared" si="2"/>
        <v>0</v>
      </c>
      <c r="I42" s="241"/>
      <c r="J42" s="200" t="str">
        <f t="shared" si="0"/>
        <v xml:space="preserve"> </v>
      </c>
      <c r="K42" s="200" t="str">
        <f t="shared" si="1"/>
        <v xml:space="preserve"> 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79.2">
      <c r="A43" s="358"/>
      <c r="B43" s="40" t="s">
        <v>507</v>
      </c>
      <c r="C43" s="360"/>
      <c r="D43" s="356"/>
      <c r="E43" s="356"/>
      <c r="F43" s="362"/>
      <c r="G43" s="356"/>
      <c r="I43" s="201" t="str">
        <f>'1. Etapa D.1.4.b-Zdravotechnika'!I43</f>
        <v>N</v>
      </c>
      <c r="J43" s="200" t="str">
        <f>IF(I43="I",G42," ")</f>
        <v xml:space="preserve"> </v>
      </c>
      <c r="K43" s="200">
        <f>IF(I43="N",G42," ")</f>
        <v>0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11" ht="52.8">
      <c r="A44" s="15" t="s">
        <v>508</v>
      </c>
      <c r="B44" s="25" t="s">
        <v>509</v>
      </c>
      <c r="C44" s="181" t="s">
        <v>510</v>
      </c>
      <c r="D44" s="179">
        <v>48</v>
      </c>
      <c r="E44" s="179" t="s">
        <v>389</v>
      </c>
      <c r="F44" s="246"/>
      <c r="G44" s="26">
        <f t="shared" si="2"/>
        <v>0</v>
      </c>
      <c r="I44" s="201" t="str">
        <f>'1. Etapa D.1.4.b-Zdravotechnika'!I44</f>
        <v>N</v>
      </c>
      <c r="J44" s="200" t="str">
        <f t="shared" si="0"/>
        <v xml:space="preserve"> </v>
      </c>
      <c r="K44" s="200">
        <f t="shared" si="1"/>
        <v>0</v>
      </c>
    </row>
    <row r="45" spans="1:11" ht="52.8">
      <c r="A45" s="15" t="s">
        <v>511</v>
      </c>
      <c r="B45" s="25" t="s">
        <v>512</v>
      </c>
      <c r="C45" s="181" t="s">
        <v>510</v>
      </c>
      <c r="D45" s="179">
        <v>48</v>
      </c>
      <c r="E45" s="179" t="s">
        <v>389</v>
      </c>
      <c r="F45" s="246"/>
      <c r="G45" s="26">
        <f t="shared" si="2"/>
        <v>0</v>
      </c>
      <c r="I45" s="201" t="str">
        <f>'1. Etapa D.1.4.b-Zdravotechnika'!I45</f>
        <v>I</v>
      </c>
      <c r="J45" s="200">
        <f t="shared" si="0"/>
        <v>0</v>
      </c>
      <c r="K45" s="200" t="str">
        <f t="shared" si="1"/>
        <v xml:space="preserve"> </v>
      </c>
    </row>
    <row r="46" spans="1:11" ht="13.2">
      <c r="A46" s="357" t="s">
        <v>513</v>
      </c>
      <c r="B46" s="25" t="s">
        <v>514</v>
      </c>
      <c r="C46" s="359" t="s">
        <v>515</v>
      </c>
      <c r="D46" s="355">
        <v>48</v>
      </c>
      <c r="E46" s="355" t="s">
        <v>389</v>
      </c>
      <c r="F46" s="361"/>
      <c r="G46" s="355">
        <f t="shared" si="2"/>
        <v>0</v>
      </c>
      <c r="I46" s="241"/>
      <c r="J46" s="200" t="str">
        <f t="shared" si="0"/>
        <v xml:space="preserve"> </v>
      </c>
      <c r="K46" s="200" t="str">
        <f t="shared" si="1"/>
        <v xml:space="preserve"> </v>
      </c>
    </row>
    <row r="47" spans="1:11" ht="79.2">
      <c r="A47" s="358"/>
      <c r="B47" s="41" t="s">
        <v>516</v>
      </c>
      <c r="C47" s="360"/>
      <c r="D47" s="356"/>
      <c r="E47" s="356"/>
      <c r="F47" s="362"/>
      <c r="G47" s="356"/>
      <c r="I47" s="201" t="str">
        <f>'1. Etapa D.1.4.b-Zdravotechnika'!I47</f>
        <v>N</v>
      </c>
      <c r="J47" s="200" t="str">
        <f>IF(I47="I",G46," ")</f>
        <v xml:space="preserve"> </v>
      </c>
      <c r="K47" s="200">
        <f>IF(I47="N",G46," ")</f>
        <v>0</v>
      </c>
    </row>
    <row r="48" spans="1:11" ht="13.2">
      <c r="A48" s="180"/>
      <c r="B48" s="16"/>
      <c r="C48" s="23"/>
      <c r="D48" s="27"/>
      <c r="E48" s="27"/>
      <c r="F48" s="27"/>
      <c r="G48" s="27"/>
      <c r="I48" s="241"/>
      <c r="J48" s="200" t="str">
        <f t="shared" si="0"/>
        <v xml:space="preserve"> </v>
      </c>
      <c r="K48" s="200" t="str">
        <f t="shared" si="1"/>
        <v xml:space="preserve"> </v>
      </c>
    </row>
    <row r="49" spans="1:11" ht="13.2">
      <c r="A49" s="28"/>
      <c r="B49" s="29" t="s">
        <v>517</v>
      </c>
      <c r="C49" s="30"/>
      <c r="D49" s="31"/>
      <c r="E49" s="31"/>
      <c r="F49" s="31"/>
      <c r="G49" s="31"/>
      <c r="I49" s="241"/>
      <c r="J49" s="200" t="str">
        <f t="shared" si="0"/>
        <v xml:space="preserve"> </v>
      </c>
      <c r="K49" s="200" t="str">
        <f t="shared" si="1"/>
        <v xml:space="preserve"> </v>
      </c>
    </row>
    <row r="50" spans="1:11" ht="13.8" thickBot="1">
      <c r="A50" s="32" t="s">
        <v>511</v>
      </c>
      <c r="B50" s="33" t="s">
        <v>361</v>
      </c>
      <c r="C50" s="34"/>
      <c r="D50" s="35">
        <v>1</v>
      </c>
      <c r="E50" s="35" t="s">
        <v>360</v>
      </c>
      <c r="F50" s="247"/>
      <c r="G50" s="35">
        <f>D50*F50</f>
        <v>0</v>
      </c>
      <c r="I50" s="201" t="str">
        <f>'1. Etapa D.1.4.b-Zdravotechnika'!I50</f>
        <v>I</v>
      </c>
      <c r="J50" s="200">
        <f t="shared" si="0"/>
        <v>0</v>
      </c>
      <c r="K50" s="200" t="str">
        <f t="shared" si="1"/>
        <v xml:space="preserve"> </v>
      </c>
    </row>
    <row r="51" spans="1:12" ht="13.2">
      <c r="A51" s="36" t="s">
        <v>518</v>
      </c>
      <c r="B51" s="37" t="s">
        <v>519</v>
      </c>
      <c r="C51" s="37" t="s">
        <v>86</v>
      </c>
      <c r="D51" s="36"/>
      <c r="E51" s="36" t="s">
        <v>406</v>
      </c>
      <c r="F51" s="38"/>
      <c r="G51" s="38">
        <f>SUM(G6:G50)</f>
        <v>0</v>
      </c>
      <c r="I51" s="241"/>
      <c r="J51" s="242">
        <f>SUM(J6:J50)</f>
        <v>0</v>
      </c>
      <c r="K51" s="242">
        <f>SUM(K6:K50)</f>
        <v>0</v>
      </c>
      <c r="L51" s="243">
        <f>SUM(G51-J51-K51)</f>
        <v>0</v>
      </c>
    </row>
  </sheetData>
  <sheetProtection algorithmName="SHA-512" hashValue="Km2E39PoaBVtzY7ADcMILqwZE0US9HExw6hbNlPnhcCVtin4Y5NVjJFetahgpYiJbTRvtFyNWJg+6THuKYw9bQ==" saltValue="Gzs4WSWhJXTae+53zJH2xg==" spinCount="100000" sheet="1" objects="1" scenarios="1"/>
  <mergeCells count="12">
    <mergeCell ref="G46:G47"/>
    <mergeCell ref="A42:A43"/>
    <mergeCell ref="C42:C43"/>
    <mergeCell ref="D42:D43"/>
    <mergeCell ref="E42:E43"/>
    <mergeCell ref="F42:F43"/>
    <mergeCell ref="G42:G43"/>
    <mergeCell ref="A46:A47"/>
    <mergeCell ref="C46:C47"/>
    <mergeCell ref="D46:D47"/>
    <mergeCell ref="E46:E47"/>
    <mergeCell ref="F46:F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S109"/>
  <sheetViews>
    <sheetView workbookViewId="0" topLeftCell="A1">
      <selection activeCell="D74" sqref="D74"/>
    </sheetView>
  </sheetViews>
  <sheetFormatPr defaultColWidth="10.33203125" defaultRowHeight="14.25" customHeight="1"/>
  <cols>
    <col min="1" max="1" width="3.66015625" style="248" customWidth="1"/>
    <col min="2" max="2" width="8.33203125" style="248" customWidth="1"/>
    <col min="3" max="3" width="9.83203125" style="248" customWidth="1"/>
    <col min="4" max="4" width="39.16015625" style="248" customWidth="1"/>
    <col min="5" max="5" width="37.16015625" style="248" customWidth="1"/>
    <col min="6" max="6" width="16.33203125" style="248" customWidth="1"/>
    <col min="7" max="7" width="12.33203125" style="248" customWidth="1"/>
    <col min="8" max="8" width="13.66015625" style="248" customWidth="1"/>
    <col min="9" max="9" width="16.16015625" style="248" customWidth="1"/>
    <col min="10" max="10" width="23.33203125" style="250" customWidth="1"/>
    <col min="11" max="11" width="29.66015625" style="43" hidden="1" customWidth="1"/>
    <col min="12" max="12" width="16.16015625" style="43" hidden="1" customWidth="1"/>
    <col min="13" max="13" width="12.16015625" style="43" hidden="1" customWidth="1"/>
    <col min="14" max="14" width="16.16015625" style="43" hidden="1" customWidth="1"/>
    <col min="15" max="15" width="12.16015625" style="43" hidden="1" customWidth="1"/>
    <col min="16" max="16" width="14.83203125" style="43" hidden="1" customWidth="1"/>
    <col min="17" max="17" width="10.83203125" style="43" hidden="1" customWidth="1"/>
    <col min="18" max="18" width="6.16015625" style="248" customWidth="1"/>
    <col min="19" max="19" width="10.33203125" style="248" hidden="1" customWidth="1"/>
    <col min="20" max="21" width="16.16015625" style="248" hidden="1" customWidth="1"/>
    <col min="22" max="33" width="10.33203125" style="43" hidden="1" customWidth="1"/>
    <col min="34" max="34" width="2.33203125" style="248" bestFit="1" customWidth="1"/>
    <col min="35" max="35" width="10.33203125" style="43" hidden="1" customWidth="1"/>
    <col min="36" max="36" width="2.66015625" style="248" bestFit="1" customWidth="1"/>
    <col min="37" max="37" width="3" style="248" bestFit="1" customWidth="1"/>
    <col min="38" max="40" width="10.33203125" style="43" hidden="1" customWidth="1"/>
    <col min="41" max="41" width="12.83203125" style="248" bestFit="1" customWidth="1"/>
    <col min="42" max="42" width="10.33203125" style="43" hidden="1" customWidth="1"/>
    <col min="43" max="45" width="10.33203125" style="248" customWidth="1"/>
    <col min="46" max="56" width="10.33203125" style="43" hidden="1" customWidth="1"/>
    <col min="57" max="253" width="10.33203125" style="248" customWidth="1"/>
    <col min="254" max="16384" width="10.33203125" style="254" customWidth="1"/>
  </cols>
  <sheetData>
    <row r="1" spans="2:11" ht="12.75" customHeight="1">
      <c r="B1" s="363" t="s">
        <v>520</v>
      </c>
      <c r="C1" s="363"/>
      <c r="D1" s="363"/>
      <c r="E1" s="363"/>
      <c r="F1" s="363"/>
      <c r="G1" s="363"/>
      <c r="H1" s="363"/>
      <c r="I1" s="363"/>
      <c r="J1" s="363"/>
      <c r="K1" s="44" t="s">
        <v>521</v>
      </c>
    </row>
    <row r="2" spans="2:11" ht="12.75" customHeight="1">
      <c r="B2" s="249"/>
      <c r="K2" s="44"/>
    </row>
    <row r="3" spans="3:10" ht="12.75" customHeight="1">
      <c r="C3" s="251" t="s">
        <v>16</v>
      </c>
      <c r="E3" s="252" t="str">
        <f>'Celková rekapitulace'!A1</f>
        <v>Oprava a rekonstrukce sociálek a kuchyní na kolejích Palachova v Hradci Králové</v>
      </c>
      <c r="F3" s="252"/>
      <c r="G3" s="252"/>
      <c r="H3" s="252"/>
      <c r="I3" s="252"/>
      <c r="J3" s="253"/>
    </row>
    <row r="4" spans="3:56" s="252" customFormat="1" ht="12.75" customHeight="1">
      <c r="C4" s="251"/>
      <c r="E4" s="251"/>
      <c r="J4" s="253"/>
      <c r="K4" s="44"/>
      <c r="L4" s="44"/>
      <c r="M4" s="44"/>
      <c r="N4" s="44"/>
      <c r="O4" s="44"/>
      <c r="P4" s="44"/>
      <c r="Q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I4" s="44"/>
      <c r="AL4" s="44"/>
      <c r="AM4" s="44"/>
      <c r="AN4" s="44"/>
      <c r="AP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</row>
    <row r="5" spans="3:56" s="252" customFormat="1" ht="12.75" customHeight="1">
      <c r="C5" s="251" t="s">
        <v>522</v>
      </c>
      <c r="E5" s="252" t="s">
        <v>523</v>
      </c>
      <c r="J5" s="253"/>
      <c r="K5" s="44"/>
      <c r="L5" s="44"/>
      <c r="M5" s="44"/>
      <c r="N5" s="44"/>
      <c r="O5" s="44"/>
      <c r="P5" s="44"/>
      <c r="Q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I5" s="44"/>
      <c r="AL5" s="44"/>
      <c r="AM5" s="44"/>
      <c r="AN5" s="44"/>
      <c r="AP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</row>
    <row r="6" spans="3:56" s="252" customFormat="1" ht="12.75" customHeight="1">
      <c r="C6" s="251" t="s">
        <v>17</v>
      </c>
      <c r="E6" s="252" t="s">
        <v>524</v>
      </c>
      <c r="J6" s="253"/>
      <c r="K6" s="44"/>
      <c r="L6" s="44"/>
      <c r="M6" s="44"/>
      <c r="N6" s="44"/>
      <c r="O6" s="44"/>
      <c r="P6" s="44"/>
      <c r="Q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I6" s="44"/>
      <c r="AL6" s="44"/>
      <c r="AM6" s="44"/>
      <c r="AN6" s="44"/>
      <c r="AP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</row>
    <row r="7" spans="3:56" s="252" customFormat="1" ht="12.75" customHeight="1">
      <c r="C7" s="251" t="s">
        <v>525</v>
      </c>
      <c r="E7" s="252" t="s">
        <v>526</v>
      </c>
      <c r="J7" s="253"/>
      <c r="K7" s="44"/>
      <c r="L7" s="44"/>
      <c r="M7" s="44"/>
      <c r="N7" s="44"/>
      <c r="O7" s="44"/>
      <c r="P7" s="44"/>
      <c r="Q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I7" s="44"/>
      <c r="AL7" s="44"/>
      <c r="AM7" s="44"/>
      <c r="AN7" s="44"/>
      <c r="AP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</row>
    <row r="8" spans="3:56" s="252" customFormat="1" ht="12.75" customHeight="1">
      <c r="C8" s="251" t="s">
        <v>527</v>
      </c>
      <c r="E8" s="252" t="s">
        <v>526</v>
      </c>
      <c r="J8" s="253"/>
      <c r="K8" s="44"/>
      <c r="L8" s="44"/>
      <c r="M8" s="44"/>
      <c r="N8" s="44"/>
      <c r="O8" s="44"/>
      <c r="P8" s="44"/>
      <c r="Q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I8" s="44"/>
      <c r="AL8" s="44"/>
      <c r="AM8" s="44"/>
      <c r="AN8" s="44"/>
      <c r="AP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</row>
    <row r="9" spans="3:56" s="252" customFormat="1" ht="12.75" customHeight="1">
      <c r="C9" s="251" t="s">
        <v>36</v>
      </c>
      <c r="E9" s="251"/>
      <c r="J9" s="253"/>
      <c r="K9" s="44"/>
      <c r="L9" s="44"/>
      <c r="M9" s="44"/>
      <c r="N9" s="44"/>
      <c r="O9" s="44"/>
      <c r="P9" s="44"/>
      <c r="Q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I9" s="44"/>
      <c r="AL9" s="44"/>
      <c r="AM9" s="44"/>
      <c r="AN9" s="44"/>
      <c r="AP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3:56" s="252" customFormat="1" ht="12.75" customHeight="1">
      <c r="C10" s="251"/>
      <c r="E10" s="251"/>
      <c r="J10" s="253"/>
      <c r="K10" s="44"/>
      <c r="L10" s="44"/>
      <c r="M10" s="44"/>
      <c r="N10" s="44"/>
      <c r="O10" s="44"/>
      <c r="P10" s="44"/>
      <c r="Q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I10" s="44"/>
      <c r="AL10" s="44"/>
      <c r="AM10" s="44"/>
      <c r="AN10" s="44"/>
      <c r="AP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3:56" s="252" customFormat="1" ht="12.75" customHeight="1">
      <c r="C11" s="251"/>
      <c r="E11" s="251"/>
      <c r="J11" s="253"/>
      <c r="K11" s="44"/>
      <c r="L11" s="44"/>
      <c r="M11" s="44"/>
      <c r="N11" s="44"/>
      <c r="O11" s="44"/>
      <c r="P11" s="44"/>
      <c r="Q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I11" s="44"/>
      <c r="AL11" s="44"/>
      <c r="AM11" s="44"/>
      <c r="AN11" s="44"/>
      <c r="AP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3:56" s="252" customFormat="1" ht="12.75" customHeight="1">
      <c r="C12" s="251" t="s">
        <v>67</v>
      </c>
      <c r="E12" s="254"/>
      <c r="J12" s="253"/>
      <c r="K12" s="44"/>
      <c r="L12" s="44"/>
      <c r="M12" s="44"/>
      <c r="N12" s="44"/>
      <c r="O12" s="44"/>
      <c r="P12" s="44"/>
      <c r="Q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I12" s="44"/>
      <c r="AL12" s="44"/>
      <c r="AM12" s="44"/>
      <c r="AN12" s="44"/>
      <c r="AP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3:56" s="252" customFormat="1" ht="12.75" customHeight="1">
      <c r="C13" s="251" t="s">
        <v>68</v>
      </c>
      <c r="E13" s="254"/>
      <c r="J13" s="253"/>
      <c r="K13" s="44"/>
      <c r="L13" s="44"/>
      <c r="M13" s="44"/>
      <c r="N13" s="44"/>
      <c r="O13" s="44"/>
      <c r="P13" s="44"/>
      <c r="Q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I13" s="44"/>
      <c r="AL13" s="44"/>
      <c r="AM13" s="44"/>
      <c r="AN13" s="44"/>
      <c r="AP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3:56" s="252" customFormat="1" ht="12.75" customHeight="1">
      <c r="C14" s="251" t="s">
        <v>69</v>
      </c>
      <c r="E14" s="254"/>
      <c r="J14" s="253"/>
      <c r="K14" s="44"/>
      <c r="L14" s="44"/>
      <c r="M14" s="44"/>
      <c r="N14" s="44"/>
      <c r="O14" s="44"/>
      <c r="P14" s="44"/>
      <c r="Q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I14" s="44"/>
      <c r="AL14" s="44"/>
      <c r="AM14" s="44"/>
      <c r="AN14" s="44"/>
      <c r="AP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3:56" s="252" customFormat="1" ht="12.75" customHeight="1">
      <c r="C15" s="251" t="s">
        <v>70</v>
      </c>
      <c r="E15" s="254"/>
      <c r="J15" s="253"/>
      <c r="K15" s="44"/>
      <c r="L15" s="44"/>
      <c r="M15" s="44"/>
      <c r="N15" s="44"/>
      <c r="O15" s="44"/>
      <c r="P15" s="44"/>
      <c r="Q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I15" s="44"/>
      <c r="AL15" s="44"/>
      <c r="AM15" s="44"/>
      <c r="AN15" s="44"/>
      <c r="AP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3:56" s="252" customFormat="1" ht="12.75" customHeight="1">
      <c r="C16" s="251" t="s">
        <v>71</v>
      </c>
      <c r="E16" s="254"/>
      <c r="J16" s="253"/>
      <c r="K16" s="44"/>
      <c r="L16" s="44"/>
      <c r="M16" s="44"/>
      <c r="N16" s="44"/>
      <c r="O16" s="44"/>
      <c r="P16" s="44"/>
      <c r="Q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I16" s="44"/>
      <c r="AL16" s="44"/>
      <c r="AM16" s="44"/>
      <c r="AN16" s="44"/>
      <c r="AP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4:56" s="255" customFormat="1" ht="12.75" customHeight="1">
      <c r="D17" s="364"/>
      <c r="E17" s="364"/>
      <c r="F17" s="364"/>
      <c r="G17" s="364"/>
      <c r="H17" s="364"/>
      <c r="I17" s="364"/>
      <c r="J17" s="364"/>
      <c r="K17" s="47"/>
      <c r="L17" s="47"/>
      <c r="M17" s="47"/>
      <c r="N17" s="47"/>
      <c r="O17" s="47"/>
      <c r="P17" s="47"/>
      <c r="Q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I17" s="47"/>
      <c r="AL17" s="47"/>
      <c r="AM17" s="47"/>
      <c r="AN17" s="47"/>
      <c r="AP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</row>
    <row r="18" spans="10:56" s="252" customFormat="1" ht="12.75" customHeight="1">
      <c r="J18" s="253"/>
      <c r="K18" s="44"/>
      <c r="L18" s="44"/>
      <c r="M18" s="44"/>
      <c r="N18" s="44"/>
      <c r="O18" s="44"/>
      <c r="P18" s="44"/>
      <c r="Q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I18" s="44"/>
      <c r="AL18" s="44"/>
      <c r="AM18" s="44"/>
      <c r="AN18" s="44"/>
      <c r="AP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</row>
    <row r="19" spans="3:56" s="251" customFormat="1" ht="12.75" customHeight="1">
      <c r="C19" s="256" t="s">
        <v>6</v>
      </c>
      <c r="E19" s="257">
        <f>J36</f>
        <v>0</v>
      </c>
      <c r="I19" s="258"/>
      <c r="J19" s="258"/>
      <c r="K19" s="46"/>
      <c r="L19" s="46"/>
      <c r="M19" s="46"/>
      <c r="N19" s="46"/>
      <c r="O19" s="46"/>
      <c r="P19" s="46"/>
      <c r="Q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I19" s="46"/>
      <c r="AL19" s="46"/>
      <c r="AM19" s="46"/>
      <c r="AN19" s="46"/>
      <c r="AP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</row>
    <row r="20" spans="10:56" s="252" customFormat="1" ht="12.75" customHeight="1">
      <c r="J20" s="253"/>
      <c r="K20" s="44"/>
      <c r="L20" s="44"/>
      <c r="M20" s="44"/>
      <c r="N20" s="44"/>
      <c r="O20" s="44"/>
      <c r="P20" s="44"/>
      <c r="Q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I20" s="44"/>
      <c r="AL20" s="44"/>
      <c r="AM20" s="44"/>
      <c r="AN20" s="44"/>
      <c r="AP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</row>
    <row r="21" ht="12.75" customHeight="1"/>
    <row r="22" ht="12.75" customHeight="1"/>
    <row r="23" ht="12.75" customHeight="1"/>
    <row r="24" spans="10:56" s="252" customFormat="1" ht="12.75" customHeight="1">
      <c r="J24" s="253"/>
      <c r="K24" s="44"/>
      <c r="L24" s="44"/>
      <c r="M24" s="44"/>
      <c r="N24" s="44"/>
      <c r="O24" s="44"/>
      <c r="P24" s="44"/>
      <c r="Q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I24" s="44"/>
      <c r="AL24" s="44"/>
      <c r="AM24" s="44"/>
      <c r="AN24" s="44"/>
      <c r="AP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</row>
    <row r="25" spans="2:56" s="252" customFormat="1" ht="12.75" customHeight="1">
      <c r="B25" s="363" t="s">
        <v>528</v>
      </c>
      <c r="C25" s="363"/>
      <c r="D25" s="363"/>
      <c r="E25" s="363"/>
      <c r="F25" s="363"/>
      <c r="G25" s="363"/>
      <c r="H25" s="363"/>
      <c r="I25" s="363"/>
      <c r="J25" s="363"/>
      <c r="K25" s="44"/>
      <c r="L25" s="44"/>
      <c r="M25" s="44"/>
      <c r="N25" s="44"/>
      <c r="O25" s="44"/>
      <c r="P25" s="44"/>
      <c r="Q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I25" s="44"/>
      <c r="AL25" s="44"/>
      <c r="AM25" s="44"/>
      <c r="AN25" s="44"/>
      <c r="AP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</row>
    <row r="26" spans="2:56" s="252" customFormat="1" ht="12.75" customHeight="1">
      <c r="B26" s="249"/>
      <c r="J26" s="253"/>
      <c r="K26" s="44"/>
      <c r="L26" s="44"/>
      <c r="M26" s="44"/>
      <c r="N26" s="44"/>
      <c r="O26" s="44"/>
      <c r="P26" s="44"/>
      <c r="Q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I26" s="44"/>
      <c r="AL26" s="44"/>
      <c r="AM26" s="44"/>
      <c r="AN26" s="44"/>
      <c r="AP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</row>
    <row r="27" spans="2:56" s="252" customFormat="1" ht="12.75" customHeight="1">
      <c r="B27" s="251"/>
      <c r="C27" s="251" t="s">
        <v>16</v>
      </c>
      <c r="E27" s="252" t="str">
        <f>E3</f>
        <v>Oprava a rekonstrukce sociálek a kuchyní na kolejích Palachova v Hradci Králové</v>
      </c>
      <c r="J27" s="253"/>
      <c r="K27" s="44"/>
      <c r="L27" s="44"/>
      <c r="M27" s="44"/>
      <c r="N27" s="44"/>
      <c r="O27" s="44"/>
      <c r="P27" s="44"/>
      <c r="Q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I27" s="44"/>
      <c r="AL27" s="44"/>
      <c r="AM27" s="44"/>
      <c r="AN27" s="44"/>
      <c r="AP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</row>
    <row r="28" spans="2:56" s="252" customFormat="1" ht="12.75" customHeight="1">
      <c r="B28" s="251"/>
      <c r="C28" s="251"/>
      <c r="E28" s="251"/>
      <c r="J28" s="253"/>
      <c r="K28" s="44"/>
      <c r="L28" s="44"/>
      <c r="M28" s="44"/>
      <c r="N28" s="44"/>
      <c r="O28" s="44"/>
      <c r="P28" s="44"/>
      <c r="Q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I28" s="44"/>
      <c r="AL28" s="44"/>
      <c r="AM28" s="44"/>
      <c r="AN28" s="44"/>
      <c r="AP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</row>
    <row r="29" spans="2:56" s="252" customFormat="1" ht="12.75" customHeight="1">
      <c r="B29" s="251"/>
      <c r="C29" s="251" t="s">
        <v>522</v>
      </c>
      <c r="E29" s="252" t="str">
        <f>E5</f>
        <v>Elektroinstalace – silnoproud</v>
      </c>
      <c r="J29" s="253"/>
      <c r="K29" s="44"/>
      <c r="L29" s="44"/>
      <c r="M29" s="44"/>
      <c r="N29" s="44"/>
      <c r="O29" s="44"/>
      <c r="P29" s="44"/>
      <c r="Q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I29" s="44"/>
      <c r="AL29" s="44"/>
      <c r="AM29" s="44"/>
      <c r="AN29" s="44"/>
      <c r="AP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</row>
    <row r="30" spans="2:56" s="252" customFormat="1" ht="12.75" customHeight="1">
      <c r="B30" s="251"/>
      <c r="C30" s="251" t="s">
        <v>17</v>
      </c>
      <c r="E30" s="252" t="str">
        <f>E6</f>
        <v>Koleje Jana Palacha, Hradec Králové</v>
      </c>
      <c r="J30" s="253"/>
      <c r="K30" s="44"/>
      <c r="L30" s="44"/>
      <c r="M30" s="44"/>
      <c r="N30" s="44"/>
      <c r="O30" s="44"/>
      <c r="P30" s="44"/>
      <c r="Q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I30" s="44"/>
      <c r="AL30" s="44"/>
      <c r="AM30" s="44"/>
      <c r="AN30" s="44"/>
      <c r="AP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</row>
    <row r="31" spans="2:56" s="252" customFormat="1" ht="12.75" customHeight="1">
      <c r="B31" s="251"/>
      <c r="C31" s="251" t="s">
        <v>525</v>
      </c>
      <c r="E31" s="252" t="str">
        <f>E7</f>
        <v>Jiří Flosman</v>
      </c>
      <c r="J31" s="253"/>
      <c r="K31" s="44"/>
      <c r="L31" s="44"/>
      <c r="M31" s="44"/>
      <c r="N31" s="44"/>
      <c r="O31" s="44"/>
      <c r="P31" s="44"/>
      <c r="Q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I31" s="44"/>
      <c r="AL31" s="44"/>
      <c r="AM31" s="44"/>
      <c r="AN31" s="44"/>
      <c r="AP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</row>
    <row r="32" spans="2:56" s="252" customFormat="1" ht="12.75" customHeight="1">
      <c r="B32" s="251"/>
      <c r="C32" s="251" t="s">
        <v>527</v>
      </c>
      <c r="E32" s="252" t="str">
        <f>E8</f>
        <v>Jiří Flosman</v>
      </c>
      <c r="J32" s="253"/>
      <c r="K32" s="44"/>
      <c r="L32" s="44"/>
      <c r="M32" s="44"/>
      <c r="N32" s="44"/>
      <c r="O32" s="44"/>
      <c r="P32" s="44"/>
      <c r="Q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I32" s="44"/>
      <c r="AL32" s="44"/>
      <c r="AM32" s="44"/>
      <c r="AN32" s="44"/>
      <c r="AP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</row>
    <row r="33" spans="5:56" s="252" customFormat="1" ht="12.75" customHeight="1">
      <c r="E33" s="251"/>
      <c r="J33" s="259"/>
      <c r="K33" s="44"/>
      <c r="L33" s="44"/>
      <c r="M33" s="44"/>
      <c r="N33" s="44"/>
      <c r="O33" s="44"/>
      <c r="P33" s="44"/>
      <c r="Q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I33" s="44"/>
      <c r="AL33" s="44"/>
      <c r="AM33" s="44"/>
      <c r="AN33" s="44"/>
      <c r="AP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</row>
    <row r="34" spans="5:56" s="252" customFormat="1" ht="12.75" customHeight="1">
      <c r="E34" s="251"/>
      <c r="J34" s="259"/>
      <c r="K34" s="44"/>
      <c r="L34" s="44"/>
      <c r="M34" s="44"/>
      <c r="N34" s="44"/>
      <c r="O34" s="44"/>
      <c r="P34" s="44"/>
      <c r="Q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I34" s="44"/>
      <c r="AL34" s="44"/>
      <c r="AM34" s="44"/>
      <c r="AN34" s="44"/>
      <c r="AP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</row>
    <row r="35" spans="5:56" s="252" customFormat="1" ht="12.75" customHeight="1">
      <c r="E35" s="251"/>
      <c r="J35" s="259"/>
      <c r="K35" s="44"/>
      <c r="L35" s="44"/>
      <c r="M35" s="44"/>
      <c r="N35" s="44"/>
      <c r="O35" s="44"/>
      <c r="P35" s="44"/>
      <c r="Q35" s="44"/>
      <c r="T35" s="2" t="s">
        <v>2</v>
      </c>
      <c r="U35" s="2" t="s">
        <v>3</v>
      </c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I35" s="44"/>
      <c r="AL35" s="44"/>
      <c r="AM35" s="44"/>
      <c r="AN35" s="44"/>
      <c r="AP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</row>
    <row r="36" spans="2:56" s="252" customFormat="1" ht="12.75" customHeight="1">
      <c r="B36" s="251"/>
      <c r="C36" s="256" t="s">
        <v>529</v>
      </c>
      <c r="J36" s="260">
        <f>SUM(J37:J41)</f>
        <v>0</v>
      </c>
      <c r="K36" s="44"/>
      <c r="L36" s="44"/>
      <c r="M36" s="44"/>
      <c r="N36" s="44"/>
      <c r="O36" s="44"/>
      <c r="P36" s="44"/>
      <c r="Q36" s="44"/>
      <c r="T36" s="260">
        <f aca="true" t="shared" si="0" ref="T36:U36">SUM(T37:T41)</f>
        <v>0</v>
      </c>
      <c r="U36" s="260">
        <f t="shared" si="0"/>
        <v>0</v>
      </c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I36" s="44"/>
      <c r="AK36" s="252" t="s">
        <v>530</v>
      </c>
      <c r="AL36" s="44"/>
      <c r="AM36" s="44"/>
      <c r="AN36" s="44"/>
      <c r="AP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</row>
    <row r="37" spans="2:56" s="252" customFormat="1" ht="21.15" customHeight="1">
      <c r="B37" s="251"/>
      <c r="C37" s="251" t="str">
        <f>B72</f>
        <v xml:space="preserve">Kabely silnoproud </v>
      </c>
      <c r="J37" s="258">
        <f>J72</f>
        <v>0</v>
      </c>
      <c r="K37" s="44"/>
      <c r="L37" s="44"/>
      <c r="M37" s="44"/>
      <c r="N37" s="44"/>
      <c r="O37" s="44"/>
      <c r="P37" s="44"/>
      <c r="Q37" s="44"/>
      <c r="T37" s="258">
        <f aca="true" t="shared" si="1" ref="T37:U37">T72</f>
        <v>0</v>
      </c>
      <c r="U37" s="258">
        <f t="shared" si="1"/>
        <v>0</v>
      </c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I37" s="44"/>
      <c r="AL37" s="44"/>
      <c r="AM37" s="44"/>
      <c r="AN37" s="44"/>
      <c r="AP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</row>
    <row r="38" spans="2:56" s="252" customFormat="1" ht="21.15" customHeight="1">
      <c r="B38" s="251"/>
      <c r="C38" s="251" t="str">
        <f>B77</f>
        <v>Rozvaděčová technika</v>
      </c>
      <c r="J38" s="258">
        <f>J77</f>
        <v>0</v>
      </c>
      <c r="K38" s="44"/>
      <c r="L38" s="44"/>
      <c r="M38" s="44"/>
      <c r="N38" s="44"/>
      <c r="O38" s="44"/>
      <c r="P38" s="44"/>
      <c r="Q38" s="44"/>
      <c r="T38" s="258">
        <f aca="true" t="shared" si="2" ref="T38:U38">T77</f>
        <v>0</v>
      </c>
      <c r="U38" s="258">
        <f t="shared" si="2"/>
        <v>0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I38" s="44"/>
      <c r="AL38" s="44"/>
      <c r="AM38" s="44"/>
      <c r="AN38" s="44"/>
      <c r="AP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</row>
    <row r="39" spans="3:56" s="252" customFormat="1" ht="21" customHeight="1">
      <c r="C39" s="251" t="str">
        <f>B88</f>
        <v>Elektrické přístroje silnoproud</v>
      </c>
      <c r="D39" s="251"/>
      <c r="J39" s="258">
        <f>J88</f>
        <v>0</v>
      </c>
      <c r="K39" s="44"/>
      <c r="L39" s="44"/>
      <c r="M39" s="44"/>
      <c r="N39" s="44"/>
      <c r="O39" s="44"/>
      <c r="P39" s="44"/>
      <c r="Q39" s="44"/>
      <c r="T39" s="258">
        <f aca="true" t="shared" si="3" ref="T39:U39">T88</f>
        <v>0</v>
      </c>
      <c r="U39" s="258">
        <f t="shared" si="3"/>
        <v>0</v>
      </c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I39" s="44"/>
      <c r="AL39" s="44"/>
      <c r="AM39" s="44"/>
      <c r="AN39" s="44"/>
      <c r="AP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</row>
    <row r="40" spans="3:56" s="252" customFormat="1" ht="21" customHeight="1">
      <c r="C40" s="251" t="str">
        <f>B100</f>
        <v>Osvětlení v bytech</v>
      </c>
      <c r="D40" s="251"/>
      <c r="J40" s="258">
        <f>J100</f>
        <v>0</v>
      </c>
      <c r="K40" s="44"/>
      <c r="L40" s="44"/>
      <c r="M40" s="44"/>
      <c r="N40" s="44"/>
      <c r="O40" s="44"/>
      <c r="P40" s="44"/>
      <c r="Q40" s="44"/>
      <c r="T40" s="258">
        <f aca="true" t="shared" si="4" ref="T40:U40">T100</f>
        <v>0</v>
      </c>
      <c r="U40" s="258">
        <f t="shared" si="4"/>
        <v>0</v>
      </c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I40" s="44"/>
      <c r="AL40" s="44"/>
      <c r="AM40" s="44"/>
      <c r="AN40" s="44"/>
      <c r="AP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</row>
    <row r="41" spans="3:56" s="252" customFormat="1" ht="21" customHeight="1">
      <c r="C41" s="251" t="str">
        <f>B105</f>
        <v>Montážní a inženýrská činnost</v>
      </c>
      <c r="D41" s="251"/>
      <c r="J41" s="258">
        <f>J105</f>
        <v>0</v>
      </c>
      <c r="K41" s="44"/>
      <c r="L41" s="44"/>
      <c r="M41" s="44"/>
      <c r="N41" s="44"/>
      <c r="O41" s="44"/>
      <c r="P41" s="44"/>
      <c r="Q41" s="44"/>
      <c r="T41" s="258">
        <f aca="true" t="shared" si="5" ref="T41:U41">T105</f>
        <v>0</v>
      </c>
      <c r="U41" s="258">
        <f t="shared" si="5"/>
        <v>0</v>
      </c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I41" s="44"/>
      <c r="AL41" s="44"/>
      <c r="AM41" s="44"/>
      <c r="AN41" s="44"/>
      <c r="AP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</row>
    <row r="42" spans="3:56" s="252" customFormat="1" ht="21" customHeight="1">
      <c r="C42" s="251"/>
      <c r="D42" s="251"/>
      <c r="J42" s="258"/>
      <c r="K42" s="44"/>
      <c r="L42" s="44"/>
      <c r="M42" s="44"/>
      <c r="N42" s="44"/>
      <c r="O42" s="44"/>
      <c r="P42" s="44"/>
      <c r="Q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I42" s="44"/>
      <c r="AL42" s="44"/>
      <c r="AM42" s="44"/>
      <c r="AN42" s="44"/>
      <c r="AP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</row>
    <row r="43" spans="3:56" s="252" customFormat="1" ht="21" customHeight="1">
      <c r="C43" s="251"/>
      <c r="D43" s="251"/>
      <c r="J43" s="258"/>
      <c r="K43" s="44"/>
      <c r="L43" s="44"/>
      <c r="M43" s="44"/>
      <c r="N43" s="44"/>
      <c r="O43" s="44"/>
      <c r="P43" s="44"/>
      <c r="Q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I43" s="44"/>
      <c r="AL43" s="44"/>
      <c r="AM43" s="44"/>
      <c r="AN43" s="44"/>
      <c r="AP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</row>
    <row r="44" spans="3:56" s="252" customFormat="1" ht="21" customHeight="1">
      <c r="C44" s="251"/>
      <c r="D44" s="251"/>
      <c r="J44" s="258"/>
      <c r="K44" s="44"/>
      <c r="L44" s="44"/>
      <c r="M44" s="44"/>
      <c r="N44" s="44"/>
      <c r="O44" s="44"/>
      <c r="P44" s="44"/>
      <c r="Q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I44" s="44"/>
      <c r="AL44" s="44"/>
      <c r="AM44" s="44"/>
      <c r="AN44" s="44"/>
      <c r="AP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</row>
    <row r="45" spans="3:56" s="252" customFormat="1" ht="21" customHeight="1">
      <c r="C45" s="251"/>
      <c r="D45" s="251"/>
      <c r="J45" s="258"/>
      <c r="K45" s="44"/>
      <c r="L45" s="44"/>
      <c r="M45" s="44"/>
      <c r="N45" s="44"/>
      <c r="O45" s="44"/>
      <c r="P45" s="44"/>
      <c r="Q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I45" s="44"/>
      <c r="AL45" s="44"/>
      <c r="AM45" s="44"/>
      <c r="AN45" s="44"/>
      <c r="AP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</row>
    <row r="46" spans="3:56" s="252" customFormat="1" ht="21" customHeight="1">
      <c r="C46" s="251"/>
      <c r="D46" s="251"/>
      <c r="J46" s="258"/>
      <c r="K46" s="44"/>
      <c r="L46" s="44"/>
      <c r="M46" s="44"/>
      <c r="N46" s="44"/>
      <c r="O46" s="44"/>
      <c r="P46" s="44"/>
      <c r="Q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I46" s="44"/>
      <c r="AL46" s="44"/>
      <c r="AM46" s="44"/>
      <c r="AN46" s="44"/>
      <c r="AP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</row>
    <row r="47" spans="3:56" s="252" customFormat="1" ht="21" customHeight="1">
      <c r="C47" s="251"/>
      <c r="D47" s="251"/>
      <c r="J47" s="261"/>
      <c r="K47" s="44"/>
      <c r="L47" s="44"/>
      <c r="M47" s="44"/>
      <c r="N47" s="44"/>
      <c r="O47" s="44"/>
      <c r="P47" s="44"/>
      <c r="Q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I47" s="44"/>
      <c r="AL47" s="44"/>
      <c r="AM47" s="44"/>
      <c r="AN47" s="44"/>
      <c r="AP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</row>
    <row r="49" spans="10:56" s="252" customFormat="1" ht="7.5" customHeight="1">
      <c r="J49" s="253"/>
      <c r="K49" s="44"/>
      <c r="L49" s="44"/>
      <c r="M49" s="44"/>
      <c r="N49" s="44"/>
      <c r="O49" s="44"/>
      <c r="P49" s="44"/>
      <c r="Q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I49" s="44"/>
      <c r="AL49" s="44"/>
      <c r="AM49" s="44"/>
      <c r="AN49" s="44"/>
      <c r="AP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</row>
    <row r="50" spans="2:56" s="252" customFormat="1" ht="37.5" customHeight="1">
      <c r="B50" s="363" t="s">
        <v>531</v>
      </c>
      <c r="C50" s="363"/>
      <c r="D50" s="363"/>
      <c r="E50" s="363"/>
      <c r="F50" s="363"/>
      <c r="G50" s="363"/>
      <c r="H50" s="363"/>
      <c r="I50" s="363"/>
      <c r="J50" s="363"/>
      <c r="K50" s="44"/>
      <c r="L50" s="44"/>
      <c r="M50" s="44"/>
      <c r="N50" s="44"/>
      <c r="O50" s="44"/>
      <c r="P50" s="44"/>
      <c r="Q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I50" s="44"/>
      <c r="AL50" s="44"/>
      <c r="AM50" s="44"/>
      <c r="AN50" s="44"/>
      <c r="AP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</row>
    <row r="51" spans="10:56" s="252" customFormat="1" ht="7.5" customHeight="1">
      <c r="J51" s="253"/>
      <c r="K51" s="44"/>
      <c r="L51" s="44"/>
      <c r="M51" s="44"/>
      <c r="N51" s="44"/>
      <c r="O51" s="44"/>
      <c r="P51" s="44"/>
      <c r="Q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I51" s="44"/>
      <c r="AL51" s="44"/>
      <c r="AM51" s="44"/>
      <c r="AN51" s="44"/>
      <c r="AP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</row>
    <row r="52" spans="2:56" s="252" customFormat="1" ht="15" customHeight="1">
      <c r="B52" s="251"/>
      <c r="C52" s="251" t="s">
        <v>16</v>
      </c>
      <c r="E52" s="252" t="str">
        <f>E27</f>
        <v>Oprava a rekonstrukce sociálek a kuchyní na kolejích Palachova v Hradci Králové</v>
      </c>
      <c r="J52" s="253"/>
      <c r="K52" s="44"/>
      <c r="L52" s="44"/>
      <c r="M52" s="44"/>
      <c r="N52" s="44"/>
      <c r="O52" s="44"/>
      <c r="P52" s="44"/>
      <c r="Q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I52" s="44"/>
      <c r="AL52" s="44"/>
      <c r="AM52" s="44"/>
      <c r="AN52" s="44"/>
      <c r="AP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</row>
    <row r="53" spans="2:56" s="252" customFormat="1" ht="15" customHeight="1">
      <c r="B53" s="251"/>
      <c r="C53" s="251" t="s">
        <v>522</v>
      </c>
      <c r="E53" s="252" t="str">
        <f>E29</f>
        <v>Elektroinstalace – silnoproud</v>
      </c>
      <c r="J53" s="253"/>
      <c r="K53" s="44"/>
      <c r="L53" s="44"/>
      <c r="M53" s="44"/>
      <c r="N53" s="44"/>
      <c r="O53" s="44"/>
      <c r="P53" s="44"/>
      <c r="Q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I53" s="44"/>
      <c r="AL53" s="44"/>
      <c r="AM53" s="44"/>
      <c r="AN53" s="44"/>
      <c r="AP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</row>
    <row r="54" spans="2:56" s="252" customFormat="1" ht="15" customHeight="1">
      <c r="B54" s="251"/>
      <c r="C54" s="251" t="s">
        <v>17</v>
      </c>
      <c r="E54" s="252" t="str">
        <f>E30</f>
        <v>Koleje Jana Palacha, Hradec Králové</v>
      </c>
      <c r="J54" s="253"/>
      <c r="K54" s="44"/>
      <c r="L54" s="44"/>
      <c r="M54" s="44"/>
      <c r="N54" s="44"/>
      <c r="O54" s="44"/>
      <c r="P54" s="44"/>
      <c r="Q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I54" s="44"/>
      <c r="AL54" s="44"/>
      <c r="AM54" s="44"/>
      <c r="AN54" s="44"/>
      <c r="AP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</row>
    <row r="55" spans="2:56" s="252" customFormat="1" ht="18.75" customHeight="1">
      <c r="B55" s="251"/>
      <c r="C55" s="251" t="s">
        <v>525</v>
      </c>
      <c r="E55" s="252" t="str">
        <f>E31</f>
        <v>Jiří Flosman</v>
      </c>
      <c r="J55" s="253"/>
      <c r="K55" s="44"/>
      <c r="L55" s="44"/>
      <c r="M55" s="44"/>
      <c r="N55" s="44"/>
      <c r="O55" s="44"/>
      <c r="P55" s="44"/>
      <c r="Q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I55" s="44"/>
      <c r="AL55" s="44"/>
      <c r="AM55" s="44"/>
      <c r="AN55" s="44"/>
      <c r="AP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</row>
    <row r="56" spans="2:56" s="252" customFormat="1" ht="15.75" customHeight="1">
      <c r="B56" s="251"/>
      <c r="C56" s="251" t="s">
        <v>527</v>
      </c>
      <c r="E56" s="252" t="str">
        <f>E32</f>
        <v>Jiří Flosman</v>
      </c>
      <c r="J56" s="253"/>
      <c r="K56" s="44"/>
      <c r="L56" s="44"/>
      <c r="M56" s="44"/>
      <c r="N56" s="44"/>
      <c r="O56" s="44"/>
      <c r="P56" s="44"/>
      <c r="Q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I56" s="44"/>
      <c r="AL56" s="44"/>
      <c r="AM56" s="44"/>
      <c r="AN56" s="44"/>
      <c r="AP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</row>
    <row r="57" spans="2:56" s="252" customFormat="1" ht="13.95" customHeight="1">
      <c r="B57" s="251"/>
      <c r="C57" s="251" t="s">
        <v>532</v>
      </c>
      <c r="E57" s="256"/>
      <c r="I57" s="251"/>
      <c r="J57" s="251"/>
      <c r="K57" s="44"/>
      <c r="L57" s="44"/>
      <c r="M57" s="44"/>
      <c r="N57" s="44"/>
      <c r="O57" s="44"/>
      <c r="P57" s="44"/>
      <c r="Q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I57" s="44"/>
      <c r="AL57" s="44"/>
      <c r="AM57" s="44"/>
      <c r="AN57" s="44"/>
      <c r="AP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</row>
    <row r="58" spans="2:56" s="252" customFormat="1" ht="13.95" customHeight="1">
      <c r="B58" s="251"/>
      <c r="C58" s="251"/>
      <c r="E58" s="256"/>
      <c r="I58" s="251"/>
      <c r="J58" s="251"/>
      <c r="K58" s="44"/>
      <c r="L58" s="44"/>
      <c r="M58" s="44"/>
      <c r="N58" s="44"/>
      <c r="O58" s="44"/>
      <c r="P58" s="44"/>
      <c r="Q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I58" s="44"/>
      <c r="AL58" s="44"/>
      <c r="AM58" s="44"/>
      <c r="AN58" s="44"/>
      <c r="AP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</row>
    <row r="59" spans="2:56" s="252" customFormat="1" ht="13.95" customHeight="1">
      <c r="B59" s="251"/>
      <c r="C59" s="256" t="s">
        <v>533</v>
      </c>
      <c r="E59" s="251"/>
      <c r="J59" s="259"/>
      <c r="K59" s="44"/>
      <c r="L59" s="44"/>
      <c r="M59" s="44"/>
      <c r="N59" s="44"/>
      <c r="O59" s="44"/>
      <c r="P59" s="44"/>
      <c r="Q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I59" s="44"/>
      <c r="AL59" s="44"/>
      <c r="AM59" s="44"/>
      <c r="AN59" s="44"/>
      <c r="AP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</row>
    <row r="60" spans="2:56" s="262" customFormat="1" ht="13.95" customHeight="1">
      <c r="B60" s="263"/>
      <c r="C60" s="262" t="s">
        <v>534</v>
      </c>
      <c r="J60" s="264"/>
      <c r="K60" s="50"/>
      <c r="L60" s="50"/>
      <c r="M60" s="50"/>
      <c r="N60" s="50"/>
      <c r="O60" s="50"/>
      <c r="P60" s="50"/>
      <c r="Q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I60" s="50"/>
      <c r="AL60" s="50"/>
      <c r="AM60" s="50"/>
      <c r="AN60" s="50"/>
      <c r="AP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</row>
    <row r="61" spans="2:56" s="262" customFormat="1" ht="13.95" customHeight="1">
      <c r="B61" s="263"/>
      <c r="C61" s="262" t="s">
        <v>535</v>
      </c>
      <c r="J61" s="264"/>
      <c r="K61" s="50"/>
      <c r="L61" s="50"/>
      <c r="M61" s="50"/>
      <c r="N61" s="50"/>
      <c r="O61" s="50"/>
      <c r="P61" s="50"/>
      <c r="Q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I61" s="50"/>
      <c r="AL61" s="50"/>
      <c r="AM61" s="50"/>
      <c r="AN61" s="50"/>
      <c r="AP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</row>
    <row r="62" spans="2:56" s="262" customFormat="1" ht="13.95" customHeight="1">
      <c r="B62" s="263"/>
      <c r="C62" s="262" t="s">
        <v>536</v>
      </c>
      <c r="J62" s="264"/>
      <c r="K62" s="50"/>
      <c r="L62" s="50"/>
      <c r="M62" s="50"/>
      <c r="N62" s="50"/>
      <c r="O62" s="50"/>
      <c r="P62" s="50"/>
      <c r="Q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I62" s="50"/>
      <c r="AL62" s="50"/>
      <c r="AM62" s="50"/>
      <c r="AN62" s="50"/>
      <c r="AP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</row>
    <row r="63" spans="2:56" s="262" customFormat="1" ht="13.95" customHeight="1">
      <c r="B63" s="263"/>
      <c r="C63" s="262" t="s">
        <v>537</v>
      </c>
      <c r="J63" s="264"/>
      <c r="K63" s="50"/>
      <c r="L63" s="50"/>
      <c r="M63" s="50"/>
      <c r="N63" s="50"/>
      <c r="O63" s="50"/>
      <c r="P63" s="50"/>
      <c r="Q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I63" s="50"/>
      <c r="AL63" s="50"/>
      <c r="AM63" s="50"/>
      <c r="AN63" s="50"/>
      <c r="AP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</row>
    <row r="64" spans="2:56" s="262" customFormat="1" ht="13.95" customHeight="1">
      <c r="B64" s="263"/>
      <c r="C64" s="263"/>
      <c r="J64" s="264"/>
      <c r="K64" s="50"/>
      <c r="L64" s="50"/>
      <c r="M64" s="50"/>
      <c r="N64" s="50"/>
      <c r="O64" s="50"/>
      <c r="P64" s="50"/>
      <c r="Q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I64" s="50"/>
      <c r="AL64" s="50"/>
      <c r="AM64" s="50"/>
      <c r="AN64" s="50"/>
      <c r="AP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</row>
    <row r="65" spans="2:56" s="262" customFormat="1" ht="13.95" customHeight="1">
      <c r="B65" s="263"/>
      <c r="C65" s="263" t="s">
        <v>538</v>
      </c>
      <c r="J65" s="264"/>
      <c r="K65" s="50"/>
      <c r="L65" s="50"/>
      <c r="M65" s="50"/>
      <c r="N65" s="50"/>
      <c r="O65" s="50"/>
      <c r="P65" s="50"/>
      <c r="Q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I65" s="50"/>
      <c r="AL65" s="50"/>
      <c r="AM65" s="50"/>
      <c r="AN65" s="50"/>
      <c r="AP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</row>
    <row r="66" spans="2:56" s="262" customFormat="1" ht="13.95" customHeight="1">
      <c r="B66" s="263"/>
      <c r="C66" s="263"/>
      <c r="E66" s="251"/>
      <c r="J66" s="264"/>
      <c r="K66" s="50"/>
      <c r="L66" s="50"/>
      <c r="M66" s="50"/>
      <c r="N66" s="50"/>
      <c r="O66" s="50"/>
      <c r="P66" s="50"/>
      <c r="Q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I66" s="50"/>
      <c r="AL66" s="50"/>
      <c r="AM66" s="50"/>
      <c r="AN66" s="50"/>
      <c r="AP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</row>
    <row r="67" spans="2:56" s="262" customFormat="1" ht="13.95" customHeight="1">
      <c r="B67" s="263"/>
      <c r="C67" s="263"/>
      <c r="J67" s="264"/>
      <c r="K67" s="50"/>
      <c r="L67" s="50"/>
      <c r="M67" s="50"/>
      <c r="N67" s="50"/>
      <c r="O67" s="50"/>
      <c r="P67" s="50"/>
      <c r="Q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I67" s="50"/>
      <c r="AL67" s="50"/>
      <c r="AM67" s="50"/>
      <c r="AN67" s="50"/>
      <c r="AP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</row>
    <row r="68" spans="2:56" s="262" customFormat="1" ht="27" customHeight="1">
      <c r="B68" s="263"/>
      <c r="C68" s="263"/>
      <c r="E68" s="265"/>
      <c r="J68" s="264"/>
      <c r="K68" s="50"/>
      <c r="L68" s="50"/>
      <c r="M68" s="50"/>
      <c r="N68" s="50"/>
      <c r="O68" s="50"/>
      <c r="P68" s="50"/>
      <c r="Q68" s="50"/>
      <c r="S68" s="182" t="s">
        <v>87</v>
      </c>
      <c r="T68" s="2" t="s">
        <v>2</v>
      </c>
      <c r="U68" s="2" t="s">
        <v>3</v>
      </c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I68" s="50"/>
      <c r="AL68" s="50"/>
      <c r="AM68" s="50"/>
      <c r="AN68" s="50"/>
      <c r="AP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</row>
    <row r="69" spans="2:56" s="252" customFormat="1" ht="30" customHeight="1">
      <c r="B69" s="251"/>
      <c r="C69" s="251" t="s">
        <v>529</v>
      </c>
      <c r="J69" s="266">
        <f>J72+J77+J88+J100+J105</f>
        <v>0</v>
      </c>
      <c r="K69" s="44"/>
      <c r="L69" s="44"/>
      <c r="M69" s="44"/>
      <c r="N69" s="51">
        <f>$BT$68</f>
        <v>0</v>
      </c>
      <c r="O69" s="44"/>
      <c r="P69" s="51">
        <f>$BT$68</f>
        <v>0</v>
      </c>
      <c r="Q69" s="44"/>
      <c r="S69" s="270"/>
      <c r="T69" s="258">
        <f aca="true" t="shared" si="6" ref="T69:U69">T72+T77+T88+T100+T105</f>
        <v>0</v>
      </c>
      <c r="U69" s="258">
        <f t="shared" si="6"/>
        <v>0</v>
      </c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I69" s="44"/>
      <c r="AJ69" s="252" t="s">
        <v>539</v>
      </c>
      <c r="AK69" s="252" t="s">
        <v>530</v>
      </c>
      <c r="AL69" s="44"/>
      <c r="AM69" s="44"/>
      <c r="AN69" s="44"/>
      <c r="AP69" s="44"/>
      <c r="AT69" s="44"/>
      <c r="AU69" s="44"/>
      <c r="AV69" s="44"/>
      <c r="AW69" s="44"/>
      <c r="AX69" s="44"/>
      <c r="AY69" s="44"/>
      <c r="AZ69" s="44"/>
      <c r="BA69" s="48">
        <f>$BT$68</f>
        <v>0</v>
      </c>
      <c r="BB69" s="44"/>
      <c r="BC69" s="44"/>
      <c r="BD69" s="44"/>
    </row>
    <row r="70" spans="2:56" s="252" customFormat="1" ht="30" customHeight="1">
      <c r="B70" s="251"/>
      <c r="J70" s="266"/>
      <c r="K70" s="44"/>
      <c r="L70" s="44"/>
      <c r="M70" s="44"/>
      <c r="N70" s="51"/>
      <c r="O70" s="44"/>
      <c r="P70" s="51"/>
      <c r="Q70" s="44"/>
      <c r="S70" s="270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I70" s="44"/>
      <c r="AL70" s="44"/>
      <c r="AM70" s="44"/>
      <c r="AN70" s="44"/>
      <c r="AP70" s="44"/>
      <c r="AT70" s="44"/>
      <c r="AU70" s="44"/>
      <c r="AV70" s="44"/>
      <c r="AW70" s="44"/>
      <c r="AX70" s="44"/>
      <c r="AY70" s="44"/>
      <c r="AZ70" s="44"/>
      <c r="BA70" s="48"/>
      <c r="BB70" s="44"/>
      <c r="BC70" s="44"/>
      <c r="BD70" s="44"/>
    </row>
    <row r="71" spans="2:56" s="251" customFormat="1" ht="28.2" customHeight="1">
      <c r="B71" s="251" t="s">
        <v>540</v>
      </c>
      <c r="C71" s="251" t="s">
        <v>541</v>
      </c>
      <c r="D71" s="3" t="s">
        <v>542</v>
      </c>
      <c r="E71" s="267" t="s">
        <v>543</v>
      </c>
      <c r="F71" s="267" t="s">
        <v>544</v>
      </c>
      <c r="G71" s="268" t="s">
        <v>389</v>
      </c>
      <c r="H71" s="257" t="s">
        <v>545</v>
      </c>
      <c r="I71" s="251" t="s">
        <v>546</v>
      </c>
      <c r="J71" s="269" t="s">
        <v>547</v>
      </c>
      <c r="K71" s="52" t="s">
        <v>548</v>
      </c>
      <c r="L71" s="53" t="s">
        <v>7</v>
      </c>
      <c r="M71" s="46" t="s">
        <v>549</v>
      </c>
      <c r="N71" s="46" t="s">
        <v>550</v>
      </c>
      <c r="O71" s="54" t="s">
        <v>551</v>
      </c>
      <c r="P71" s="54" t="s">
        <v>552</v>
      </c>
      <c r="Q71" s="54" t="s">
        <v>553</v>
      </c>
      <c r="S71" s="249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267"/>
      <c r="AI71" s="46"/>
      <c r="AJ71" s="267"/>
      <c r="AK71" s="267"/>
      <c r="AL71" s="46"/>
      <c r="AM71" s="46"/>
      <c r="AN71" s="46"/>
      <c r="AP71" s="46"/>
      <c r="AT71" s="46"/>
      <c r="AU71" s="48"/>
      <c r="AV71" s="48"/>
      <c r="AW71" s="48"/>
      <c r="AX71" s="48"/>
      <c r="AY71" s="48"/>
      <c r="AZ71" s="52"/>
      <c r="BA71" s="48"/>
      <c r="BB71" s="52"/>
      <c r="BC71" s="52"/>
      <c r="BD71" s="46"/>
    </row>
    <row r="72" spans="2:53" s="55" customFormat="1" ht="28.2" customHeight="1">
      <c r="B72" s="56" t="s">
        <v>554</v>
      </c>
      <c r="C72" s="56"/>
      <c r="D72" s="57"/>
      <c r="E72" s="57"/>
      <c r="F72" s="57"/>
      <c r="G72" s="57"/>
      <c r="H72" s="57"/>
      <c r="I72" s="57"/>
      <c r="J72" s="58">
        <f>SUM(J73:J76)</f>
        <v>0</v>
      </c>
      <c r="N72" s="51" t="e">
        <f>SUM(#REF!)</f>
        <v>#REF!</v>
      </c>
      <c r="P72" s="51" t="e">
        <f>SUM(#REF!)</f>
        <v>#REF!</v>
      </c>
      <c r="S72" s="176"/>
      <c r="T72" s="58">
        <f aca="true" t="shared" si="7" ref="T72:U72">SUM(T73:T76)</f>
        <v>0</v>
      </c>
      <c r="U72" s="58">
        <f t="shared" si="7"/>
        <v>0</v>
      </c>
      <c r="AH72" s="55" t="s">
        <v>88</v>
      </c>
      <c r="AJ72" s="55" t="s">
        <v>539</v>
      </c>
      <c r="AK72" s="55" t="s">
        <v>88</v>
      </c>
      <c r="AO72" s="55" t="s">
        <v>555</v>
      </c>
      <c r="BA72" s="49" t="e">
        <f>SUM(#REF!)</f>
        <v>#REF!</v>
      </c>
    </row>
    <row r="73" spans="2:56" s="271" customFormat="1" ht="20.85" customHeight="1">
      <c r="B73" s="271">
        <v>1</v>
      </c>
      <c r="C73" s="271" t="s">
        <v>556</v>
      </c>
      <c r="D73" s="272" t="s">
        <v>557</v>
      </c>
      <c r="E73" s="273"/>
      <c r="F73" s="273" t="s">
        <v>292</v>
      </c>
      <c r="G73" s="274">
        <v>1000</v>
      </c>
      <c r="H73" s="281"/>
      <c r="I73" s="281"/>
      <c r="J73" s="275">
        <f>(G73*H73)+(G73*I73)</f>
        <v>0</v>
      </c>
      <c r="K73" s="61"/>
      <c r="L73" s="65"/>
      <c r="M73" s="59"/>
      <c r="N73" s="59"/>
      <c r="O73" s="66"/>
      <c r="P73" s="66"/>
      <c r="Q73" s="66"/>
      <c r="S73" s="283" t="str">
        <f>'1. Etapa D.1.4.c-elekroinstalac'!S73</f>
        <v>I</v>
      </c>
      <c r="T73" s="200">
        <f aca="true" t="shared" si="8" ref="T73:T106">IF(S73="I",J73," ")</f>
        <v>0</v>
      </c>
      <c r="U73" s="200" t="str">
        <f aca="true" t="shared" si="9" ref="U73:U106">IF(S73="N",J73," ")</f>
        <v xml:space="preserve"> </v>
      </c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273"/>
      <c r="AI73" s="59"/>
      <c r="AJ73" s="273"/>
      <c r="AK73" s="273"/>
      <c r="AL73" s="59"/>
      <c r="AM73" s="59"/>
      <c r="AN73" s="59"/>
      <c r="AP73" s="59"/>
      <c r="AT73" s="59"/>
      <c r="AU73" s="64"/>
      <c r="AV73" s="64"/>
      <c r="AW73" s="64"/>
      <c r="AX73" s="64"/>
      <c r="AY73" s="64"/>
      <c r="AZ73" s="61"/>
      <c r="BA73" s="64"/>
      <c r="BB73" s="61"/>
      <c r="BC73" s="61"/>
      <c r="BD73" s="59"/>
    </row>
    <row r="74" spans="2:56" s="271" customFormat="1" ht="20.85" customHeight="1">
      <c r="B74" s="271">
        <v>2</v>
      </c>
      <c r="C74" s="271" t="s">
        <v>556</v>
      </c>
      <c r="D74" s="272" t="s">
        <v>558</v>
      </c>
      <c r="E74" s="273" t="s">
        <v>559</v>
      </c>
      <c r="F74" s="273" t="s">
        <v>292</v>
      </c>
      <c r="G74" s="274">
        <v>1160</v>
      </c>
      <c r="H74" s="281"/>
      <c r="I74" s="281"/>
      <c r="J74" s="275">
        <f>(G74*H74)+(G74*I74)</f>
        <v>0</v>
      </c>
      <c r="K74" s="61"/>
      <c r="L74" s="65"/>
      <c r="M74" s="59"/>
      <c r="N74" s="59"/>
      <c r="O74" s="66"/>
      <c r="P74" s="66"/>
      <c r="Q74" s="66"/>
      <c r="S74" s="283" t="str">
        <f>'1. Etapa D.1.4.c-elekroinstalac'!S74</f>
        <v>I</v>
      </c>
      <c r="T74" s="200">
        <f t="shared" si="8"/>
        <v>0</v>
      </c>
      <c r="U74" s="200" t="str">
        <f t="shared" si="9"/>
        <v xml:space="preserve"> </v>
      </c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273"/>
      <c r="AI74" s="59"/>
      <c r="AJ74" s="273"/>
      <c r="AK74" s="273"/>
      <c r="AL74" s="59"/>
      <c r="AM74" s="59"/>
      <c r="AN74" s="59"/>
      <c r="AP74" s="59"/>
      <c r="AT74" s="59"/>
      <c r="AU74" s="64"/>
      <c r="AV74" s="64"/>
      <c r="AW74" s="64"/>
      <c r="AX74" s="64"/>
      <c r="AY74" s="64"/>
      <c r="AZ74" s="61"/>
      <c r="BA74" s="64"/>
      <c r="BB74" s="61"/>
      <c r="BC74" s="61"/>
      <c r="BD74" s="59"/>
    </row>
    <row r="75" spans="2:56" s="271" customFormat="1" ht="20.85" customHeight="1">
      <c r="B75" s="271">
        <v>3</v>
      </c>
      <c r="C75" s="271" t="s">
        <v>556</v>
      </c>
      <c r="D75" s="272" t="s">
        <v>560</v>
      </c>
      <c r="E75" s="273"/>
      <c r="F75" s="273" t="s">
        <v>292</v>
      </c>
      <c r="G75" s="274">
        <v>480</v>
      </c>
      <c r="H75" s="281"/>
      <c r="I75" s="281"/>
      <c r="J75" s="275">
        <f>(G75*H75)+(G75*I75)</f>
        <v>0</v>
      </c>
      <c r="K75" s="61"/>
      <c r="L75" s="65"/>
      <c r="M75" s="59"/>
      <c r="N75" s="59"/>
      <c r="O75" s="66"/>
      <c r="P75" s="66"/>
      <c r="Q75" s="66"/>
      <c r="S75" s="283" t="str">
        <f>'1. Etapa D.1.4.c-elekroinstalac'!S75</f>
        <v>I</v>
      </c>
      <c r="T75" s="200">
        <f t="shared" si="8"/>
        <v>0</v>
      </c>
      <c r="U75" s="200" t="str">
        <f t="shared" si="9"/>
        <v xml:space="preserve"> </v>
      </c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273"/>
      <c r="AI75" s="59"/>
      <c r="AJ75" s="273"/>
      <c r="AK75" s="273"/>
      <c r="AL75" s="59"/>
      <c r="AM75" s="59"/>
      <c r="AN75" s="59"/>
      <c r="AP75" s="59"/>
      <c r="AT75" s="59"/>
      <c r="AU75" s="64"/>
      <c r="AV75" s="64"/>
      <c r="AW75" s="64"/>
      <c r="AX75" s="64"/>
      <c r="AY75" s="64"/>
      <c r="AZ75" s="61"/>
      <c r="BA75" s="64"/>
      <c r="BB75" s="61"/>
      <c r="BC75" s="61"/>
      <c r="BD75" s="59"/>
    </row>
    <row r="76" spans="2:56" s="271" customFormat="1" ht="20.85" customHeight="1">
      <c r="B76" s="271">
        <v>4</v>
      </c>
      <c r="C76" s="271" t="s">
        <v>556</v>
      </c>
      <c r="D76" s="272" t="s">
        <v>561</v>
      </c>
      <c r="E76" s="273"/>
      <c r="F76" s="273" t="s">
        <v>292</v>
      </c>
      <c r="G76" s="274">
        <v>320</v>
      </c>
      <c r="H76" s="281"/>
      <c r="I76" s="281"/>
      <c r="J76" s="275">
        <f>(G76*H76)+(G76*I76)</f>
        <v>0</v>
      </c>
      <c r="K76" s="61"/>
      <c r="L76" s="65"/>
      <c r="M76" s="59"/>
      <c r="N76" s="59"/>
      <c r="O76" s="66"/>
      <c r="P76" s="66"/>
      <c r="Q76" s="66"/>
      <c r="S76" s="283" t="str">
        <f>'1. Etapa D.1.4.c-elekroinstalac'!S76</f>
        <v>I</v>
      </c>
      <c r="T76" s="200">
        <f t="shared" si="8"/>
        <v>0</v>
      </c>
      <c r="U76" s="200" t="str">
        <f t="shared" si="9"/>
        <v xml:space="preserve"> </v>
      </c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273"/>
      <c r="AI76" s="59"/>
      <c r="AJ76" s="273"/>
      <c r="AK76" s="273"/>
      <c r="AL76" s="59"/>
      <c r="AM76" s="59"/>
      <c r="AN76" s="59"/>
      <c r="AP76" s="59"/>
      <c r="AT76" s="59"/>
      <c r="AU76" s="64"/>
      <c r="AV76" s="64"/>
      <c r="AW76" s="64"/>
      <c r="AX76" s="64"/>
      <c r="AY76" s="64"/>
      <c r="AZ76" s="61"/>
      <c r="BA76" s="64"/>
      <c r="BB76" s="61"/>
      <c r="BC76" s="61"/>
      <c r="BD76" s="59"/>
    </row>
    <row r="77" spans="2:53" s="55" customFormat="1" ht="28.2" customHeight="1">
      <c r="B77" s="56" t="s">
        <v>562</v>
      </c>
      <c r="C77" s="56"/>
      <c r="D77" s="57"/>
      <c r="E77" s="57"/>
      <c r="F77" s="57"/>
      <c r="G77" s="57"/>
      <c r="H77" s="57"/>
      <c r="I77" s="57"/>
      <c r="J77" s="58">
        <f>SUM(J78:J84)</f>
        <v>0</v>
      </c>
      <c r="N77" s="51" t="e">
        <f>SUM(#REF!)</f>
        <v>#REF!</v>
      </c>
      <c r="P77" s="51" t="e">
        <f>SUM(#REF!)</f>
        <v>#REF!</v>
      </c>
      <c r="S77" s="176"/>
      <c r="T77" s="58">
        <f>SUM(T78:T84)</f>
        <v>0</v>
      </c>
      <c r="U77" s="58">
        <f>SUM(U78:U84)</f>
        <v>0</v>
      </c>
      <c r="AH77" s="55" t="s">
        <v>88</v>
      </c>
      <c r="AJ77" s="55" t="s">
        <v>539</v>
      </c>
      <c r="AK77" s="55" t="s">
        <v>88</v>
      </c>
      <c r="AO77" s="55" t="s">
        <v>555</v>
      </c>
      <c r="BA77" s="49" t="e">
        <f>SUM(#REF!)</f>
        <v>#REF!</v>
      </c>
    </row>
    <row r="78" spans="2:56" s="276" customFormat="1" ht="21" customHeight="1">
      <c r="B78" s="277" t="s">
        <v>563</v>
      </c>
      <c r="C78" s="277"/>
      <c r="F78" s="273" t="s">
        <v>360</v>
      </c>
      <c r="G78" s="274">
        <v>8</v>
      </c>
      <c r="H78" s="281"/>
      <c r="I78" s="281"/>
      <c r="J78" s="275">
        <f>(G78*H78)+(G78*I78)</f>
        <v>0</v>
      </c>
      <c r="K78" s="55"/>
      <c r="L78" s="55"/>
      <c r="M78" s="55"/>
      <c r="N78" s="51"/>
      <c r="O78" s="55"/>
      <c r="P78" s="51"/>
      <c r="Q78" s="55"/>
      <c r="S78" s="283" t="str">
        <f>'1. Etapa D.1.4.c-elekroinstalac'!S78</f>
        <v>I</v>
      </c>
      <c r="T78" s="200">
        <f t="shared" si="8"/>
        <v>0</v>
      </c>
      <c r="U78" s="200" t="str">
        <f t="shared" si="9"/>
        <v xml:space="preserve"> </v>
      </c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I78" s="55"/>
      <c r="AL78" s="55"/>
      <c r="AM78" s="55"/>
      <c r="AN78" s="55"/>
      <c r="AP78" s="55"/>
      <c r="AT78" s="55"/>
      <c r="AU78" s="55"/>
      <c r="AV78" s="55"/>
      <c r="AW78" s="55"/>
      <c r="AX78" s="55"/>
      <c r="AY78" s="55"/>
      <c r="AZ78" s="55"/>
      <c r="BA78" s="49"/>
      <c r="BB78" s="55"/>
      <c r="BC78" s="55"/>
      <c r="BD78" s="55"/>
    </row>
    <row r="79" spans="2:55" s="67" customFormat="1" ht="27.6" customHeight="1">
      <c r="B79" s="59">
        <v>5</v>
      </c>
      <c r="C79" s="59" t="s">
        <v>556</v>
      </c>
      <c r="D79" s="67" t="s">
        <v>564</v>
      </c>
      <c r="E79" s="68"/>
      <c r="F79" s="68"/>
      <c r="G79" s="69"/>
      <c r="H79" s="70"/>
      <c r="I79" s="71"/>
      <c r="J79" s="72"/>
      <c r="K79" s="68"/>
      <c r="L79" s="73"/>
      <c r="O79" s="74"/>
      <c r="P79" s="74"/>
      <c r="Q79" s="74"/>
      <c r="S79" s="177"/>
      <c r="T79" s="72"/>
      <c r="U79" s="72"/>
      <c r="AH79" s="68"/>
      <c r="AJ79" s="68"/>
      <c r="AK79" s="68"/>
      <c r="AU79" s="75"/>
      <c r="AV79" s="75"/>
      <c r="AW79" s="75"/>
      <c r="AX79" s="75"/>
      <c r="AY79" s="75"/>
      <c r="AZ79" s="68"/>
      <c r="BA79" s="75"/>
      <c r="BB79" s="68"/>
      <c r="BC79" s="68"/>
    </row>
    <row r="80" spans="2:56" s="278" customFormat="1" ht="27.6" customHeight="1">
      <c r="B80" s="277" t="s">
        <v>565</v>
      </c>
      <c r="C80" s="271"/>
      <c r="E80" s="279"/>
      <c r="F80" s="273" t="s">
        <v>360</v>
      </c>
      <c r="G80" s="274">
        <v>8</v>
      </c>
      <c r="H80" s="281"/>
      <c r="I80" s="281"/>
      <c r="J80" s="275">
        <f>(G80*H80)+(G80*I80)</f>
        <v>0</v>
      </c>
      <c r="K80" s="68"/>
      <c r="L80" s="73"/>
      <c r="M80" s="67"/>
      <c r="N80" s="67"/>
      <c r="O80" s="74"/>
      <c r="P80" s="74"/>
      <c r="Q80" s="74"/>
      <c r="S80" s="283" t="str">
        <f>'1. Etapa D.1.4.c-elekroinstalac'!S80</f>
        <v>I</v>
      </c>
      <c r="T80" s="200">
        <f t="shared" si="8"/>
        <v>0</v>
      </c>
      <c r="U80" s="200" t="str">
        <f t="shared" si="9"/>
        <v xml:space="preserve"> </v>
      </c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279"/>
      <c r="AI80" s="67"/>
      <c r="AJ80" s="279"/>
      <c r="AK80" s="279"/>
      <c r="AL80" s="67"/>
      <c r="AM80" s="67"/>
      <c r="AN80" s="67"/>
      <c r="AP80" s="67"/>
      <c r="AT80" s="67"/>
      <c r="AU80" s="75"/>
      <c r="AV80" s="75"/>
      <c r="AW80" s="75"/>
      <c r="AX80" s="75"/>
      <c r="AY80" s="75"/>
      <c r="AZ80" s="68"/>
      <c r="BA80" s="75"/>
      <c r="BB80" s="68"/>
      <c r="BC80" s="68"/>
      <c r="BD80" s="67"/>
    </row>
    <row r="81" spans="2:55" s="67" customFormat="1" ht="27.6" customHeight="1">
      <c r="B81" s="59">
        <v>6</v>
      </c>
      <c r="C81" s="59" t="s">
        <v>556</v>
      </c>
      <c r="D81" s="67" t="s">
        <v>564</v>
      </c>
      <c r="E81" s="68"/>
      <c r="F81" s="68"/>
      <c r="G81" s="69"/>
      <c r="H81" s="70"/>
      <c r="I81" s="71"/>
      <c r="J81" s="72"/>
      <c r="K81" s="68"/>
      <c r="L81" s="73"/>
      <c r="O81" s="74"/>
      <c r="P81" s="74"/>
      <c r="Q81" s="74"/>
      <c r="S81" s="177"/>
      <c r="T81" s="72"/>
      <c r="U81" s="72"/>
      <c r="AH81" s="68"/>
      <c r="AJ81" s="68"/>
      <c r="AK81" s="68"/>
      <c r="AU81" s="75"/>
      <c r="AV81" s="75"/>
      <c r="AW81" s="75"/>
      <c r="AX81" s="75"/>
      <c r="AY81" s="75"/>
      <c r="AZ81" s="68"/>
      <c r="BA81" s="75"/>
      <c r="BB81" s="68"/>
      <c r="BC81" s="68"/>
    </row>
    <row r="82" spans="2:56" s="278" customFormat="1" ht="27.6" customHeight="1">
      <c r="B82" s="277" t="s">
        <v>566</v>
      </c>
      <c r="C82" s="271"/>
      <c r="E82" s="279"/>
      <c r="F82" s="273" t="s">
        <v>360</v>
      </c>
      <c r="G82" s="274">
        <v>8</v>
      </c>
      <c r="H82" s="281"/>
      <c r="I82" s="281"/>
      <c r="J82" s="275">
        <f>(G82*H82)+(G82*I82)</f>
        <v>0</v>
      </c>
      <c r="K82" s="68"/>
      <c r="L82" s="73"/>
      <c r="M82" s="67"/>
      <c r="N82" s="67"/>
      <c r="O82" s="74"/>
      <c r="P82" s="74"/>
      <c r="Q82" s="74"/>
      <c r="S82" s="283" t="str">
        <f>'1. Etapa D.1.4.c-elekroinstalac'!S82</f>
        <v>I</v>
      </c>
      <c r="T82" s="200">
        <f t="shared" si="8"/>
        <v>0</v>
      </c>
      <c r="U82" s="200" t="str">
        <f t="shared" si="9"/>
        <v xml:space="preserve"> </v>
      </c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279"/>
      <c r="AI82" s="67"/>
      <c r="AJ82" s="279"/>
      <c r="AK82" s="279"/>
      <c r="AL82" s="67"/>
      <c r="AM82" s="67"/>
      <c r="AN82" s="67"/>
      <c r="AP82" s="67"/>
      <c r="AT82" s="67"/>
      <c r="AU82" s="75"/>
      <c r="AV82" s="75"/>
      <c r="AW82" s="75"/>
      <c r="AX82" s="75"/>
      <c r="AY82" s="75"/>
      <c r="AZ82" s="68"/>
      <c r="BA82" s="75"/>
      <c r="BB82" s="68"/>
      <c r="BC82" s="68"/>
      <c r="BD82" s="67"/>
    </row>
    <row r="83" spans="2:55" s="67" customFormat="1" ht="27.6" customHeight="1">
      <c r="B83" s="59">
        <v>7</v>
      </c>
      <c r="C83" s="59" t="s">
        <v>556</v>
      </c>
      <c r="D83" s="67" t="s">
        <v>564</v>
      </c>
      <c r="E83" s="68"/>
      <c r="F83" s="68"/>
      <c r="G83" s="69"/>
      <c r="H83" s="70"/>
      <c r="I83" s="71"/>
      <c r="J83" s="72"/>
      <c r="K83" s="68"/>
      <c r="L83" s="73"/>
      <c r="O83" s="74"/>
      <c r="P83" s="74"/>
      <c r="Q83" s="74"/>
      <c r="S83" s="177"/>
      <c r="T83" s="72"/>
      <c r="U83" s="72"/>
      <c r="AH83" s="68"/>
      <c r="AJ83" s="68"/>
      <c r="AK83" s="68"/>
      <c r="AU83" s="75"/>
      <c r="AV83" s="75"/>
      <c r="AW83" s="75"/>
      <c r="AX83" s="75"/>
      <c r="AY83" s="75"/>
      <c r="AZ83" s="68"/>
      <c r="BA83" s="75"/>
      <c r="BB83" s="68"/>
      <c r="BC83" s="68"/>
    </row>
    <row r="84" spans="2:56" s="278" customFormat="1" ht="27.6" customHeight="1">
      <c r="B84" s="277" t="s">
        <v>567</v>
      </c>
      <c r="C84" s="271"/>
      <c r="D84" s="254"/>
      <c r="E84" s="279"/>
      <c r="F84" s="273" t="s">
        <v>360</v>
      </c>
      <c r="G84" s="274">
        <v>1</v>
      </c>
      <c r="H84" s="281"/>
      <c r="I84" s="281"/>
      <c r="J84" s="275">
        <f>(G84*H84)+(G84*I84)</f>
        <v>0</v>
      </c>
      <c r="K84" s="68"/>
      <c r="L84" s="73"/>
      <c r="M84" s="67"/>
      <c r="N84" s="67"/>
      <c r="O84" s="74"/>
      <c r="P84" s="74"/>
      <c r="Q84" s="74"/>
      <c r="S84" s="283" t="str">
        <f>'1. Etapa D.1.4.c-elekroinstalac'!S84</f>
        <v>I</v>
      </c>
      <c r="T84" s="200">
        <f t="shared" si="8"/>
        <v>0</v>
      </c>
      <c r="U84" s="200" t="str">
        <f t="shared" si="9"/>
        <v xml:space="preserve"> </v>
      </c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279"/>
      <c r="AI84" s="67"/>
      <c r="AJ84" s="279"/>
      <c r="AK84" s="279"/>
      <c r="AL84" s="67"/>
      <c r="AM84" s="67"/>
      <c r="AN84" s="67"/>
      <c r="AP84" s="67"/>
      <c r="AT84" s="67"/>
      <c r="AU84" s="75"/>
      <c r="AV84" s="75"/>
      <c r="AW84" s="75"/>
      <c r="AX84" s="75"/>
      <c r="AY84" s="75"/>
      <c r="AZ84" s="68"/>
      <c r="BA84" s="75"/>
      <c r="BB84" s="68"/>
      <c r="BC84" s="68"/>
      <c r="BD84" s="67"/>
    </row>
    <row r="85" spans="2:55" s="67" customFormat="1" ht="27.6" customHeight="1">
      <c r="B85" s="59">
        <v>8</v>
      </c>
      <c r="C85" s="59" t="s">
        <v>556</v>
      </c>
      <c r="D85" s="67" t="s">
        <v>568</v>
      </c>
      <c r="E85" s="68"/>
      <c r="F85" s="68"/>
      <c r="G85" s="69"/>
      <c r="H85" s="70"/>
      <c r="I85" s="71"/>
      <c r="J85" s="72"/>
      <c r="K85" s="68"/>
      <c r="L85" s="73"/>
      <c r="O85" s="74"/>
      <c r="P85" s="74"/>
      <c r="Q85" s="74"/>
      <c r="S85" s="177"/>
      <c r="T85" s="72"/>
      <c r="U85" s="72"/>
      <c r="AH85" s="68"/>
      <c r="AJ85" s="68"/>
      <c r="AK85" s="68"/>
      <c r="AU85" s="75"/>
      <c r="AV85" s="75"/>
      <c r="AW85" s="75"/>
      <c r="AX85" s="75"/>
      <c r="AY85" s="75"/>
      <c r="AZ85" s="68"/>
      <c r="BA85" s="75"/>
      <c r="BB85" s="68"/>
      <c r="BC85" s="68"/>
    </row>
    <row r="86" spans="2:55" s="67" customFormat="1" ht="27.6" customHeight="1">
      <c r="B86" s="59"/>
      <c r="C86" s="59"/>
      <c r="D86" s="67" t="s">
        <v>569</v>
      </c>
      <c r="E86" s="68"/>
      <c r="F86" s="68"/>
      <c r="G86" s="69"/>
      <c r="H86" s="70"/>
      <c r="I86" s="71"/>
      <c r="J86" s="72"/>
      <c r="K86" s="68"/>
      <c r="L86" s="73"/>
      <c r="O86" s="74"/>
      <c r="P86" s="74"/>
      <c r="Q86" s="74"/>
      <c r="S86" s="177"/>
      <c r="T86" s="72"/>
      <c r="U86" s="72"/>
      <c r="AH86" s="68"/>
      <c r="AJ86" s="68"/>
      <c r="AK86" s="68"/>
      <c r="AU86" s="75"/>
      <c r="AV86" s="75"/>
      <c r="AW86" s="75"/>
      <c r="AX86" s="75"/>
      <c r="AY86" s="75"/>
      <c r="AZ86" s="68"/>
      <c r="BA86" s="75"/>
      <c r="BB86" s="68"/>
      <c r="BC86" s="68"/>
    </row>
    <row r="87" spans="2:55" s="67" customFormat="1" ht="27.6" customHeight="1">
      <c r="B87" s="59"/>
      <c r="C87" s="59"/>
      <c r="D87" s="67" t="s">
        <v>570</v>
      </c>
      <c r="E87" s="68"/>
      <c r="F87" s="68"/>
      <c r="G87" s="69"/>
      <c r="H87" s="70"/>
      <c r="I87" s="71"/>
      <c r="J87" s="72"/>
      <c r="K87" s="68"/>
      <c r="L87" s="73"/>
      <c r="O87" s="74"/>
      <c r="P87" s="74"/>
      <c r="Q87" s="74"/>
      <c r="S87" s="177"/>
      <c r="T87" s="72"/>
      <c r="U87" s="72"/>
      <c r="AH87" s="68"/>
      <c r="AJ87" s="68"/>
      <c r="AK87" s="68"/>
      <c r="AU87" s="75"/>
      <c r="AV87" s="75"/>
      <c r="AW87" s="75"/>
      <c r="AX87" s="75"/>
      <c r="AY87" s="75"/>
      <c r="AZ87" s="68"/>
      <c r="BA87" s="75"/>
      <c r="BB87" s="68"/>
      <c r="BC87" s="68"/>
    </row>
    <row r="88" spans="2:53" s="55" customFormat="1" ht="28.2" customHeight="1">
      <c r="B88" s="56" t="s">
        <v>571</v>
      </c>
      <c r="C88" s="56"/>
      <c r="D88" s="57"/>
      <c r="E88" s="57"/>
      <c r="F88" s="57"/>
      <c r="G88" s="57"/>
      <c r="H88" s="57"/>
      <c r="I88" s="57"/>
      <c r="J88" s="58">
        <f>SUM(J89:J99)</f>
        <v>0</v>
      </c>
      <c r="N88" s="51" t="e">
        <f>SUM(#REF!)</f>
        <v>#REF!</v>
      </c>
      <c r="P88" s="51" t="e">
        <f>SUM(#REF!)</f>
        <v>#REF!</v>
      </c>
      <c r="S88" s="176"/>
      <c r="T88" s="58">
        <f>SUM(T89:T99)</f>
        <v>0</v>
      </c>
      <c r="U88" s="58">
        <f>SUM(U89:U99)</f>
        <v>0</v>
      </c>
      <c r="AH88" s="55" t="s">
        <v>88</v>
      </c>
      <c r="AJ88" s="55" t="s">
        <v>539</v>
      </c>
      <c r="AK88" s="55" t="s">
        <v>88</v>
      </c>
      <c r="AO88" s="55" t="s">
        <v>555</v>
      </c>
      <c r="BA88" s="49" t="e">
        <f>SUM(#REF!)</f>
        <v>#REF!</v>
      </c>
    </row>
    <row r="89" spans="2:56" s="271" customFormat="1" ht="36.6" customHeight="1">
      <c r="B89" s="271">
        <v>9</v>
      </c>
      <c r="C89" s="271" t="s">
        <v>556</v>
      </c>
      <c r="D89" s="272" t="s">
        <v>572</v>
      </c>
      <c r="E89" s="273" t="s">
        <v>573</v>
      </c>
      <c r="F89" s="273" t="s">
        <v>389</v>
      </c>
      <c r="G89" s="274">
        <v>80</v>
      </c>
      <c r="H89" s="282"/>
      <c r="I89" s="281"/>
      <c r="J89" s="280">
        <f aca="true" t="shared" si="10" ref="J89:J99">(G89*H89)+(G89*I89)</f>
        <v>0</v>
      </c>
      <c r="K89" s="61">
        <f>(G89*H89)+(G89*J89)</f>
        <v>0</v>
      </c>
      <c r="L89" s="65"/>
      <c r="M89" s="59"/>
      <c r="N89" s="59"/>
      <c r="O89" s="66"/>
      <c r="P89" s="66"/>
      <c r="Q89" s="66"/>
      <c r="S89" s="283" t="str">
        <f>'1. Etapa D.1.4.c-elekroinstalac'!S89</f>
        <v>I</v>
      </c>
      <c r="T89" s="200">
        <f t="shared" si="8"/>
        <v>0</v>
      </c>
      <c r="U89" s="200" t="str">
        <f t="shared" si="9"/>
        <v xml:space="preserve"> </v>
      </c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273"/>
      <c r="AI89" s="59"/>
      <c r="AJ89" s="273"/>
      <c r="AK89" s="273"/>
      <c r="AL89" s="59"/>
      <c r="AM89" s="59"/>
      <c r="AN89" s="59"/>
      <c r="AP89" s="59"/>
      <c r="AT89" s="59"/>
      <c r="AU89" s="64"/>
      <c r="AV89" s="64"/>
      <c r="AW89" s="64"/>
      <c r="AX89" s="64"/>
      <c r="AY89" s="64"/>
      <c r="AZ89" s="61"/>
      <c r="BA89" s="64"/>
      <c r="BB89" s="61"/>
      <c r="BC89" s="61"/>
      <c r="BD89" s="59"/>
    </row>
    <row r="90" spans="2:56" s="271" customFormat="1" ht="36.6" customHeight="1">
      <c r="B90" s="271">
        <v>10</v>
      </c>
      <c r="C90" s="271" t="s">
        <v>556</v>
      </c>
      <c r="D90" s="272" t="s">
        <v>574</v>
      </c>
      <c r="E90" s="273" t="s">
        <v>575</v>
      </c>
      <c r="F90" s="273" t="s">
        <v>389</v>
      </c>
      <c r="G90" s="274">
        <v>80</v>
      </c>
      <c r="H90" s="282"/>
      <c r="I90" s="281"/>
      <c r="J90" s="280">
        <f t="shared" si="10"/>
        <v>0</v>
      </c>
      <c r="K90" s="61">
        <f>(G90*H90)+(G90*J90)</f>
        <v>0</v>
      </c>
      <c r="L90" s="65"/>
      <c r="M90" s="59"/>
      <c r="N90" s="59"/>
      <c r="O90" s="66"/>
      <c r="P90" s="66"/>
      <c r="Q90" s="66"/>
      <c r="S90" s="283" t="str">
        <f>'1. Etapa D.1.4.c-elekroinstalac'!S90</f>
        <v>I</v>
      </c>
      <c r="T90" s="200">
        <f t="shared" si="8"/>
        <v>0</v>
      </c>
      <c r="U90" s="200" t="str">
        <f t="shared" si="9"/>
        <v xml:space="preserve"> </v>
      </c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273"/>
      <c r="AI90" s="59"/>
      <c r="AJ90" s="273"/>
      <c r="AK90" s="273"/>
      <c r="AL90" s="59"/>
      <c r="AM90" s="59"/>
      <c r="AN90" s="59"/>
      <c r="AP90" s="59"/>
      <c r="AT90" s="59"/>
      <c r="AU90" s="64"/>
      <c r="AV90" s="64"/>
      <c r="AW90" s="64"/>
      <c r="AX90" s="64"/>
      <c r="AY90" s="64"/>
      <c r="AZ90" s="61"/>
      <c r="BA90" s="64"/>
      <c r="BB90" s="61"/>
      <c r="BC90" s="61"/>
      <c r="BD90" s="59"/>
    </row>
    <row r="91" spans="2:56" s="271" customFormat="1" ht="36.6" customHeight="1">
      <c r="B91" s="271">
        <v>11</v>
      </c>
      <c r="C91" s="271" t="s">
        <v>556</v>
      </c>
      <c r="D91" s="272" t="s">
        <v>576</v>
      </c>
      <c r="E91" s="273" t="s">
        <v>577</v>
      </c>
      <c r="F91" s="273" t="s">
        <v>389</v>
      </c>
      <c r="G91" s="274">
        <v>32</v>
      </c>
      <c r="H91" s="282"/>
      <c r="I91" s="281"/>
      <c r="J91" s="280">
        <f t="shared" si="10"/>
        <v>0</v>
      </c>
      <c r="K91" s="61">
        <f>(G91*H91)+(G91*J91)</f>
        <v>0</v>
      </c>
      <c r="L91" s="65"/>
      <c r="M91" s="59"/>
      <c r="N91" s="59"/>
      <c r="O91" s="66"/>
      <c r="P91" s="66"/>
      <c r="Q91" s="66"/>
      <c r="S91" s="283" t="str">
        <f>'1. Etapa D.1.4.c-elekroinstalac'!S91</f>
        <v>I</v>
      </c>
      <c r="T91" s="200">
        <f t="shared" si="8"/>
        <v>0</v>
      </c>
      <c r="U91" s="200" t="str">
        <f t="shared" si="9"/>
        <v xml:space="preserve"> </v>
      </c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273"/>
      <c r="AI91" s="59"/>
      <c r="AJ91" s="273"/>
      <c r="AK91" s="273"/>
      <c r="AL91" s="59"/>
      <c r="AM91" s="59"/>
      <c r="AN91" s="59"/>
      <c r="AP91" s="59"/>
      <c r="AT91" s="59"/>
      <c r="AU91" s="64"/>
      <c r="AV91" s="64"/>
      <c r="AW91" s="64"/>
      <c r="AX91" s="64"/>
      <c r="AY91" s="64"/>
      <c r="AZ91" s="61"/>
      <c r="BA91" s="64"/>
      <c r="BB91" s="61"/>
      <c r="BC91" s="61"/>
      <c r="BD91" s="59"/>
    </row>
    <row r="92" spans="2:56" s="271" customFormat="1" ht="36.6" customHeight="1">
      <c r="B92" s="271">
        <v>12</v>
      </c>
      <c r="C92" s="271" t="s">
        <v>556</v>
      </c>
      <c r="D92" s="272" t="s">
        <v>578</v>
      </c>
      <c r="E92" s="273" t="s">
        <v>579</v>
      </c>
      <c r="F92" s="273" t="s">
        <v>389</v>
      </c>
      <c r="G92" s="274">
        <v>40</v>
      </c>
      <c r="H92" s="282"/>
      <c r="I92" s="281"/>
      <c r="J92" s="280">
        <f t="shared" si="10"/>
        <v>0</v>
      </c>
      <c r="K92" s="61"/>
      <c r="L92" s="65"/>
      <c r="M92" s="59"/>
      <c r="N92" s="59"/>
      <c r="O92" s="66"/>
      <c r="P92" s="66"/>
      <c r="Q92" s="66"/>
      <c r="S92" s="283" t="str">
        <f>'1. Etapa D.1.4.c-elekroinstalac'!S92</f>
        <v>I</v>
      </c>
      <c r="T92" s="200">
        <f t="shared" si="8"/>
        <v>0</v>
      </c>
      <c r="U92" s="200" t="str">
        <f t="shared" si="9"/>
        <v xml:space="preserve"> </v>
      </c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273"/>
      <c r="AI92" s="59"/>
      <c r="AJ92" s="273"/>
      <c r="AK92" s="273"/>
      <c r="AL92" s="59"/>
      <c r="AM92" s="59"/>
      <c r="AN92" s="59"/>
      <c r="AP92" s="59"/>
      <c r="AT92" s="59"/>
      <c r="AU92" s="64"/>
      <c r="AV92" s="64"/>
      <c r="AW92" s="64"/>
      <c r="AX92" s="64"/>
      <c r="AY92" s="64"/>
      <c r="AZ92" s="61"/>
      <c r="BA92" s="64"/>
      <c r="BB92" s="61"/>
      <c r="BC92" s="61"/>
      <c r="BD92" s="59"/>
    </row>
    <row r="93" spans="2:56" s="271" customFormat="1" ht="36.6" customHeight="1">
      <c r="B93" s="271">
        <v>13</v>
      </c>
      <c r="C93" s="271" t="s">
        <v>556</v>
      </c>
      <c r="D93" s="272" t="s">
        <v>580</v>
      </c>
      <c r="E93" s="273" t="s">
        <v>581</v>
      </c>
      <c r="F93" s="273" t="s">
        <v>389</v>
      </c>
      <c r="G93" s="274">
        <v>96</v>
      </c>
      <c r="H93" s="282"/>
      <c r="I93" s="281"/>
      <c r="J93" s="280">
        <f t="shared" si="10"/>
        <v>0</v>
      </c>
      <c r="K93" s="61">
        <f>(G93*H93)+(G93*J93)</f>
        <v>0</v>
      </c>
      <c r="L93" s="65"/>
      <c r="M93" s="59"/>
      <c r="N93" s="59"/>
      <c r="O93" s="66"/>
      <c r="P93" s="66"/>
      <c r="Q93" s="66"/>
      <c r="S93" s="283" t="str">
        <f>'1. Etapa D.1.4.c-elekroinstalac'!S93</f>
        <v>I</v>
      </c>
      <c r="T93" s="200">
        <f t="shared" si="8"/>
        <v>0</v>
      </c>
      <c r="U93" s="200" t="str">
        <f t="shared" si="9"/>
        <v xml:space="preserve"> </v>
      </c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273"/>
      <c r="AI93" s="59"/>
      <c r="AJ93" s="273"/>
      <c r="AK93" s="273"/>
      <c r="AL93" s="59"/>
      <c r="AM93" s="59"/>
      <c r="AN93" s="59"/>
      <c r="AP93" s="59"/>
      <c r="AT93" s="59"/>
      <c r="AU93" s="64"/>
      <c r="AV93" s="64"/>
      <c r="AW93" s="64"/>
      <c r="AX93" s="64"/>
      <c r="AY93" s="64"/>
      <c r="AZ93" s="61"/>
      <c r="BA93" s="64"/>
      <c r="BB93" s="61"/>
      <c r="BC93" s="61"/>
      <c r="BD93" s="59"/>
    </row>
    <row r="94" spans="2:56" s="271" customFormat="1" ht="36.6" customHeight="1">
      <c r="B94" s="271">
        <v>14</v>
      </c>
      <c r="C94" s="271" t="s">
        <v>556</v>
      </c>
      <c r="D94" s="272" t="s">
        <v>582</v>
      </c>
      <c r="E94" s="273" t="s">
        <v>583</v>
      </c>
      <c r="F94" s="273" t="s">
        <v>389</v>
      </c>
      <c r="G94" s="274">
        <v>24</v>
      </c>
      <c r="H94" s="282"/>
      <c r="I94" s="281"/>
      <c r="J94" s="280">
        <f t="shared" si="10"/>
        <v>0</v>
      </c>
      <c r="K94" s="61"/>
      <c r="L94" s="65"/>
      <c r="M94" s="59"/>
      <c r="N94" s="59"/>
      <c r="O94" s="66"/>
      <c r="P94" s="66"/>
      <c r="Q94" s="66"/>
      <c r="S94" s="283" t="str">
        <f>'1. Etapa D.1.4.c-elekroinstalac'!S94</f>
        <v>I</v>
      </c>
      <c r="T94" s="200">
        <f t="shared" si="8"/>
        <v>0</v>
      </c>
      <c r="U94" s="200" t="str">
        <f t="shared" si="9"/>
        <v xml:space="preserve"> </v>
      </c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273"/>
      <c r="AI94" s="59"/>
      <c r="AJ94" s="273"/>
      <c r="AK94" s="273"/>
      <c r="AL94" s="59"/>
      <c r="AM94" s="59"/>
      <c r="AN94" s="59"/>
      <c r="AP94" s="59"/>
      <c r="AT94" s="59"/>
      <c r="AU94" s="64"/>
      <c r="AV94" s="64"/>
      <c r="AW94" s="64"/>
      <c r="AX94" s="64"/>
      <c r="AY94" s="64"/>
      <c r="AZ94" s="61"/>
      <c r="BA94" s="64"/>
      <c r="BB94" s="61"/>
      <c r="BC94" s="61"/>
      <c r="BD94" s="59"/>
    </row>
    <row r="95" spans="2:56" s="271" customFormat="1" ht="36.6" customHeight="1">
      <c r="B95" s="271">
        <v>15</v>
      </c>
      <c r="C95" s="271" t="s">
        <v>556</v>
      </c>
      <c r="D95" s="272" t="s">
        <v>584</v>
      </c>
      <c r="E95" s="273"/>
      <c r="F95" s="273" t="s">
        <v>389</v>
      </c>
      <c r="G95" s="274">
        <v>144</v>
      </c>
      <c r="H95" s="282"/>
      <c r="I95" s="281"/>
      <c r="J95" s="280">
        <f t="shared" si="10"/>
        <v>0</v>
      </c>
      <c r="K95" s="61">
        <f>(G95*H95)+(G95*J95)</f>
        <v>0</v>
      </c>
      <c r="L95" s="65"/>
      <c r="M95" s="59"/>
      <c r="N95" s="59"/>
      <c r="O95" s="66"/>
      <c r="P95" s="66"/>
      <c r="Q95" s="66"/>
      <c r="S95" s="283" t="str">
        <f>'1. Etapa D.1.4.c-elekroinstalac'!S95</f>
        <v>I</v>
      </c>
      <c r="T95" s="200">
        <f t="shared" si="8"/>
        <v>0</v>
      </c>
      <c r="U95" s="200" t="str">
        <f t="shared" si="9"/>
        <v xml:space="preserve"> </v>
      </c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273"/>
      <c r="AI95" s="59"/>
      <c r="AJ95" s="273"/>
      <c r="AK95" s="273"/>
      <c r="AL95" s="59"/>
      <c r="AM95" s="59"/>
      <c r="AN95" s="59"/>
      <c r="AP95" s="59"/>
      <c r="AT95" s="59"/>
      <c r="AU95" s="64"/>
      <c r="AV95" s="64"/>
      <c r="AW95" s="64"/>
      <c r="AX95" s="64"/>
      <c r="AY95" s="64"/>
      <c r="AZ95" s="61"/>
      <c r="BA95" s="64"/>
      <c r="BB95" s="61"/>
      <c r="BC95" s="61"/>
      <c r="BD95" s="59"/>
    </row>
    <row r="96" spans="2:56" s="271" customFormat="1" ht="36.6" customHeight="1">
      <c r="B96" s="271">
        <v>16</v>
      </c>
      <c r="C96" s="271" t="s">
        <v>556</v>
      </c>
      <c r="D96" s="272" t="s">
        <v>585</v>
      </c>
      <c r="E96" s="273"/>
      <c r="F96" s="273" t="s">
        <v>389</v>
      </c>
      <c r="G96" s="274">
        <v>80</v>
      </c>
      <c r="H96" s="282"/>
      <c r="I96" s="281"/>
      <c r="J96" s="280">
        <f t="shared" si="10"/>
        <v>0</v>
      </c>
      <c r="K96" s="61"/>
      <c r="L96" s="65"/>
      <c r="M96" s="59"/>
      <c r="N96" s="59"/>
      <c r="O96" s="66"/>
      <c r="P96" s="66"/>
      <c r="Q96" s="66"/>
      <c r="S96" s="283" t="str">
        <f>'1. Etapa D.1.4.c-elekroinstalac'!S96</f>
        <v>I</v>
      </c>
      <c r="T96" s="200">
        <f t="shared" si="8"/>
        <v>0</v>
      </c>
      <c r="U96" s="200" t="str">
        <f t="shared" si="9"/>
        <v xml:space="preserve"> </v>
      </c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273"/>
      <c r="AI96" s="59"/>
      <c r="AJ96" s="273"/>
      <c r="AK96" s="273"/>
      <c r="AL96" s="59"/>
      <c r="AM96" s="59"/>
      <c r="AN96" s="59"/>
      <c r="AP96" s="59"/>
      <c r="AT96" s="59"/>
      <c r="AU96" s="64"/>
      <c r="AV96" s="64"/>
      <c r="AW96" s="64"/>
      <c r="AX96" s="64"/>
      <c r="AY96" s="64"/>
      <c r="AZ96" s="61"/>
      <c r="BA96" s="64"/>
      <c r="BB96" s="61"/>
      <c r="BC96" s="61"/>
      <c r="BD96" s="59"/>
    </row>
    <row r="97" spans="2:56" s="271" customFormat="1" ht="36.6" customHeight="1">
      <c r="B97" s="271">
        <v>17</v>
      </c>
      <c r="C97" s="271" t="s">
        <v>586</v>
      </c>
      <c r="D97" s="272" t="s">
        <v>587</v>
      </c>
      <c r="E97" s="273"/>
      <c r="F97" s="273" t="s">
        <v>360</v>
      </c>
      <c r="G97" s="274">
        <v>8</v>
      </c>
      <c r="H97" s="282"/>
      <c r="I97" s="281"/>
      <c r="J97" s="280">
        <f t="shared" si="10"/>
        <v>0</v>
      </c>
      <c r="K97" s="61">
        <f>(G97*H97)+(G97*J97)</f>
        <v>0</v>
      </c>
      <c r="L97" s="65"/>
      <c r="M97" s="59"/>
      <c r="N97" s="59"/>
      <c r="O97" s="66"/>
      <c r="P97" s="66"/>
      <c r="Q97" s="66"/>
      <c r="S97" s="283" t="str">
        <f>'1. Etapa D.1.4.c-elekroinstalac'!S97</f>
        <v>I</v>
      </c>
      <c r="T97" s="200">
        <f t="shared" si="8"/>
        <v>0</v>
      </c>
      <c r="U97" s="200" t="str">
        <f t="shared" si="9"/>
        <v xml:space="preserve"> </v>
      </c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273"/>
      <c r="AI97" s="59"/>
      <c r="AJ97" s="273"/>
      <c r="AK97" s="273"/>
      <c r="AL97" s="59"/>
      <c r="AM97" s="59"/>
      <c r="AN97" s="59"/>
      <c r="AP97" s="59"/>
      <c r="AT97" s="59"/>
      <c r="AU97" s="64"/>
      <c r="AV97" s="64"/>
      <c r="AW97" s="64"/>
      <c r="AX97" s="64"/>
      <c r="AY97" s="64"/>
      <c r="AZ97" s="61"/>
      <c r="BA97" s="64"/>
      <c r="BB97" s="61"/>
      <c r="BC97" s="61"/>
      <c r="BD97" s="59"/>
    </row>
    <row r="98" spans="2:56" s="271" customFormat="1" ht="36.6" customHeight="1">
      <c r="B98" s="271">
        <v>18</v>
      </c>
      <c r="C98" s="271" t="s">
        <v>586</v>
      </c>
      <c r="D98" s="272" t="s">
        <v>588</v>
      </c>
      <c r="E98" s="273"/>
      <c r="F98" s="273" t="s">
        <v>360</v>
      </c>
      <c r="G98" s="274">
        <v>8</v>
      </c>
      <c r="H98" s="282"/>
      <c r="I98" s="281"/>
      <c r="J98" s="280">
        <f t="shared" si="10"/>
        <v>0</v>
      </c>
      <c r="K98" s="61">
        <f>(G98*H98)+(G98*J98)</f>
        <v>0</v>
      </c>
      <c r="L98" s="65"/>
      <c r="M98" s="59"/>
      <c r="N98" s="59"/>
      <c r="O98" s="66"/>
      <c r="P98" s="66"/>
      <c r="Q98" s="66"/>
      <c r="S98" s="283" t="str">
        <f>'1. Etapa D.1.4.c-elekroinstalac'!S98</f>
        <v>I</v>
      </c>
      <c r="T98" s="200">
        <f t="shared" si="8"/>
        <v>0</v>
      </c>
      <c r="U98" s="200" t="str">
        <f t="shared" si="9"/>
        <v xml:space="preserve"> </v>
      </c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273"/>
      <c r="AI98" s="59"/>
      <c r="AJ98" s="273"/>
      <c r="AK98" s="273"/>
      <c r="AL98" s="59"/>
      <c r="AM98" s="59"/>
      <c r="AN98" s="59"/>
      <c r="AP98" s="59"/>
      <c r="AT98" s="59"/>
      <c r="AU98" s="64"/>
      <c r="AV98" s="64"/>
      <c r="AW98" s="64"/>
      <c r="AX98" s="64"/>
      <c r="AY98" s="64"/>
      <c r="AZ98" s="61"/>
      <c r="BA98" s="64"/>
      <c r="BB98" s="61"/>
      <c r="BC98" s="61"/>
      <c r="BD98" s="59"/>
    </row>
    <row r="99" spans="2:56" s="271" customFormat="1" ht="36.6" customHeight="1">
      <c r="B99" s="271">
        <v>19</v>
      </c>
      <c r="C99" s="271" t="s">
        <v>556</v>
      </c>
      <c r="D99" s="272" t="s">
        <v>589</v>
      </c>
      <c r="E99" s="273"/>
      <c r="F99" s="273" t="s">
        <v>360</v>
      </c>
      <c r="G99" s="274">
        <v>8</v>
      </c>
      <c r="H99" s="282"/>
      <c r="I99" s="281"/>
      <c r="J99" s="280">
        <f t="shared" si="10"/>
        <v>0</v>
      </c>
      <c r="K99" s="61">
        <f>(G99*H99)+(G99*J99)</f>
        <v>0</v>
      </c>
      <c r="L99" s="65"/>
      <c r="M99" s="59"/>
      <c r="N99" s="59"/>
      <c r="O99" s="66"/>
      <c r="P99" s="66"/>
      <c r="Q99" s="66"/>
      <c r="S99" s="283" t="str">
        <f>'1. Etapa D.1.4.c-elekroinstalac'!S99</f>
        <v>I</v>
      </c>
      <c r="T99" s="200">
        <f t="shared" si="8"/>
        <v>0</v>
      </c>
      <c r="U99" s="200" t="str">
        <f t="shared" si="9"/>
        <v xml:space="preserve"> </v>
      </c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273"/>
      <c r="AI99" s="59"/>
      <c r="AJ99" s="273"/>
      <c r="AK99" s="273"/>
      <c r="AL99" s="59"/>
      <c r="AM99" s="59"/>
      <c r="AN99" s="59"/>
      <c r="AP99" s="59"/>
      <c r="AT99" s="59"/>
      <c r="AU99" s="64"/>
      <c r="AV99" s="64"/>
      <c r="AW99" s="64"/>
      <c r="AX99" s="64"/>
      <c r="AY99" s="64"/>
      <c r="AZ99" s="61"/>
      <c r="BA99" s="64"/>
      <c r="BB99" s="61"/>
      <c r="BC99" s="61"/>
      <c r="BD99" s="59"/>
    </row>
    <row r="100" spans="2:53" s="55" customFormat="1" ht="28.2" customHeight="1">
      <c r="B100" s="56" t="s">
        <v>590</v>
      </c>
      <c r="C100" s="56"/>
      <c r="D100" s="57"/>
      <c r="E100" s="57"/>
      <c r="F100" s="57"/>
      <c r="G100" s="57"/>
      <c r="H100" s="57"/>
      <c r="I100" s="57"/>
      <c r="J100" s="58">
        <f>SUM(J101:Q104)</f>
        <v>0</v>
      </c>
      <c r="N100" s="51"/>
      <c r="P100" s="51"/>
      <c r="S100" s="176"/>
      <c r="T100" s="58">
        <f>SUM(T102:T104)</f>
        <v>0</v>
      </c>
      <c r="U100" s="58">
        <f>SUM(U102:U104)</f>
        <v>0</v>
      </c>
      <c r="BA100" s="49"/>
    </row>
    <row r="101" spans="2:55" s="59" customFormat="1" ht="15.75" customHeight="1">
      <c r="B101" s="78" t="s">
        <v>591</v>
      </c>
      <c r="D101" s="60"/>
      <c r="E101" s="61"/>
      <c r="F101" s="61"/>
      <c r="G101" s="62"/>
      <c r="H101" s="76"/>
      <c r="I101" s="63"/>
      <c r="J101" s="77"/>
      <c r="K101" s="61"/>
      <c r="L101" s="65"/>
      <c r="O101" s="66"/>
      <c r="P101" s="66"/>
      <c r="Q101" s="66"/>
      <c r="S101" s="178"/>
      <c r="T101" s="77"/>
      <c r="U101" s="77"/>
      <c r="AH101" s="61"/>
      <c r="AJ101" s="61"/>
      <c r="AK101" s="61"/>
      <c r="AU101" s="64"/>
      <c r="AV101" s="64"/>
      <c r="AW101" s="64"/>
      <c r="AX101" s="64"/>
      <c r="AY101" s="64"/>
      <c r="AZ101" s="61"/>
      <c r="BA101" s="64"/>
      <c r="BB101" s="61"/>
      <c r="BC101" s="61"/>
    </row>
    <row r="102" spans="2:56" s="271" customFormat="1" ht="36.6" customHeight="1">
      <c r="B102" s="271">
        <v>20</v>
      </c>
      <c r="C102" s="271" t="s">
        <v>556</v>
      </c>
      <c r="D102" s="272" t="s">
        <v>592</v>
      </c>
      <c r="E102" s="273" t="s">
        <v>593</v>
      </c>
      <c r="F102" s="273" t="s">
        <v>389</v>
      </c>
      <c r="G102" s="274">
        <v>72</v>
      </c>
      <c r="H102" s="282"/>
      <c r="I102" s="281"/>
      <c r="J102" s="280">
        <f>(G102*H102)+(G102*I102)</f>
        <v>0</v>
      </c>
      <c r="K102" s="61"/>
      <c r="L102" s="65"/>
      <c r="M102" s="59"/>
      <c r="N102" s="59"/>
      <c r="O102" s="66"/>
      <c r="P102" s="66"/>
      <c r="Q102" s="66"/>
      <c r="S102" s="283" t="str">
        <f>'1. Etapa D.1.4.c-elekroinstalac'!S102</f>
        <v>I</v>
      </c>
      <c r="T102" s="200">
        <f t="shared" si="8"/>
        <v>0</v>
      </c>
      <c r="U102" s="200" t="str">
        <f t="shared" si="9"/>
        <v xml:space="preserve"> </v>
      </c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273"/>
      <c r="AI102" s="59"/>
      <c r="AJ102" s="273"/>
      <c r="AK102" s="273"/>
      <c r="AL102" s="59"/>
      <c r="AM102" s="59"/>
      <c r="AN102" s="59"/>
      <c r="AP102" s="59"/>
      <c r="AT102" s="59"/>
      <c r="AU102" s="64"/>
      <c r="AV102" s="64"/>
      <c r="AW102" s="64"/>
      <c r="AX102" s="64"/>
      <c r="AY102" s="64"/>
      <c r="AZ102" s="61"/>
      <c r="BA102" s="64"/>
      <c r="BB102" s="61"/>
      <c r="BC102" s="61"/>
      <c r="BD102" s="59"/>
    </row>
    <row r="103" spans="2:56" s="271" customFormat="1" ht="36.6" customHeight="1">
      <c r="B103" s="271">
        <v>21</v>
      </c>
      <c r="C103" s="271" t="s">
        <v>556</v>
      </c>
      <c r="D103" s="272" t="s">
        <v>594</v>
      </c>
      <c r="E103" s="273" t="s">
        <v>593</v>
      </c>
      <c r="F103" s="273" t="s">
        <v>389</v>
      </c>
      <c r="G103" s="274">
        <v>72</v>
      </c>
      <c r="H103" s="282"/>
      <c r="I103" s="281"/>
      <c r="J103" s="280">
        <f>(G103*H103)+(G103*I103)</f>
        <v>0</v>
      </c>
      <c r="K103" s="61"/>
      <c r="L103" s="65"/>
      <c r="M103" s="59"/>
      <c r="N103" s="59"/>
      <c r="O103" s="66"/>
      <c r="P103" s="66"/>
      <c r="Q103" s="66"/>
      <c r="S103" s="283" t="str">
        <f>'1. Etapa D.1.4.c-elekroinstalac'!S103</f>
        <v>I</v>
      </c>
      <c r="T103" s="200">
        <f t="shared" si="8"/>
        <v>0</v>
      </c>
      <c r="U103" s="200" t="str">
        <f t="shared" si="9"/>
        <v xml:space="preserve"> </v>
      </c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273"/>
      <c r="AI103" s="59"/>
      <c r="AJ103" s="273"/>
      <c r="AK103" s="273"/>
      <c r="AL103" s="59"/>
      <c r="AM103" s="59"/>
      <c r="AN103" s="59"/>
      <c r="AP103" s="59"/>
      <c r="AT103" s="59"/>
      <c r="AU103" s="64"/>
      <c r="AV103" s="64"/>
      <c r="AW103" s="64"/>
      <c r="AX103" s="64"/>
      <c r="AY103" s="64"/>
      <c r="AZ103" s="61"/>
      <c r="BA103" s="64"/>
      <c r="BB103" s="61"/>
      <c r="BC103" s="61"/>
      <c r="BD103" s="59"/>
    </row>
    <row r="104" spans="2:56" s="271" customFormat="1" ht="36.6" customHeight="1">
      <c r="B104" s="271">
        <v>22</v>
      </c>
      <c r="C104" s="271" t="s">
        <v>556</v>
      </c>
      <c r="D104" s="272" t="s">
        <v>595</v>
      </c>
      <c r="E104" s="273" t="s">
        <v>593</v>
      </c>
      <c r="F104" s="273" t="s">
        <v>389</v>
      </c>
      <c r="G104" s="274">
        <v>24</v>
      </c>
      <c r="H104" s="282"/>
      <c r="I104" s="281"/>
      <c r="J104" s="280">
        <f>(G104*H104)+(G104*I104)</f>
        <v>0</v>
      </c>
      <c r="K104" s="61"/>
      <c r="L104" s="65"/>
      <c r="M104" s="59"/>
      <c r="N104" s="59"/>
      <c r="O104" s="66"/>
      <c r="P104" s="66"/>
      <c r="Q104" s="66"/>
      <c r="S104" s="283" t="str">
        <f>'1. Etapa D.1.4.c-elekroinstalac'!S104</f>
        <v>I</v>
      </c>
      <c r="T104" s="200">
        <f t="shared" si="8"/>
        <v>0</v>
      </c>
      <c r="U104" s="200" t="str">
        <f t="shared" si="9"/>
        <v xml:space="preserve"> </v>
      </c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273"/>
      <c r="AI104" s="59"/>
      <c r="AJ104" s="273"/>
      <c r="AK104" s="273"/>
      <c r="AL104" s="59"/>
      <c r="AM104" s="59"/>
      <c r="AN104" s="59"/>
      <c r="AP104" s="59"/>
      <c r="AT104" s="59"/>
      <c r="AU104" s="64"/>
      <c r="AV104" s="64"/>
      <c r="AW104" s="64"/>
      <c r="AX104" s="64"/>
      <c r="AY104" s="64"/>
      <c r="AZ104" s="61"/>
      <c r="BA104" s="64"/>
      <c r="BB104" s="61"/>
      <c r="BC104" s="61"/>
      <c r="BD104" s="59"/>
    </row>
    <row r="105" spans="2:53" s="55" customFormat="1" ht="28.2" customHeight="1">
      <c r="B105" s="56" t="s">
        <v>596</v>
      </c>
      <c r="C105" s="56"/>
      <c r="D105" s="57"/>
      <c r="E105" s="57"/>
      <c r="F105" s="57"/>
      <c r="G105" s="57"/>
      <c r="H105" s="57"/>
      <c r="I105" s="57"/>
      <c r="J105" s="58">
        <f>SUM(J106:J106)</f>
        <v>0</v>
      </c>
      <c r="N105" s="51" t="e">
        <f>SUM(#REF!)</f>
        <v>#REF!</v>
      </c>
      <c r="P105" s="51" t="e">
        <f>SUM(#REF!)</f>
        <v>#REF!</v>
      </c>
      <c r="S105" s="176"/>
      <c r="T105" s="58">
        <f>SUM(T106:T106)</f>
        <v>0</v>
      </c>
      <c r="U105" s="58">
        <f>SUM(U106:U106)</f>
        <v>0</v>
      </c>
      <c r="AH105" s="55" t="s">
        <v>88</v>
      </c>
      <c r="AJ105" s="55" t="s">
        <v>539</v>
      </c>
      <c r="AK105" s="55" t="s">
        <v>88</v>
      </c>
      <c r="AO105" s="55" t="s">
        <v>555</v>
      </c>
      <c r="BA105" s="49" t="e">
        <f>SUM(#REF!)</f>
        <v>#REF!</v>
      </c>
    </row>
    <row r="106" spans="2:56" s="271" customFormat="1" ht="22.95" customHeight="1">
      <c r="B106" s="271">
        <v>23</v>
      </c>
      <c r="C106" s="271" t="s">
        <v>597</v>
      </c>
      <c r="D106" s="272" t="s">
        <v>598</v>
      </c>
      <c r="E106" s="273"/>
      <c r="F106" s="273" t="s">
        <v>360</v>
      </c>
      <c r="G106" s="274">
        <v>1</v>
      </c>
      <c r="H106" s="282"/>
      <c r="I106" s="281"/>
      <c r="J106" s="280">
        <f>(G106*H106)+(G106*I106)</f>
        <v>0</v>
      </c>
      <c r="K106" s="61"/>
      <c r="L106" s="65"/>
      <c r="M106" s="59"/>
      <c r="N106" s="59"/>
      <c r="O106" s="66"/>
      <c r="P106" s="66"/>
      <c r="Q106" s="66"/>
      <c r="S106" s="283" t="str">
        <f>'1. Etapa D.1.4.c-elekroinstalac'!S106</f>
        <v>I</v>
      </c>
      <c r="T106" s="200">
        <f t="shared" si="8"/>
        <v>0</v>
      </c>
      <c r="U106" s="200" t="str">
        <f t="shared" si="9"/>
        <v xml:space="preserve"> </v>
      </c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273"/>
      <c r="AI106" s="59"/>
      <c r="AJ106" s="273"/>
      <c r="AK106" s="273"/>
      <c r="AL106" s="59"/>
      <c r="AM106" s="59"/>
      <c r="AN106" s="59"/>
      <c r="AP106" s="59"/>
      <c r="AT106" s="59"/>
      <c r="AU106" s="64"/>
      <c r="AV106" s="64"/>
      <c r="AW106" s="64"/>
      <c r="AX106" s="64"/>
      <c r="AY106" s="64"/>
      <c r="AZ106" s="61"/>
      <c r="BA106" s="64"/>
      <c r="BB106" s="61"/>
      <c r="BC106" s="61"/>
      <c r="BD106" s="59"/>
    </row>
    <row r="107" spans="1:253" s="45" customFormat="1" ht="14.2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79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  <c r="IN107" s="43"/>
      <c r="IO107" s="43"/>
      <c r="IP107" s="43"/>
      <c r="IQ107" s="43"/>
      <c r="IR107" s="43"/>
      <c r="IS107" s="43"/>
    </row>
    <row r="108" spans="1:253" s="45" customFormat="1" ht="14.2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79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  <c r="IN108" s="43"/>
      <c r="IO108" s="43"/>
      <c r="IP108" s="43"/>
      <c r="IQ108" s="43"/>
      <c r="IR108" s="43"/>
      <c r="IS108" s="43"/>
    </row>
    <row r="109" spans="1:253" s="45" customFormat="1" ht="14.2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79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  <c r="IN109" s="43"/>
      <c r="IO109" s="43"/>
      <c r="IP109" s="43"/>
      <c r="IQ109" s="43"/>
      <c r="IR109" s="43"/>
      <c r="IS109" s="43"/>
    </row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algorithmName="SHA-512" hashValue="d3yMNQulaYIpRUSCqsQ4jLPz7G4rt3cImeSdoJmT25jEHCZ8MdJ5l6/2VCei0dVKxRxhe117u1QR3Z3X6AGWng==" saltValue="RvqOC1//W5Rpb/R/zVcVkw==" spinCount="100000" sheet="1" objects="1" scenarios="1"/>
  <autoFilter ref="A71:U109"/>
  <mergeCells count="4">
    <mergeCell ref="B1:J1"/>
    <mergeCell ref="D17:J17"/>
    <mergeCell ref="B25:J25"/>
    <mergeCell ref="B50:J50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04"/>
  <sheetViews>
    <sheetView tabSelected="1" workbookViewId="0" topLeftCell="A1">
      <selection activeCell="AL15" sqref="AL15"/>
    </sheetView>
  </sheetViews>
  <sheetFormatPr defaultColWidth="9.33203125" defaultRowHeight="10.5"/>
  <cols>
    <col min="1" max="1" width="4.16015625" style="297" customWidth="1"/>
    <col min="2" max="31" width="2.66015625" style="297" customWidth="1"/>
    <col min="32" max="32" width="3.33203125" style="297" customWidth="1"/>
    <col min="33" max="33" width="31.66015625" style="297" customWidth="1"/>
    <col min="34" max="35" width="2.5" style="297" customWidth="1"/>
    <col min="36" max="36" width="8.33203125" style="297" customWidth="1"/>
    <col min="37" max="37" width="3.33203125" style="297" customWidth="1"/>
    <col min="38" max="38" width="13.33203125" style="297" customWidth="1"/>
    <col min="39" max="39" width="7.5" style="297" customWidth="1"/>
    <col min="40" max="40" width="4.16015625" style="297" customWidth="1"/>
    <col min="41" max="41" width="15.66015625" style="297" hidden="1" customWidth="1"/>
    <col min="42" max="42" width="13.66015625" style="297" customWidth="1"/>
    <col min="43" max="44" width="15.5" style="297" hidden="1" customWidth="1"/>
    <col min="45" max="45" width="15.5" style="297" customWidth="1"/>
    <col min="46" max="46" width="17" style="297" hidden="1" customWidth="1"/>
    <col min="47" max="16384" width="9.33203125" style="297" customWidth="1"/>
  </cols>
  <sheetData>
    <row r="1" spans="2:42" ht="25.2" customHeight="1">
      <c r="B1" s="81" t="s">
        <v>14</v>
      </c>
      <c r="AP1" s="82"/>
    </row>
    <row r="2" spans="2:42" ht="12" customHeight="1">
      <c r="B2" s="83" t="s">
        <v>15</v>
      </c>
      <c r="I2" s="327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P2" s="82"/>
    </row>
    <row r="3" spans="2:42" ht="37.2" customHeight="1">
      <c r="B3" s="84" t="s">
        <v>16</v>
      </c>
      <c r="I3" s="329" t="str">
        <f>'Celková rekapitulace'!A1</f>
        <v>Oprava a rekonstrukce sociálek a kuchyní na kolejích Palachova v Hradci Králové</v>
      </c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P3" s="82"/>
    </row>
    <row r="4" spans="2:42" ht="12" customHeight="1">
      <c r="B4" s="85" t="s">
        <v>17</v>
      </c>
      <c r="I4" s="288" t="s">
        <v>18</v>
      </c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I4" s="85" t="s">
        <v>19</v>
      </c>
      <c r="AL4" s="319"/>
      <c r="AP4" s="82"/>
    </row>
    <row r="5" spans="9:42" ht="14.4" customHeight="1">
      <c r="I5" s="288" t="s">
        <v>20</v>
      </c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P5" s="82"/>
    </row>
    <row r="6" spans="2:42" ht="12" customHeight="1">
      <c r="B6" s="85" t="s">
        <v>21</v>
      </c>
      <c r="I6" s="316" t="s">
        <v>22</v>
      </c>
      <c r="AI6" s="85" t="s">
        <v>23</v>
      </c>
      <c r="AL6" s="317" t="s">
        <v>24</v>
      </c>
      <c r="AP6" s="82"/>
    </row>
    <row r="7" spans="3:42" ht="18.45" customHeight="1">
      <c r="C7" s="296" t="s">
        <v>25</v>
      </c>
      <c r="I7" s="122" t="s">
        <v>26</v>
      </c>
      <c r="AI7" s="85" t="s">
        <v>27</v>
      </c>
      <c r="AL7" s="122" t="s">
        <v>28</v>
      </c>
      <c r="AP7" s="82"/>
    </row>
    <row r="8" spans="38:42" ht="7.2" customHeight="1">
      <c r="AL8" s="122"/>
      <c r="AP8" s="82"/>
    </row>
    <row r="9" spans="2:42" ht="12" customHeight="1">
      <c r="B9" s="85" t="s">
        <v>29</v>
      </c>
      <c r="AI9" s="85" t="s">
        <v>23</v>
      </c>
      <c r="AL9" s="122" t="s">
        <v>30</v>
      </c>
      <c r="AP9" s="82"/>
    </row>
    <row r="10" spans="3:42" ht="13.8">
      <c r="C10" s="296" t="s">
        <v>25</v>
      </c>
      <c r="AI10" s="85" t="s">
        <v>27</v>
      </c>
      <c r="AL10" s="122" t="s">
        <v>30</v>
      </c>
      <c r="AP10" s="82"/>
    </row>
    <row r="11" spans="38:42" ht="7.2" customHeight="1">
      <c r="AL11" s="122"/>
      <c r="AP11" s="82"/>
    </row>
    <row r="12" spans="2:42" ht="12" customHeight="1">
      <c r="B12" s="85" t="s">
        <v>31</v>
      </c>
      <c r="I12" s="316" t="s">
        <v>32</v>
      </c>
      <c r="AI12" s="85" t="s">
        <v>23</v>
      </c>
      <c r="AL12" s="318">
        <v>10690409</v>
      </c>
      <c r="AP12" s="82"/>
    </row>
    <row r="13" spans="3:42" ht="18.45" customHeight="1">
      <c r="C13" s="296" t="s">
        <v>25</v>
      </c>
      <c r="I13" s="122" t="s">
        <v>33</v>
      </c>
      <c r="AI13" s="85" t="s">
        <v>27</v>
      </c>
      <c r="AL13" s="122" t="s">
        <v>34</v>
      </c>
      <c r="AP13" s="82"/>
    </row>
    <row r="14" ht="7.2" customHeight="1">
      <c r="AP14" s="82"/>
    </row>
    <row r="15" spans="2:42" ht="12" customHeight="1">
      <c r="B15" s="85" t="s">
        <v>35</v>
      </c>
      <c r="I15" s="89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I15" s="85" t="s">
        <v>23</v>
      </c>
      <c r="AL15" s="320"/>
      <c r="AP15" s="82"/>
    </row>
    <row r="16" spans="3:42" ht="18.45" customHeight="1">
      <c r="C16" s="296" t="s">
        <v>25</v>
      </c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I16" s="85" t="s">
        <v>27</v>
      </c>
      <c r="AL16" s="321"/>
      <c r="AP16" s="82"/>
    </row>
    <row r="17" ht="7.2" customHeight="1">
      <c r="AP17" s="82"/>
    </row>
    <row r="18" spans="2:42" ht="12" customHeight="1">
      <c r="B18" s="85" t="s">
        <v>36</v>
      </c>
      <c r="I18" s="297" t="s">
        <v>9</v>
      </c>
      <c r="AP18" s="82"/>
    </row>
    <row r="19" spans="3:42" ht="16.5" customHeight="1">
      <c r="C19" s="330" t="s">
        <v>30</v>
      </c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P19" s="82"/>
    </row>
    <row r="20" ht="7.2" customHeight="1">
      <c r="AP20" s="82"/>
    </row>
    <row r="21" spans="2:42" ht="7.2" customHeight="1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P21" s="82"/>
    </row>
    <row r="22" spans="2:42" s="92" customFormat="1" ht="25.95" customHeight="1">
      <c r="B22" s="93" t="s">
        <v>6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331">
        <f>ROUND(AE87,2)</f>
        <v>0</v>
      </c>
      <c r="AJ22" s="332"/>
      <c r="AK22" s="332"/>
      <c r="AL22" s="332"/>
      <c r="AM22" s="332"/>
      <c r="AP22" s="94"/>
    </row>
    <row r="23" s="92" customFormat="1" ht="7.2" customHeight="1">
      <c r="AP23" s="94"/>
    </row>
    <row r="24" spans="10:42" s="92" customFormat="1" ht="13.8">
      <c r="J24" s="333" t="s">
        <v>37</v>
      </c>
      <c r="K24" s="333"/>
      <c r="L24" s="333"/>
      <c r="M24" s="333"/>
      <c r="N24" s="333"/>
      <c r="U24" s="333" t="s">
        <v>38</v>
      </c>
      <c r="V24" s="333"/>
      <c r="W24" s="333"/>
      <c r="X24" s="333"/>
      <c r="Y24" s="333"/>
      <c r="Z24" s="333"/>
      <c r="AA24" s="333"/>
      <c r="AB24" s="333"/>
      <c r="AC24" s="333"/>
      <c r="AI24" s="333" t="s">
        <v>39</v>
      </c>
      <c r="AJ24" s="333"/>
      <c r="AK24" s="333"/>
      <c r="AL24" s="333"/>
      <c r="AM24" s="333"/>
      <c r="AP24" s="94"/>
    </row>
    <row r="25" spans="2:42" s="293" customFormat="1" ht="14.4" customHeight="1">
      <c r="B25" s="85" t="s">
        <v>7</v>
      </c>
      <c r="D25" s="85" t="s">
        <v>40</v>
      </c>
      <c r="J25" s="334">
        <v>0.21</v>
      </c>
      <c r="K25" s="335"/>
      <c r="L25" s="335"/>
      <c r="M25" s="335"/>
      <c r="N25" s="335"/>
      <c r="U25" s="336">
        <f>AI22</f>
        <v>0</v>
      </c>
      <c r="V25" s="335"/>
      <c r="W25" s="335"/>
      <c r="X25" s="335"/>
      <c r="Y25" s="335"/>
      <c r="Z25" s="335"/>
      <c r="AA25" s="335"/>
      <c r="AB25" s="335"/>
      <c r="AC25" s="335"/>
      <c r="AI25" s="336">
        <f>U25*0.21</f>
        <v>0</v>
      </c>
      <c r="AJ25" s="335"/>
      <c r="AK25" s="335"/>
      <c r="AL25" s="335"/>
      <c r="AM25" s="335"/>
      <c r="AP25" s="95"/>
    </row>
    <row r="26" spans="4:42" s="293" customFormat="1" ht="14.4" customHeight="1">
      <c r="D26" s="85" t="s">
        <v>41</v>
      </c>
      <c r="J26" s="334">
        <v>0.15</v>
      </c>
      <c r="K26" s="335"/>
      <c r="L26" s="335"/>
      <c r="M26" s="335"/>
      <c r="N26" s="335"/>
      <c r="U26" s="336">
        <v>0</v>
      </c>
      <c r="V26" s="335"/>
      <c r="W26" s="335"/>
      <c r="X26" s="335"/>
      <c r="Y26" s="335"/>
      <c r="Z26" s="335"/>
      <c r="AA26" s="335"/>
      <c r="AB26" s="335"/>
      <c r="AC26" s="335"/>
      <c r="AI26" s="336">
        <f>U26*0.15</f>
        <v>0</v>
      </c>
      <c r="AJ26" s="335"/>
      <c r="AK26" s="335"/>
      <c r="AL26" s="335"/>
      <c r="AM26" s="335"/>
      <c r="AP26" s="95"/>
    </row>
    <row r="27" spans="4:42" s="293" customFormat="1" ht="14.4" customHeight="1" hidden="1">
      <c r="D27" s="85" t="s">
        <v>42</v>
      </c>
      <c r="J27" s="334">
        <v>0.21</v>
      </c>
      <c r="K27" s="335"/>
      <c r="L27" s="335"/>
      <c r="M27" s="335"/>
      <c r="N27" s="335"/>
      <c r="U27" s="336" t="e">
        <f>ROUND(#REF!,2)</f>
        <v>#REF!</v>
      </c>
      <c r="V27" s="335"/>
      <c r="W27" s="335"/>
      <c r="X27" s="335"/>
      <c r="Y27" s="335"/>
      <c r="Z27" s="335"/>
      <c r="AA27" s="335"/>
      <c r="AB27" s="335"/>
      <c r="AC27" s="335"/>
      <c r="AI27" s="336">
        <v>0</v>
      </c>
      <c r="AJ27" s="335"/>
      <c r="AK27" s="335"/>
      <c r="AL27" s="335"/>
      <c r="AM27" s="335"/>
      <c r="AP27" s="95"/>
    </row>
    <row r="28" spans="4:42" s="293" customFormat="1" ht="14.4" customHeight="1" hidden="1">
      <c r="D28" s="85" t="s">
        <v>43</v>
      </c>
      <c r="J28" s="334">
        <v>0.15</v>
      </c>
      <c r="K28" s="335"/>
      <c r="L28" s="335"/>
      <c r="M28" s="335"/>
      <c r="N28" s="335"/>
      <c r="U28" s="336" t="e">
        <f>ROUND(#REF!,2)</f>
        <v>#REF!</v>
      </c>
      <c r="V28" s="335"/>
      <c r="W28" s="335"/>
      <c r="X28" s="335"/>
      <c r="Y28" s="335"/>
      <c r="Z28" s="335"/>
      <c r="AA28" s="335"/>
      <c r="AB28" s="335"/>
      <c r="AC28" s="335"/>
      <c r="AI28" s="336">
        <v>0</v>
      </c>
      <c r="AJ28" s="335"/>
      <c r="AK28" s="335"/>
      <c r="AL28" s="335"/>
      <c r="AM28" s="335"/>
      <c r="AP28" s="95"/>
    </row>
    <row r="29" spans="4:42" s="293" customFormat="1" ht="14.4" customHeight="1" hidden="1">
      <c r="D29" s="85" t="s">
        <v>44</v>
      </c>
      <c r="J29" s="334">
        <v>0</v>
      </c>
      <c r="K29" s="335"/>
      <c r="L29" s="335"/>
      <c r="M29" s="335"/>
      <c r="N29" s="335"/>
      <c r="U29" s="336" t="e">
        <f>ROUND(#REF!,2)</f>
        <v>#REF!</v>
      </c>
      <c r="V29" s="335"/>
      <c r="W29" s="335"/>
      <c r="X29" s="335"/>
      <c r="Y29" s="335"/>
      <c r="Z29" s="335"/>
      <c r="AA29" s="335"/>
      <c r="AB29" s="335"/>
      <c r="AC29" s="335"/>
      <c r="AI29" s="336">
        <v>0</v>
      </c>
      <c r="AJ29" s="335"/>
      <c r="AK29" s="335"/>
      <c r="AL29" s="335"/>
      <c r="AM29" s="335"/>
      <c r="AP29" s="95"/>
    </row>
    <row r="30" s="92" customFormat="1" ht="7.2" customHeight="1">
      <c r="AP30" s="94"/>
    </row>
    <row r="31" spans="1:42" s="92" customFormat="1" ht="25.95" customHeight="1">
      <c r="A31" s="96"/>
      <c r="B31" s="97" t="s">
        <v>45</v>
      </c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98" t="s">
        <v>46</v>
      </c>
      <c r="S31" s="294"/>
      <c r="T31" s="294"/>
      <c r="U31" s="294"/>
      <c r="V31" s="339" t="s">
        <v>47</v>
      </c>
      <c r="W31" s="340"/>
      <c r="X31" s="340"/>
      <c r="Y31" s="340"/>
      <c r="Z31" s="340"/>
      <c r="AA31" s="294"/>
      <c r="AB31" s="294"/>
      <c r="AC31" s="294"/>
      <c r="AD31" s="294"/>
      <c r="AE31" s="294"/>
      <c r="AF31" s="294"/>
      <c r="AG31" s="294"/>
      <c r="AH31" s="294"/>
      <c r="AI31" s="341">
        <f>SUM(AI22:AI29)</f>
        <v>0</v>
      </c>
      <c r="AJ31" s="340"/>
      <c r="AK31" s="340"/>
      <c r="AL31" s="340"/>
      <c r="AM31" s="342"/>
      <c r="AN31" s="96"/>
      <c r="AO31" s="96"/>
      <c r="AP31" s="94"/>
    </row>
    <row r="32" s="92" customFormat="1" ht="7.2" customHeight="1">
      <c r="AP32" s="94"/>
    </row>
    <row r="33" s="92" customFormat="1" ht="14.4" customHeight="1">
      <c r="AP33" s="94"/>
    </row>
    <row r="34" ht="14.4" customHeight="1">
      <c r="AP34" s="82"/>
    </row>
    <row r="35" ht="14.4" customHeight="1">
      <c r="AP35" s="82"/>
    </row>
    <row r="36" ht="14.4" customHeight="1">
      <c r="AP36" s="82"/>
    </row>
    <row r="37" ht="14.4" customHeight="1">
      <c r="AP37" s="82"/>
    </row>
    <row r="38" ht="14.4" customHeight="1">
      <c r="AP38" s="82"/>
    </row>
    <row r="39" ht="14.4" customHeight="1">
      <c r="AP39" s="82"/>
    </row>
    <row r="40" ht="14.4" customHeight="1">
      <c r="AP40" s="82"/>
    </row>
    <row r="41" ht="14.4" customHeight="1">
      <c r="AP41" s="82"/>
    </row>
    <row r="42" ht="14.4" customHeight="1">
      <c r="AP42" s="82"/>
    </row>
    <row r="43" ht="14.4" customHeight="1">
      <c r="AP43" s="82"/>
    </row>
    <row r="44" ht="14.4" customHeight="1">
      <c r="AP44" s="82"/>
    </row>
    <row r="45" spans="2:42" s="92" customFormat="1" ht="14.4" customHeight="1">
      <c r="B45" s="99" t="s">
        <v>48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99" t="s">
        <v>49</v>
      </c>
      <c r="AG45" s="100"/>
      <c r="AH45" s="100"/>
      <c r="AI45" s="100"/>
      <c r="AJ45" s="100"/>
      <c r="AK45" s="100"/>
      <c r="AL45" s="100"/>
      <c r="AM45" s="100"/>
      <c r="AP45" s="94"/>
    </row>
    <row r="46" ht="10.5">
      <c r="AP46" s="82"/>
    </row>
    <row r="47" ht="10.5">
      <c r="AP47" s="82"/>
    </row>
    <row r="48" ht="10.5">
      <c r="AP48" s="82"/>
    </row>
    <row r="49" ht="10.5">
      <c r="AP49" s="82"/>
    </row>
    <row r="50" ht="10.5">
      <c r="AP50" s="82"/>
    </row>
    <row r="51" ht="10.5">
      <c r="AP51" s="82"/>
    </row>
    <row r="52" ht="10.5">
      <c r="AP52" s="82"/>
    </row>
    <row r="53" ht="10.5">
      <c r="AP53" s="82"/>
    </row>
    <row r="54" ht="10.5">
      <c r="AP54" s="82"/>
    </row>
    <row r="55" ht="10.5">
      <c r="AP55" s="82"/>
    </row>
    <row r="56" spans="2:42" s="92" customFormat="1" ht="13.8">
      <c r="B56" s="101" t="s">
        <v>50</v>
      </c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101" t="s">
        <v>51</v>
      </c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101" t="s">
        <v>50</v>
      </c>
      <c r="AG56" s="298"/>
      <c r="AH56" s="298"/>
      <c r="AI56" s="298"/>
      <c r="AJ56" s="298"/>
      <c r="AK56" s="101" t="s">
        <v>51</v>
      </c>
      <c r="AL56" s="298"/>
      <c r="AM56" s="298"/>
      <c r="AP56" s="94"/>
    </row>
    <row r="57" ht="10.5">
      <c r="AP57" s="82"/>
    </row>
    <row r="58" ht="10.5">
      <c r="AP58" s="82"/>
    </row>
    <row r="59" ht="10.5">
      <c r="AP59" s="82"/>
    </row>
    <row r="60" spans="2:42" s="92" customFormat="1" ht="13.8">
      <c r="B60" s="99" t="s">
        <v>52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99" t="s">
        <v>53</v>
      </c>
      <c r="AG60" s="100"/>
      <c r="AH60" s="100"/>
      <c r="AI60" s="100"/>
      <c r="AJ60" s="100"/>
      <c r="AK60" s="100"/>
      <c r="AL60" s="100"/>
      <c r="AM60" s="100"/>
      <c r="AP60" s="94"/>
    </row>
    <row r="61" ht="10.5">
      <c r="AP61" s="82"/>
    </row>
    <row r="62" ht="10.5">
      <c r="AP62" s="82"/>
    </row>
    <row r="63" ht="10.5">
      <c r="AP63" s="82"/>
    </row>
    <row r="64" ht="10.5">
      <c r="AP64" s="82"/>
    </row>
    <row r="65" ht="10.5">
      <c r="AP65" s="82"/>
    </row>
    <row r="66" ht="10.5">
      <c r="AP66" s="82"/>
    </row>
    <row r="67" ht="10.5">
      <c r="AP67" s="82"/>
    </row>
    <row r="68" ht="10.5">
      <c r="AP68" s="82"/>
    </row>
    <row r="69" ht="10.5">
      <c r="AP69" s="82"/>
    </row>
    <row r="70" ht="10.5">
      <c r="AP70" s="82"/>
    </row>
    <row r="71" spans="2:42" s="92" customFormat="1" ht="13.8">
      <c r="B71" s="101" t="s">
        <v>50</v>
      </c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101" t="s">
        <v>51</v>
      </c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101" t="s">
        <v>50</v>
      </c>
      <c r="AG71" s="298"/>
      <c r="AH71" s="298"/>
      <c r="AI71" s="298"/>
      <c r="AJ71" s="298"/>
      <c r="AK71" s="101" t="s">
        <v>51</v>
      </c>
      <c r="AL71" s="298"/>
      <c r="AM71" s="298"/>
      <c r="AP71" s="94"/>
    </row>
    <row r="72" s="92" customFormat="1" ht="10.5">
      <c r="AP72" s="94"/>
    </row>
    <row r="73" spans="1:42" s="92" customFormat="1" ht="7.2" customHeight="1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94"/>
    </row>
    <row r="74" spans="1:42" s="92" customFormat="1" ht="7.2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94"/>
    </row>
    <row r="75" spans="1:42" s="92" customFormat="1" ht="25.2" customHeight="1">
      <c r="A75" s="81" t="s">
        <v>54</v>
      </c>
      <c r="AP75" s="94"/>
    </row>
    <row r="76" s="92" customFormat="1" ht="7.2" customHeight="1">
      <c r="AP76" s="94"/>
    </row>
    <row r="77" spans="1:42" s="292" customFormat="1" ht="12" customHeight="1">
      <c r="A77" s="85" t="s">
        <v>15</v>
      </c>
      <c r="J77" s="292">
        <f>I2</f>
        <v>0</v>
      </c>
      <c r="AP77" s="104"/>
    </row>
    <row r="78" spans="1:42" s="295" customFormat="1" ht="37.2" customHeight="1">
      <c r="A78" s="105" t="s">
        <v>16</v>
      </c>
      <c r="J78" s="337" t="str">
        <f>I3</f>
        <v>Oprava a rekonstrukce sociálek a kuchyní na kolejích Palachova v Hradci Králové</v>
      </c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8"/>
      <c r="AH78" s="338"/>
      <c r="AI78" s="338"/>
      <c r="AJ78" s="338"/>
      <c r="AK78" s="338"/>
      <c r="AL78" s="338"/>
      <c r="AM78" s="338"/>
      <c r="AP78" s="106"/>
    </row>
    <row r="79" s="92" customFormat="1" ht="7.2" customHeight="1">
      <c r="AP79" s="94"/>
    </row>
    <row r="80" spans="1:42" s="92" customFormat="1" ht="12" customHeight="1">
      <c r="A80" s="85" t="s">
        <v>17</v>
      </c>
      <c r="J80" s="107" t="str">
        <f>IF(I4="","",I4)</f>
        <v>parc. č. 2299, v k. ú. Nový Hradec Králové</v>
      </c>
      <c r="AG80" s="85" t="s">
        <v>19</v>
      </c>
      <c r="AK80" s="343" t="str">
        <f>IF(AL4="","",AL4)</f>
        <v/>
      </c>
      <c r="AL80" s="343"/>
      <c r="AP80" s="94"/>
    </row>
    <row r="81" s="92" customFormat="1" ht="7.2" customHeight="1">
      <c r="AP81" s="94"/>
    </row>
    <row r="82" spans="1:42" s="92" customFormat="1" ht="15.15" customHeight="1">
      <c r="A82" s="85" t="s">
        <v>21</v>
      </c>
      <c r="J82" s="292" t="str">
        <f>IF(C7="","",C7)</f>
        <v xml:space="preserve"> </v>
      </c>
      <c r="AG82" s="85" t="s">
        <v>31</v>
      </c>
      <c r="AK82" s="344" t="str">
        <f>IF(C13="","",C13)</f>
        <v xml:space="preserve"> </v>
      </c>
      <c r="AL82" s="345"/>
      <c r="AM82" s="345"/>
      <c r="AN82" s="345"/>
      <c r="AP82" s="94"/>
    </row>
    <row r="83" spans="1:42" s="92" customFormat="1" ht="15.15" customHeight="1">
      <c r="A83" s="85" t="s">
        <v>29</v>
      </c>
      <c r="J83" s="292" t="str">
        <f>IF(C10="","",C10)</f>
        <v xml:space="preserve"> </v>
      </c>
      <c r="AG83" s="85" t="s">
        <v>35</v>
      </c>
      <c r="AK83" s="344" t="str">
        <f>IF(C16="","",C16)</f>
        <v xml:space="preserve"> </v>
      </c>
      <c r="AL83" s="345"/>
      <c r="AM83" s="345"/>
      <c r="AN83" s="345"/>
      <c r="AP83" s="94"/>
    </row>
    <row r="84" s="92" customFormat="1" ht="10.95" customHeight="1">
      <c r="AP84" s="94"/>
    </row>
    <row r="85" spans="1:46" s="92" customFormat="1" ht="29.25" customHeight="1">
      <c r="A85" s="346" t="s">
        <v>55</v>
      </c>
      <c r="B85" s="347"/>
      <c r="C85" s="347"/>
      <c r="D85" s="347"/>
      <c r="E85" s="347"/>
      <c r="F85" s="108"/>
      <c r="G85" s="348" t="s">
        <v>56</v>
      </c>
      <c r="H85" s="347"/>
      <c r="I85" s="347"/>
      <c r="J85" s="347"/>
      <c r="K85" s="347"/>
      <c r="L85" s="347"/>
      <c r="M85" s="347"/>
      <c r="N85" s="347"/>
      <c r="O85" s="347"/>
      <c r="P85" s="347"/>
      <c r="Q85" s="347"/>
      <c r="R85" s="347"/>
      <c r="S85" s="347"/>
      <c r="T85" s="347"/>
      <c r="U85" s="347"/>
      <c r="V85" s="347"/>
      <c r="W85" s="347"/>
      <c r="X85" s="347"/>
      <c r="Y85" s="347"/>
      <c r="Z85" s="347"/>
      <c r="AA85" s="347"/>
      <c r="AB85" s="347"/>
      <c r="AC85" s="347"/>
      <c r="AD85" s="347"/>
      <c r="AE85" s="349" t="s">
        <v>57</v>
      </c>
      <c r="AF85" s="347"/>
      <c r="AG85" s="347"/>
      <c r="AH85" s="347"/>
      <c r="AI85" s="347"/>
      <c r="AJ85" s="347"/>
      <c r="AK85" s="347"/>
      <c r="AL85" s="348" t="s">
        <v>58</v>
      </c>
      <c r="AM85" s="347"/>
      <c r="AN85" s="350"/>
      <c r="AO85" s="109" t="s">
        <v>59</v>
      </c>
      <c r="AP85" s="94"/>
      <c r="AQ85" s="182" t="s">
        <v>2</v>
      </c>
      <c r="AR85" s="182" t="s">
        <v>3</v>
      </c>
      <c r="AT85" s="92" t="s">
        <v>60</v>
      </c>
    </row>
    <row r="86" s="92" customFormat="1" ht="10.95" customHeight="1">
      <c r="AP86" s="94"/>
    </row>
    <row r="87" spans="1:46" s="114" customFormat="1" ht="32.4" customHeight="1">
      <c r="A87" s="110" t="s">
        <v>61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353">
        <f>SUM(AE88:AK91)</f>
        <v>0</v>
      </c>
      <c r="AF87" s="353"/>
      <c r="AG87" s="353"/>
      <c r="AH87" s="353"/>
      <c r="AI87" s="353"/>
      <c r="AJ87" s="353"/>
      <c r="AK87" s="353"/>
      <c r="AL87" s="354">
        <f>SUM(AL88:AN91)</f>
        <v>0</v>
      </c>
      <c r="AM87" s="354"/>
      <c r="AN87" s="354"/>
      <c r="AO87" s="112" t="s">
        <v>30</v>
      </c>
      <c r="AP87" s="113"/>
      <c r="AQ87" s="168">
        <f>SUM(AQ88:AQ91)</f>
        <v>0</v>
      </c>
      <c r="AR87" s="168">
        <f>SUM(AR88:AR91)</f>
        <v>0</v>
      </c>
      <c r="AT87" s="169">
        <f>AE87-AQ87-AR87</f>
        <v>0</v>
      </c>
    </row>
    <row r="88" spans="1:46" s="120" customFormat="1" ht="16.5" customHeight="1">
      <c r="A88" s="115"/>
      <c r="B88" s="116" t="s">
        <v>62</v>
      </c>
      <c r="C88" s="116"/>
      <c r="D88" s="116"/>
      <c r="E88" s="116"/>
      <c r="F88" s="116"/>
      <c r="G88" s="291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351">
        <f>'1. Etapa D.1.1-Stavba'!H184</f>
        <v>0</v>
      </c>
      <c r="AF88" s="352"/>
      <c r="AG88" s="352"/>
      <c r="AH88" s="352"/>
      <c r="AI88" s="352"/>
      <c r="AJ88" s="352"/>
      <c r="AK88" s="352"/>
      <c r="AL88" s="351">
        <f>AE88*1.21</f>
        <v>0</v>
      </c>
      <c r="AM88" s="352"/>
      <c r="AN88" s="352"/>
      <c r="AO88" s="118" t="s">
        <v>63</v>
      </c>
      <c r="AP88" s="119"/>
      <c r="AQ88" s="170">
        <f>'1. Etapa D.1.1-Stavba'!K184</f>
        <v>0</v>
      </c>
      <c r="AR88" s="170">
        <f>'1. Etapa D.1.1-Stavba'!L184</f>
        <v>0</v>
      </c>
      <c r="AT88" s="171">
        <f aca="true" t="shared" si="0" ref="AT88:AT91">AE88-AQ88-AR88</f>
        <v>0</v>
      </c>
    </row>
    <row r="89" spans="2:46" s="92" customFormat="1" ht="30" customHeight="1">
      <c r="B89" s="115" t="s">
        <v>64</v>
      </c>
      <c r="C89" s="115"/>
      <c r="D89" s="115"/>
      <c r="E89" s="115"/>
      <c r="F89" s="115"/>
      <c r="G89" s="291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351">
        <f>'1. Etapa D.1.4.a-VZT'!F39</f>
        <v>0</v>
      </c>
      <c r="AF89" s="352"/>
      <c r="AG89" s="352"/>
      <c r="AH89" s="352"/>
      <c r="AI89" s="352"/>
      <c r="AJ89" s="352"/>
      <c r="AK89" s="352"/>
      <c r="AL89" s="351">
        <f>AE89*1.21</f>
        <v>0</v>
      </c>
      <c r="AM89" s="352"/>
      <c r="AN89" s="352"/>
      <c r="AP89" s="94"/>
      <c r="AQ89" s="170">
        <f>'1. Etapa D.1.4.a-VZT'!I39</f>
        <v>0</v>
      </c>
      <c r="AR89" s="170">
        <f>'1. Etapa D.1.4.a-VZT'!J39</f>
        <v>0</v>
      </c>
      <c r="AT89" s="172">
        <f t="shared" si="0"/>
        <v>0</v>
      </c>
    </row>
    <row r="90" spans="2:46" s="92" customFormat="1" ht="30" customHeight="1">
      <c r="B90" s="115" t="s">
        <v>65</v>
      </c>
      <c r="C90" s="115"/>
      <c r="D90" s="115"/>
      <c r="E90" s="115"/>
      <c r="F90" s="115"/>
      <c r="G90" s="291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351">
        <f>'1. Etapa D.1.4.b-Zdravotechnika'!G51</f>
        <v>0</v>
      </c>
      <c r="AF90" s="352"/>
      <c r="AG90" s="352"/>
      <c r="AH90" s="352"/>
      <c r="AI90" s="352"/>
      <c r="AJ90" s="352"/>
      <c r="AK90" s="352"/>
      <c r="AL90" s="351">
        <f>AE90*1.21</f>
        <v>0</v>
      </c>
      <c r="AM90" s="352"/>
      <c r="AN90" s="352"/>
      <c r="AP90" s="94"/>
      <c r="AQ90" s="170">
        <f>'1. Etapa D.1.4.b-Zdravotechnika'!J51</f>
        <v>0</v>
      </c>
      <c r="AR90" s="170">
        <f>'1. Etapa D.1.4.b-Zdravotechnika'!K51</f>
        <v>0</v>
      </c>
      <c r="AT90" s="172">
        <f t="shared" si="0"/>
        <v>0</v>
      </c>
    </row>
    <row r="91" spans="2:46" s="92" customFormat="1" ht="30" customHeight="1">
      <c r="B91" s="115" t="s">
        <v>66</v>
      </c>
      <c r="C91" s="115"/>
      <c r="D91" s="115"/>
      <c r="E91" s="115"/>
      <c r="F91" s="115"/>
      <c r="G91" s="291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351">
        <f>'1. Etapa D.1.4.c-elekroinstalac'!J36</f>
        <v>0</v>
      </c>
      <c r="AF91" s="352"/>
      <c r="AG91" s="352"/>
      <c r="AH91" s="352"/>
      <c r="AI91" s="352"/>
      <c r="AJ91" s="352"/>
      <c r="AK91" s="352"/>
      <c r="AL91" s="351">
        <f>AE91*1.21</f>
        <v>0</v>
      </c>
      <c r="AM91" s="352"/>
      <c r="AN91" s="352"/>
      <c r="AP91" s="94"/>
      <c r="AQ91" s="170">
        <f>'1. Etapa D.1.4.c-elekroinstalac'!T69</f>
        <v>0</v>
      </c>
      <c r="AR91" s="170">
        <f>'1. Etapa D.1.4.c-elekroinstalac'!U69</f>
        <v>0</v>
      </c>
      <c r="AT91" s="172">
        <f t="shared" si="0"/>
        <v>0</v>
      </c>
    </row>
    <row r="92" spans="1:42" s="92" customFormat="1" ht="7.2" customHeight="1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94"/>
    </row>
    <row r="94" spans="2:44" ht="13.8">
      <c r="B94" s="121" t="s">
        <v>67</v>
      </c>
      <c r="AQ94" s="173" t="e">
        <f>AQ87/AE87</f>
        <v>#DIV/0!</v>
      </c>
      <c r="AR94" s="173" t="e">
        <f>AR87/AE87</f>
        <v>#DIV/0!</v>
      </c>
    </row>
    <row r="95" ht="13.8">
      <c r="B95" s="121" t="s">
        <v>68</v>
      </c>
    </row>
    <row r="96" ht="13.8">
      <c r="B96" s="121" t="s">
        <v>69</v>
      </c>
    </row>
    <row r="97" ht="13.8">
      <c r="B97" s="121" t="s">
        <v>70</v>
      </c>
    </row>
    <row r="98" ht="13.8">
      <c r="B98" s="121" t="s">
        <v>71</v>
      </c>
    </row>
    <row r="99" ht="13.8">
      <c r="B99" s="121" t="s">
        <v>72</v>
      </c>
    </row>
    <row r="100" ht="13.8">
      <c r="B100" s="121" t="s">
        <v>73</v>
      </c>
    </row>
    <row r="101" ht="10.5">
      <c r="B101" s="122"/>
    </row>
    <row r="102" ht="13.8">
      <c r="B102" s="123" t="s">
        <v>74</v>
      </c>
    </row>
    <row r="103" ht="13.8">
      <c r="B103" s="123" t="s">
        <v>75</v>
      </c>
    </row>
    <row r="104" ht="13.8">
      <c r="B104" s="123" t="s">
        <v>76</v>
      </c>
    </row>
  </sheetData>
  <sheetProtection algorithmName="SHA-512" hashValue="/xrBqpVaKXG9pZgbLssyrM8qUnTpCdEGi3twybkBGvGQlRH09uq/L5Iybo4R8aTNyrf1ze+QXzEiQODi6Dsmxg==" saltValue="HB4qOeUhx0h9tJYG6ez3Jw==" spinCount="100000" sheet="1" objects="1" scenarios="1"/>
  <mergeCells count="42">
    <mergeCell ref="AE90:AK90"/>
    <mergeCell ref="AL90:AN90"/>
    <mergeCell ref="AE91:AK91"/>
    <mergeCell ref="AL91:AN91"/>
    <mergeCell ref="AE87:AK87"/>
    <mergeCell ref="AL87:AN87"/>
    <mergeCell ref="AE88:AK88"/>
    <mergeCell ref="AL88:AN88"/>
    <mergeCell ref="AE89:AK89"/>
    <mergeCell ref="AL89:AN89"/>
    <mergeCell ref="AK80:AL80"/>
    <mergeCell ref="AK82:AN82"/>
    <mergeCell ref="AK83:AN83"/>
    <mergeCell ref="A85:E85"/>
    <mergeCell ref="G85:AD85"/>
    <mergeCell ref="AE85:AK85"/>
    <mergeCell ref="AL85:AN85"/>
    <mergeCell ref="J78:AM78"/>
    <mergeCell ref="J27:N27"/>
    <mergeCell ref="U27:AC27"/>
    <mergeCell ref="AI27:AM27"/>
    <mergeCell ref="J28:N28"/>
    <mergeCell ref="U28:AC28"/>
    <mergeCell ref="AI28:AM28"/>
    <mergeCell ref="J29:N29"/>
    <mergeCell ref="U29:AC29"/>
    <mergeCell ref="AI29:AM29"/>
    <mergeCell ref="V31:Z31"/>
    <mergeCell ref="AI31:AM31"/>
    <mergeCell ref="J25:N25"/>
    <mergeCell ref="U25:AC25"/>
    <mergeCell ref="AI25:AM25"/>
    <mergeCell ref="J26:N26"/>
    <mergeCell ref="U26:AC26"/>
    <mergeCell ref="AI26:AM26"/>
    <mergeCell ref="I2:AM2"/>
    <mergeCell ref="I3:AM3"/>
    <mergeCell ref="C19:AL19"/>
    <mergeCell ref="AI22:AM22"/>
    <mergeCell ref="J24:N24"/>
    <mergeCell ref="U24:AC24"/>
    <mergeCell ref="AI24:AM2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84"/>
  <sheetViews>
    <sheetView showGridLines="0" workbookViewId="0" topLeftCell="A1">
      <pane ySplit="5" topLeftCell="A96" activePane="bottomLeft" state="frozen"/>
      <selection pane="topLeft" activeCell="AG17" sqref="AG17"/>
      <selection pane="bottomLeft" activeCell="G38" sqref="G38"/>
    </sheetView>
  </sheetViews>
  <sheetFormatPr defaultColWidth="10.5" defaultRowHeight="12" customHeight="1"/>
  <cols>
    <col min="1" max="1" width="7.33203125" style="227" customWidth="1"/>
    <col min="2" max="2" width="7.33203125" style="228" customWidth="1"/>
    <col min="3" max="3" width="15.5" style="228" customWidth="1"/>
    <col min="4" max="4" width="57.66015625" style="228" customWidth="1"/>
    <col min="5" max="5" width="6.66015625" style="183" customWidth="1"/>
    <col min="6" max="6" width="11.16015625" style="229" customWidth="1"/>
    <col min="7" max="7" width="15.5" style="230" customWidth="1"/>
    <col min="8" max="8" width="17.83203125" style="230" customWidth="1"/>
    <col min="9" max="9" width="10.5" style="185" customWidth="1"/>
    <col min="10" max="10" width="10.5" style="185" hidden="1" customWidth="1"/>
    <col min="11" max="11" width="15.16015625" style="185" hidden="1" customWidth="1"/>
    <col min="12" max="12" width="15.83203125" style="185" hidden="1" customWidth="1"/>
    <col min="13" max="16384" width="10.5" style="185" customWidth="1"/>
  </cols>
  <sheetData>
    <row r="1" spans="1:8" s="184" customFormat="1" ht="24" customHeight="1">
      <c r="A1" s="42" t="s">
        <v>77</v>
      </c>
      <c r="B1" s="3"/>
      <c r="C1" s="4"/>
      <c r="D1" s="5"/>
      <c r="E1" s="183"/>
      <c r="F1" s="5" t="s">
        <v>78</v>
      </c>
      <c r="G1" s="5"/>
      <c r="H1" s="5" t="s">
        <v>79</v>
      </c>
    </row>
    <row r="2" spans="1:8" ht="6.75" customHeight="1">
      <c r="A2" s="1"/>
      <c r="B2" s="1"/>
      <c r="C2" s="1"/>
      <c r="D2" s="1"/>
      <c r="E2" s="80"/>
      <c r="F2" s="1"/>
      <c r="G2" s="1"/>
      <c r="H2" s="1"/>
    </row>
    <row r="3" spans="1:12" ht="24.75" customHeight="1">
      <c r="A3" s="2" t="s">
        <v>80</v>
      </c>
      <c r="B3" s="2" t="s">
        <v>81</v>
      </c>
      <c r="C3" s="2" t="s">
        <v>82</v>
      </c>
      <c r="D3" s="2" t="s">
        <v>56</v>
      </c>
      <c r="E3" s="2" t="s">
        <v>83</v>
      </c>
      <c r="F3" s="2" t="s">
        <v>84</v>
      </c>
      <c r="G3" s="2" t="s">
        <v>85</v>
      </c>
      <c r="H3" s="2" t="s">
        <v>86</v>
      </c>
      <c r="J3" s="182" t="s">
        <v>87</v>
      </c>
      <c r="K3" s="2" t="s">
        <v>2</v>
      </c>
      <c r="L3" s="2" t="s">
        <v>3</v>
      </c>
    </row>
    <row r="4" spans="1:8" ht="12.75" customHeight="1">
      <c r="A4" s="2" t="s">
        <v>88</v>
      </c>
      <c r="B4" s="2" t="s">
        <v>89</v>
      </c>
      <c r="C4" s="2" t="s">
        <v>90</v>
      </c>
      <c r="D4" s="2" t="s">
        <v>91</v>
      </c>
      <c r="E4" s="2" t="s">
        <v>92</v>
      </c>
      <c r="F4" s="2" t="s">
        <v>93</v>
      </c>
      <c r="G4" s="2" t="s">
        <v>94</v>
      </c>
      <c r="H4" s="2" t="s">
        <v>95</v>
      </c>
    </row>
    <row r="5" spans="1:8" ht="6" customHeight="1">
      <c r="A5" s="1"/>
      <c r="B5" s="1"/>
      <c r="C5" s="1"/>
      <c r="D5" s="1"/>
      <c r="E5" s="80"/>
      <c r="F5" s="1"/>
      <c r="G5" s="1"/>
      <c r="H5" s="1"/>
    </row>
    <row r="6" spans="1:12" ht="30.75" customHeight="1">
      <c r="A6" s="186"/>
      <c r="B6" s="187"/>
      <c r="C6" s="187" t="s">
        <v>96</v>
      </c>
      <c r="D6" s="187" t="s">
        <v>97</v>
      </c>
      <c r="E6" s="188"/>
      <c r="F6" s="189"/>
      <c r="G6" s="190"/>
      <c r="H6" s="186">
        <f>SUBTOTAL(9,H7:H55)</f>
        <v>0</v>
      </c>
      <c r="K6" s="186">
        <f>SUBTOTAL(9,K7:K55)</f>
        <v>0</v>
      </c>
      <c r="L6" s="186">
        <f>SUBTOTAL(9,L7:L55)</f>
        <v>0</v>
      </c>
    </row>
    <row r="7" spans="1:12" ht="28.5" customHeight="1">
      <c r="A7" s="191"/>
      <c r="B7" s="192"/>
      <c r="C7" s="192" t="s">
        <v>90</v>
      </c>
      <c r="D7" s="192" t="s">
        <v>98</v>
      </c>
      <c r="E7" s="193"/>
      <c r="F7" s="194"/>
      <c r="G7" s="195"/>
      <c r="H7" s="191">
        <f>SUBTOTAL(9,H8)</f>
        <v>0</v>
      </c>
      <c r="K7" s="191">
        <f>SUBTOTAL(9,K8)</f>
        <v>0</v>
      </c>
      <c r="L7" s="191">
        <f>SUBTOTAL(9,L8)</f>
        <v>0</v>
      </c>
    </row>
    <row r="8" spans="1:12" ht="24" customHeight="1">
      <c r="A8" s="196">
        <v>1</v>
      </c>
      <c r="B8" s="197" t="s">
        <v>99</v>
      </c>
      <c r="C8" s="197" t="s">
        <v>100</v>
      </c>
      <c r="D8" s="197" t="s">
        <v>101</v>
      </c>
      <c r="E8" s="198" t="s">
        <v>102</v>
      </c>
      <c r="F8" s="199">
        <f>F9</f>
        <v>44.578799999999994</v>
      </c>
      <c r="G8" s="231"/>
      <c r="H8" s="200">
        <f>F8*G8</f>
        <v>0</v>
      </c>
      <c r="J8" s="201" t="s">
        <v>103</v>
      </c>
      <c r="K8" s="200">
        <f>IF(J8="I",H8," ")</f>
        <v>0</v>
      </c>
      <c r="L8" s="200" t="str">
        <f>IF(J8="N",H8," ")</f>
        <v xml:space="preserve"> </v>
      </c>
    </row>
    <row r="9" spans="1:8" ht="13.5" customHeight="1">
      <c r="A9" s="202"/>
      <c r="B9" s="203"/>
      <c r="C9" s="203"/>
      <c r="D9" s="203" t="s">
        <v>104</v>
      </c>
      <c r="E9" s="204"/>
      <c r="F9" s="205">
        <f>0.915*2.03*24</f>
        <v>44.578799999999994</v>
      </c>
      <c r="G9" s="206"/>
      <c r="H9" s="206"/>
    </row>
    <row r="10" spans="1:12" ht="28.5" customHeight="1">
      <c r="A10" s="191"/>
      <c r="B10" s="192"/>
      <c r="C10" s="192" t="s">
        <v>93</v>
      </c>
      <c r="D10" s="192" t="s">
        <v>105</v>
      </c>
      <c r="E10" s="193"/>
      <c r="F10" s="194"/>
      <c r="G10" s="195"/>
      <c r="H10" s="191">
        <f>SUBTOTAL(9,H11:H35)</f>
        <v>0</v>
      </c>
      <c r="K10" s="191">
        <f>SUBTOTAL(9,K11:K35)</f>
        <v>0</v>
      </c>
      <c r="L10" s="191">
        <f>SUBTOTAL(9,L11:L35)</f>
        <v>0</v>
      </c>
    </row>
    <row r="11" spans="1:12" ht="24" customHeight="1">
      <c r="A11" s="196">
        <v>2</v>
      </c>
      <c r="B11" s="197" t="s">
        <v>106</v>
      </c>
      <c r="C11" s="197" t="s">
        <v>107</v>
      </c>
      <c r="D11" s="197" t="s">
        <v>108</v>
      </c>
      <c r="E11" s="198" t="s">
        <v>102</v>
      </c>
      <c r="F11" s="199">
        <f>F12</f>
        <v>404.88000000000005</v>
      </c>
      <c r="G11" s="231"/>
      <c r="H11" s="200">
        <f>F11*G11</f>
        <v>0</v>
      </c>
      <c r="J11" s="201" t="s">
        <v>109</v>
      </c>
      <c r="K11" s="200" t="str">
        <f aca="true" t="shared" si="0" ref="K11:K12">IF(J11="I",H11," ")</f>
        <v xml:space="preserve"> </v>
      </c>
      <c r="L11" s="200">
        <f aca="true" t="shared" si="1" ref="L11:L12">IF(J11="N",H11," ")</f>
        <v>0</v>
      </c>
    </row>
    <row r="12" spans="1:12" ht="24" customHeight="1">
      <c r="A12" s="196">
        <v>3</v>
      </c>
      <c r="B12" s="197" t="s">
        <v>99</v>
      </c>
      <c r="C12" s="197" t="s">
        <v>110</v>
      </c>
      <c r="D12" s="197" t="s">
        <v>111</v>
      </c>
      <c r="E12" s="198" t="s">
        <v>102</v>
      </c>
      <c r="F12" s="199">
        <f>F14+F15</f>
        <v>404.88000000000005</v>
      </c>
      <c r="G12" s="231"/>
      <c r="H12" s="200">
        <f>F12*G12</f>
        <v>0</v>
      </c>
      <c r="J12" s="201" t="s">
        <v>109</v>
      </c>
      <c r="K12" s="200" t="str">
        <f t="shared" si="0"/>
        <v xml:space="preserve"> </v>
      </c>
      <c r="L12" s="200">
        <f t="shared" si="1"/>
        <v>0</v>
      </c>
    </row>
    <row r="13" spans="1:12" ht="13.5" customHeight="1">
      <c r="A13" s="207"/>
      <c r="B13" s="208"/>
      <c r="C13" s="208"/>
      <c r="D13" s="208" t="s">
        <v>112</v>
      </c>
      <c r="E13" s="209"/>
      <c r="F13" s="210"/>
      <c r="G13" s="211"/>
      <c r="H13" s="211"/>
      <c r="K13" s="211"/>
      <c r="L13" s="211"/>
    </row>
    <row r="14" spans="1:8" ht="13.5" customHeight="1">
      <c r="A14" s="202"/>
      <c r="B14" s="203"/>
      <c r="C14" s="203"/>
      <c r="D14" s="203" t="s">
        <v>113</v>
      </c>
      <c r="E14" s="204"/>
      <c r="F14" s="205">
        <f>16*(6.24+11.14)</f>
        <v>278.08000000000004</v>
      </c>
      <c r="G14" s="206"/>
      <c r="H14" s="206"/>
    </row>
    <row r="15" spans="1:8" ht="13.5" customHeight="1">
      <c r="A15" s="202"/>
      <c r="B15" s="203"/>
      <c r="C15" s="203"/>
      <c r="D15" s="203" t="s">
        <v>114</v>
      </c>
      <c r="E15" s="204"/>
      <c r="F15" s="205">
        <v>126.8</v>
      </c>
      <c r="G15" s="206"/>
      <c r="H15" s="206"/>
    </row>
    <row r="16" spans="1:12" ht="24" customHeight="1">
      <c r="A16" s="196">
        <v>4</v>
      </c>
      <c r="B16" s="197" t="s">
        <v>106</v>
      </c>
      <c r="C16" s="197" t="s">
        <v>115</v>
      </c>
      <c r="D16" s="197" t="s">
        <v>116</v>
      </c>
      <c r="E16" s="198" t="s">
        <v>102</v>
      </c>
      <c r="F16" s="199">
        <f>F18</f>
        <v>44.578799999999994</v>
      </c>
      <c r="G16" s="231"/>
      <c r="H16" s="200">
        <f>F16*G16</f>
        <v>0</v>
      </c>
      <c r="J16" s="201" t="s">
        <v>103</v>
      </c>
      <c r="K16" s="200">
        <f>IF(J16="I",H16," ")</f>
        <v>0</v>
      </c>
      <c r="L16" s="200" t="str">
        <f>IF(J16="N",H16," ")</f>
        <v xml:space="preserve"> </v>
      </c>
    </row>
    <row r="17" spans="1:12" ht="13.5" customHeight="1">
      <c r="A17" s="207"/>
      <c r="B17" s="208"/>
      <c r="C17" s="208"/>
      <c r="D17" s="208" t="s">
        <v>117</v>
      </c>
      <c r="E17" s="209"/>
      <c r="F17" s="210"/>
      <c r="G17" s="211"/>
      <c r="H17" s="211"/>
      <c r="K17" s="211"/>
      <c r="L17" s="211"/>
    </row>
    <row r="18" spans="1:8" ht="13.5" customHeight="1">
      <c r="A18" s="202"/>
      <c r="B18" s="203"/>
      <c r="C18" s="203"/>
      <c r="D18" s="203" t="s">
        <v>118</v>
      </c>
      <c r="E18" s="204"/>
      <c r="F18" s="205">
        <f>0.915*2.03*24</f>
        <v>44.578799999999994</v>
      </c>
      <c r="G18" s="206"/>
      <c r="H18" s="206"/>
    </row>
    <row r="19" spans="1:12" ht="20.4">
      <c r="A19" s="196">
        <v>5</v>
      </c>
      <c r="B19" s="197" t="s">
        <v>106</v>
      </c>
      <c r="C19" s="197" t="s">
        <v>119</v>
      </c>
      <c r="D19" s="197" t="s">
        <v>120</v>
      </c>
      <c r="E19" s="198" t="s">
        <v>102</v>
      </c>
      <c r="F19" s="199">
        <f>SUM(F20:F27)</f>
        <v>1055.472</v>
      </c>
      <c r="G19" s="231"/>
      <c r="H19" s="200">
        <f>F19*G19</f>
        <v>0</v>
      </c>
      <c r="J19" s="201" t="s">
        <v>109</v>
      </c>
      <c r="K19" s="200" t="str">
        <f>IF(J19="I",H19," ")</f>
        <v xml:space="preserve"> </v>
      </c>
      <c r="L19" s="200">
        <f>IF(J19="N",H19," ")</f>
        <v>0</v>
      </c>
    </row>
    <row r="20" spans="1:12" ht="13.5" customHeight="1">
      <c r="A20" s="207"/>
      <c r="B20" s="208"/>
      <c r="C20" s="208"/>
      <c r="D20" s="208" t="s">
        <v>121</v>
      </c>
      <c r="E20" s="209"/>
      <c r="F20" s="210"/>
      <c r="G20" s="211"/>
      <c r="H20" s="211"/>
      <c r="K20" s="211"/>
      <c r="L20" s="211"/>
    </row>
    <row r="21" spans="1:8" ht="13.5" customHeight="1">
      <c r="A21" s="202"/>
      <c r="B21" s="203"/>
      <c r="C21" s="203"/>
      <c r="D21" s="203" t="s">
        <v>122</v>
      </c>
      <c r="E21" s="204"/>
      <c r="F21" s="205">
        <f>16*(2*1.27+2*3.45+2*1.16+4.72+1.75)*2.8</f>
        <v>816.704</v>
      </c>
      <c r="G21" s="206"/>
      <c r="H21" s="206"/>
    </row>
    <row r="22" spans="1:8" ht="13.5" customHeight="1">
      <c r="A22" s="202"/>
      <c r="B22" s="203"/>
      <c r="C22" s="203"/>
      <c r="D22" s="203" t="s">
        <v>123</v>
      </c>
      <c r="E22" s="204"/>
      <c r="F22" s="205">
        <v>427.84</v>
      </c>
      <c r="G22" s="206"/>
      <c r="H22" s="206"/>
    </row>
    <row r="23" spans="1:8" ht="13.5" customHeight="1">
      <c r="A23" s="202"/>
      <c r="B23" s="203"/>
      <c r="C23" s="203"/>
      <c r="D23" s="203" t="s">
        <v>124</v>
      </c>
      <c r="E23" s="204"/>
      <c r="F23" s="205">
        <f>-24*0.915*2.03</f>
        <v>-44.578799999999994</v>
      </c>
      <c r="G23" s="206"/>
      <c r="H23" s="206"/>
    </row>
    <row r="24" spans="1:8" ht="13.5" customHeight="1">
      <c r="A24" s="202"/>
      <c r="B24" s="203"/>
      <c r="C24" s="203"/>
      <c r="D24" s="203" t="s">
        <v>125</v>
      </c>
      <c r="E24" s="204"/>
      <c r="F24" s="205">
        <f>-24*2.1*1.5</f>
        <v>-75.60000000000001</v>
      </c>
      <c r="G24" s="206"/>
      <c r="H24" s="206"/>
    </row>
    <row r="25" spans="1:8" ht="13.5" customHeight="1">
      <c r="A25" s="202"/>
      <c r="B25" s="203"/>
      <c r="C25" s="203"/>
      <c r="D25" s="203" t="s">
        <v>126</v>
      </c>
      <c r="E25" s="204"/>
      <c r="F25" s="205">
        <f>-24*3*0.8*1.97</f>
        <v>-113.472</v>
      </c>
      <c r="G25" s="206"/>
      <c r="H25" s="206"/>
    </row>
    <row r="26" spans="1:12" ht="13.5" customHeight="1">
      <c r="A26" s="207"/>
      <c r="B26" s="208"/>
      <c r="C26" s="208"/>
      <c r="D26" s="208" t="s">
        <v>117</v>
      </c>
      <c r="E26" s="209"/>
      <c r="F26" s="210"/>
      <c r="G26" s="211"/>
      <c r="H26" s="211"/>
      <c r="K26" s="211"/>
      <c r="L26" s="211"/>
    </row>
    <row r="27" spans="1:8" ht="13.5" customHeight="1">
      <c r="A27" s="202"/>
      <c r="B27" s="203"/>
      <c r="C27" s="203"/>
      <c r="D27" s="203" t="s">
        <v>118</v>
      </c>
      <c r="E27" s="204"/>
      <c r="F27" s="205">
        <f>24*0.915*2.03</f>
        <v>44.578799999999994</v>
      </c>
      <c r="G27" s="206"/>
      <c r="H27" s="206"/>
    </row>
    <row r="28" spans="1:12" ht="24" customHeight="1">
      <c r="A28" s="196">
        <v>6</v>
      </c>
      <c r="B28" s="197" t="s">
        <v>99</v>
      </c>
      <c r="C28" s="197" t="s">
        <v>127</v>
      </c>
      <c r="D28" s="197" t="s">
        <v>128</v>
      </c>
      <c r="E28" s="198" t="s">
        <v>102</v>
      </c>
      <c r="F28" s="199">
        <f>SUM(F29:F34)</f>
        <v>1010.8932</v>
      </c>
      <c r="G28" s="231"/>
      <c r="H28" s="200">
        <f>F28*G28</f>
        <v>0</v>
      </c>
      <c r="J28" s="201" t="s">
        <v>109</v>
      </c>
      <c r="K28" s="200" t="str">
        <f>IF(J28="I",H28," ")</f>
        <v xml:space="preserve"> </v>
      </c>
      <c r="L28" s="200">
        <f>IF(J28="N",H28," ")</f>
        <v>0</v>
      </c>
    </row>
    <row r="29" spans="1:12" ht="13.5" customHeight="1">
      <c r="A29" s="207"/>
      <c r="B29" s="208"/>
      <c r="C29" s="208"/>
      <c r="D29" s="208" t="s">
        <v>121</v>
      </c>
      <c r="E29" s="209"/>
      <c r="F29" s="210"/>
      <c r="G29" s="211"/>
      <c r="H29" s="211"/>
      <c r="K29" s="211"/>
      <c r="L29" s="211"/>
    </row>
    <row r="30" spans="1:8" ht="13.5" customHeight="1">
      <c r="A30" s="202"/>
      <c r="B30" s="203"/>
      <c r="C30" s="203"/>
      <c r="D30" s="203" t="s">
        <v>122</v>
      </c>
      <c r="E30" s="204"/>
      <c r="F30" s="205">
        <f>16*(2*1.27+2*3.45+2*1.16+4.72+1.75)*2.8</f>
        <v>816.704</v>
      </c>
      <c r="G30" s="206"/>
      <c r="H30" s="206"/>
    </row>
    <row r="31" spans="1:8" ht="13.5" customHeight="1">
      <c r="A31" s="202"/>
      <c r="B31" s="203"/>
      <c r="C31" s="203"/>
      <c r="D31" s="203" t="s">
        <v>123</v>
      </c>
      <c r="E31" s="204"/>
      <c r="F31" s="205">
        <v>427.84</v>
      </c>
      <c r="G31" s="206"/>
      <c r="H31" s="206"/>
    </row>
    <row r="32" spans="1:8" ht="13.5" customHeight="1">
      <c r="A32" s="202"/>
      <c r="B32" s="203"/>
      <c r="C32" s="203"/>
      <c r="D32" s="203" t="s">
        <v>124</v>
      </c>
      <c r="E32" s="204"/>
      <c r="F32" s="205">
        <f>-24*0.915*2.03</f>
        <v>-44.578799999999994</v>
      </c>
      <c r="G32" s="206"/>
      <c r="H32" s="206"/>
    </row>
    <row r="33" spans="1:8" ht="13.5" customHeight="1">
      <c r="A33" s="202"/>
      <c r="B33" s="203"/>
      <c r="C33" s="203"/>
      <c r="D33" s="203" t="s">
        <v>125</v>
      </c>
      <c r="E33" s="204"/>
      <c r="F33" s="205">
        <f>-24*2.1*1.5</f>
        <v>-75.60000000000001</v>
      </c>
      <c r="G33" s="206"/>
      <c r="H33" s="206"/>
    </row>
    <row r="34" spans="1:8" ht="13.5" customHeight="1">
      <c r="A34" s="202"/>
      <c r="B34" s="203"/>
      <c r="C34" s="203"/>
      <c r="D34" s="203" t="s">
        <v>126</v>
      </c>
      <c r="E34" s="204"/>
      <c r="F34" s="205">
        <f>-24*3*0.8*1.97</f>
        <v>-113.472</v>
      </c>
      <c r="G34" s="206"/>
      <c r="H34" s="206"/>
    </row>
    <row r="35" spans="1:12" ht="13.5" customHeight="1">
      <c r="A35" s="196">
        <v>7</v>
      </c>
      <c r="B35" s="197" t="s">
        <v>106</v>
      </c>
      <c r="C35" s="197" t="s">
        <v>129</v>
      </c>
      <c r="D35" s="197" t="s">
        <v>130</v>
      </c>
      <c r="E35" s="198" t="s">
        <v>102</v>
      </c>
      <c r="F35" s="199">
        <f>SUM(F36)</f>
        <v>75.64800000000001</v>
      </c>
      <c r="G35" s="231"/>
      <c r="H35" s="200">
        <f>F35*G35</f>
        <v>0</v>
      </c>
      <c r="J35" s="201" t="s">
        <v>109</v>
      </c>
      <c r="K35" s="200" t="str">
        <f>IF(J35="I",H35," ")</f>
        <v xml:space="preserve"> </v>
      </c>
      <c r="L35" s="200">
        <f>IF(J35="N",H35," ")</f>
        <v>0</v>
      </c>
    </row>
    <row r="36" spans="1:8" ht="13.5" customHeight="1">
      <c r="A36" s="202"/>
      <c r="B36" s="203"/>
      <c r="C36" s="203"/>
      <c r="D36" s="203" t="s">
        <v>131</v>
      </c>
      <c r="E36" s="204"/>
      <c r="F36" s="205">
        <f>24*2*0.8*1.97</f>
        <v>75.64800000000001</v>
      </c>
      <c r="G36" s="206"/>
      <c r="H36" s="206"/>
    </row>
    <row r="37" spans="1:12" ht="28.5" customHeight="1">
      <c r="A37" s="191"/>
      <c r="B37" s="192"/>
      <c r="C37" s="192" t="s">
        <v>132</v>
      </c>
      <c r="D37" s="192" t="s">
        <v>133</v>
      </c>
      <c r="E37" s="193"/>
      <c r="F37" s="194"/>
      <c r="G37" s="195"/>
      <c r="H37" s="191">
        <f>SUBTOTAL(9,H38:H44)</f>
        <v>0</v>
      </c>
      <c r="K37" s="191">
        <f>SUBTOTAL(9,K38:K44)</f>
        <v>0</v>
      </c>
      <c r="L37" s="191">
        <f>SUBTOTAL(9,L38:L44)</f>
        <v>0</v>
      </c>
    </row>
    <row r="38" spans="1:12" ht="24" customHeight="1">
      <c r="A38" s="196">
        <v>8</v>
      </c>
      <c r="B38" s="197" t="s">
        <v>106</v>
      </c>
      <c r="C38" s="197" t="s">
        <v>134</v>
      </c>
      <c r="D38" s="197" t="s">
        <v>135</v>
      </c>
      <c r="E38" s="198" t="s">
        <v>102</v>
      </c>
      <c r="F38" s="199">
        <f>F39</f>
        <v>498.79999999999995</v>
      </c>
      <c r="G38" s="231"/>
      <c r="H38" s="200">
        <f>F38*G38</f>
        <v>0</v>
      </c>
      <c r="J38" s="201" t="s">
        <v>109</v>
      </c>
      <c r="K38" s="200" t="str">
        <f>IF(J38="I",H38," ")</f>
        <v xml:space="preserve"> </v>
      </c>
      <c r="L38" s="200">
        <f>IF(J38="N",H38," ")</f>
        <v>0</v>
      </c>
    </row>
    <row r="39" spans="1:8" ht="13.5" customHeight="1">
      <c r="A39" s="202"/>
      <c r="B39" s="203"/>
      <c r="C39" s="203"/>
      <c r="D39" s="203" t="s">
        <v>136</v>
      </c>
      <c r="E39" s="204"/>
      <c r="F39" s="205">
        <f>16*(6.24+11.14+2.93+1.24)+8*(7.96+7.89+2.16+1.24)</f>
        <v>498.79999999999995</v>
      </c>
      <c r="G39" s="206"/>
      <c r="H39" s="206"/>
    </row>
    <row r="40" spans="1:12" ht="13.5" customHeight="1">
      <c r="A40" s="196">
        <v>9</v>
      </c>
      <c r="B40" s="197" t="s">
        <v>137</v>
      </c>
      <c r="C40" s="197" t="s">
        <v>138</v>
      </c>
      <c r="D40" s="197" t="s">
        <v>139</v>
      </c>
      <c r="E40" s="198" t="s">
        <v>102</v>
      </c>
      <c r="F40" s="199">
        <f>SUM(F41:F43)</f>
        <v>88.44000000000001</v>
      </c>
      <c r="G40" s="231"/>
      <c r="H40" s="200">
        <f>F40*G40</f>
        <v>0</v>
      </c>
      <c r="J40" s="201" t="s">
        <v>109</v>
      </c>
      <c r="K40" s="200" t="str">
        <f>IF(J40="I",H40," ")</f>
        <v xml:space="preserve"> </v>
      </c>
      <c r="L40" s="200">
        <f>IF(J40="N",H40," ")</f>
        <v>0</v>
      </c>
    </row>
    <row r="41" spans="1:8" ht="13.5" customHeight="1">
      <c r="A41" s="202"/>
      <c r="B41" s="203"/>
      <c r="C41" s="203"/>
      <c r="D41" s="203" t="s">
        <v>140</v>
      </c>
      <c r="E41" s="204"/>
      <c r="F41" s="205">
        <f>(16*1.82+8*(1.25+0.395))*2.8</f>
        <v>118.384</v>
      </c>
      <c r="G41" s="206"/>
      <c r="H41" s="206"/>
    </row>
    <row r="42" spans="1:8" ht="13.5" customHeight="1">
      <c r="A42" s="202"/>
      <c r="B42" s="203"/>
      <c r="C42" s="203"/>
      <c r="D42" s="203" t="s">
        <v>141</v>
      </c>
      <c r="E42" s="204"/>
      <c r="F42" s="205">
        <f>-16*0.6*1.97</f>
        <v>-18.912</v>
      </c>
      <c r="G42" s="206"/>
      <c r="H42" s="206"/>
    </row>
    <row r="43" spans="1:8" ht="13.5" customHeight="1">
      <c r="A43" s="202"/>
      <c r="B43" s="203"/>
      <c r="C43" s="203"/>
      <c r="D43" s="203" t="s">
        <v>142</v>
      </c>
      <c r="E43" s="204"/>
      <c r="F43" s="205">
        <v>-11.032</v>
      </c>
      <c r="G43" s="206"/>
      <c r="H43" s="206"/>
    </row>
    <row r="44" spans="1:12" ht="13.5" customHeight="1">
      <c r="A44" s="196">
        <v>10</v>
      </c>
      <c r="B44" s="197" t="s">
        <v>137</v>
      </c>
      <c r="C44" s="197" t="s">
        <v>143</v>
      </c>
      <c r="D44" s="197" t="s">
        <v>144</v>
      </c>
      <c r="E44" s="198" t="s">
        <v>102</v>
      </c>
      <c r="F44" s="199">
        <f>SUM(F46:F47)</f>
        <v>29.944</v>
      </c>
      <c r="G44" s="231"/>
      <c r="H44" s="200">
        <f>F44*G44</f>
        <v>0</v>
      </c>
      <c r="J44" s="201" t="s">
        <v>109</v>
      </c>
      <c r="K44" s="200" t="str">
        <f>IF(J44="I",H44," ")</f>
        <v xml:space="preserve"> </v>
      </c>
      <c r="L44" s="200">
        <f>IF(J44="N",H44," ")</f>
        <v>0</v>
      </c>
    </row>
    <row r="45" spans="1:8" ht="13.5" customHeight="1">
      <c r="A45" s="202"/>
      <c r="B45" s="203"/>
      <c r="C45" s="203"/>
      <c r="D45" s="203" t="s">
        <v>145</v>
      </c>
      <c r="E45" s="204"/>
      <c r="F45" s="205">
        <f>24*0.8*1.97</f>
        <v>37.824000000000005</v>
      </c>
      <c r="G45" s="206"/>
      <c r="H45" s="206"/>
    </row>
    <row r="46" spans="1:8" ht="13.5" customHeight="1">
      <c r="A46" s="202"/>
      <c r="B46" s="203"/>
      <c r="C46" s="203"/>
      <c r="D46" s="203" t="s">
        <v>146</v>
      </c>
      <c r="E46" s="204"/>
      <c r="F46" s="205">
        <v>11.032</v>
      </c>
      <c r="G46" s="206"/>
      <c r="H46" s="206"/>
    </row>
    <row r="47" spans="1:8" ht="13.5" customHeight="1">
      <c r="A47" s="202"/>
      <c r="B47" s="203"/>
      <c r="C47" s="203"/>
      <c r="D47" s="203" t="s">
        <v>147</v>
      </c>
      <c r="E47" s="204"/>
      <c r="F47" s="205">
        <f>16*0.6*1.97</f>
        <v>18.912</v>
      </c>
      <c r="G47" s="206"/>
      <c r="H47" s="206"/>
    </row>
    <row r="48" spans="1:12" ht="28.5" customHeight="1">
      <c r="A48" s="191"/>
      <c r="B48" s="192"/>
      <c r="C48" s="192" t="s">
        <v>148</v>
      </c>
      <c r="D48" s="192" t="s">
        <v>149</v>
      </c>
      <c r="E48" s="193"/>
      <c r="F48" s="194"/>
      <c r="G48" s="195"/>
      <c r="H48" s="191">
        <f>SUBTOTAL(9,H49:H53)</f>
        <v>0</v>
      </c>
      <c r="K48" s="191">
        <f>SUBTOTAL(9,K49:K53)</f>
        <v>0</v>
      </c>
      <c r="L48" s="191">
        <f>SUBTOTAL(9,L49:L53)</f>
        <v>0</v>
      </c>
    </row>
    <row r="49" spans="1:12" ht="24" customHeight="1">
      <c r="A49" s="196">
        <v>11</v>
      </c>
      <c r="B49" s="197" t="s">
        <v>137</v>
      </c>
      <c r="C49" s="197" t="s">
        <v>150</v>
      </c>
      <c r="D49" s="197" t="s">
        <v>151</v>
      </c>
      <c r="E49" s="198" t="s">
        <v>152</v>
      </c>
      <c r="F49" s="199">
        <v>49.332</v>
      </c>
      <c r="G49" s="231"/>
      <c r="H49" s="200">
        <f>F49*G49</f>
        <v>0</v>
      </c>
      <c r="J49" s="201" t="s">
        <v>109</v>
      </c>
      <c r="K49" s="200" t="str">
        <f aca="true" t="shared" si="2" ref="K49:K51">IF(J49="I",H49," ")</f>
        <v xml:space="preserve"> </v>
      </c>
      <c r="L49" s="200">
        <f aca="true" t="shared" si="3" ref="L49:L51">IF(J49="N",H49," ")</f>
        <v>0</v>
      </c>
    </row>
    <row r="50" spans="1:12" ht="24" customHeight="1">
      <c r="A50" s="196">
        <v>12</v>
      </c>
      <c r="B50" s="197" t="s">
        <v>137</v>
      </c>
      <c r="C50" s="197" t="s">
        <v>153</v>
      </c>
      <c r="D50" s="197" t="s">
        <v>154</v>
      </c>
      <c r="E50" s="198" t="s">
        <v>152</v>
      </c>
      <c r="F50" s="199">
        <v>49.332</v>
      </c>
      <c r="G50" s="231"/>
      <c r="H50" s="200">
        <f>F50*G50</f>
        <v>0</v>
      </c>
      <c r="J50" s="201" t="s">
        <v>109</v>
      </c>
      <c r="K50" s="200" t="str">
        <f t="shared" si="2"/>
        <v xml:space="preserve"> </v>
      </c>
      <c r="L50" s="200">
        <f t="shared" si="3"/>
        <v>0</v>
      </c>
    </row>
    <row r="51" spans="1:12" ht="24" customHeight="1">
      <c r="A51" s="196">
        <v>13</v>
      </c>
      <c r="B51" s="197" t="s">
        <v>137</v>
      </c>
      <c r="C51" s="197" t="s">
        <v>155</v>
      </c>
      <c r="D51" s="197" t="s">
        <v>156</v>
      </c>
      <c r="E51" s="198" t="s">
        <v>152</v>
      </c>
      <c r="F51" s="199">
        <f>F52</f>
        <v>937.308</v>
      </c>
      <c r="G51" s="231"/>
      <c r="H51" s="200">
        <f>F51*G51</f>
        <v>0</v>
      </c>
      <c r="J51" s="201" t="s">
        <v>109</v>
      </c>
      <c r="K51" s="200" t="str">
        <f t="shared" si="2"/>
        <v xml:space="preserve"> </v>
      </c>
      <c r="L51" s="200">
        <f t="shared" si="3"/>
        <v>0</v>
      </c>
    </row>
    <row r="52" spans="1:8" ht="13.5" customHeight="1">
      <c r="A52" s="202"/>
      <c r="B52" s="203"/>
      <c r="C52" s="203"/>
      <c r="D52" s="203" t="s">
        <v>157</v>
      </c>
      <c r="E52" s="204"/>
      <c r="F52" s="205">
        <f>49.332*19</f>
        <v>937.308</v>
      </c>
      <c r="G52" s="206"/>
      <c r="H52" s="206"/>
    </row>
    <row r="53" spans="1:12" ht="24" customHeight="1">
      <c r="A53" s="196">
        <v>14</v>
      </c>
      <c r="B53" s="197" t="s">
        <v>137</v>
      </c>
      <c r="C53" s="197" t="s">
        <v>158</v>
      </c>
      <c r="D53" s="197" t="s">
        <v>159</v>
      </c>
      <c r="E53" s="198" t="s">
        <v>152</v>
      </c>
      <c r="F53" s="199">
        <v>49.332</v>
      </c>
      <c r="G53" s="231"/>
      <c r="H53" s="200">
        <f>F53*G53</f>
        <v>0</v>
      </c>
      <c r="J53" s="201" t="s">
        <v>109</v>
      </c>
      <c r="K53" s="200" t="str">
        <f>IF(J53="I",H53," ")</f>
        <v xml:space="preserve"> </v>
      </c>
      <c r="L53" s="200">
        <f>IF(J53="N",H53," ")</f>
        <v>0</v>
      </c>
    </row>
    <row r="54" spans="1:12" ht="28.5" customHeight="1">
      <c r="A54" s="191"/>
      <c r="B54" s="192"/>
      <c r="C54" s="192" t="s">
        <v>160</v>
      </c>
      <c r="D54" s="192" t="s">
        <v>161</v>
      </c>
      <c r="E54" s="193"/>
      <c r="F54" s="194"/>
      <c r="G54" s="195"/>
      <c r="H54" s="191">
        <f>SUBTOTAL(9,H55)</f>
        <v>0</v>
      </c>
      <c r="K54" s="191">
        <f>SUBTOTAL(9,K55)</f>
        <v>0</v>
      </c>
      <c r="L54" s="191">
        <f>SUBTOTAL(9,L55)</f>
        <v>0</v>
      </c>
    </row>
    <row r="55" spans="1:12" ht="13.5" customHeight="1">
      <c r="A55" s="196">
        <v>15</v>
      </c>
      <c r="B55" s="197" t="s">
        <v>106</v>
      </c>
      <c r="C55" s="197" t="s">
        <v>162</v>
      </c>
      <c r="D55" s="197" t="s">
        <v>163</v>
      </c>
      <c r="E55" s="198" t="s">
        <v>152</v>
      </c>
      <c r="F55" s="199">
        <v>31.236</v>
      </c>
      <c r="G55" s="231"/>
      <c r="H55" s="200">
        <f>F55*G55</f>
        <v>0</v>
      </c>
      <c r="J55" s="201" t="s">
        <v>109</v>
      </c>
      <c r="K55" s="200" t="str">
        <f>IF(J55="I",H55," ")</f>
        <v xml:space="preserve"> </v>
      </c>
      <c r="L55" s="200">
        <f>IF(J55="N",H55," ")</f>
        <v>0</v>
      </c>
    </row>
    <row r="56" spans="1:12" ht="30.75" customHeight="1">
      <c r="A56" s="186"/>
      <c r="B56" s="187"/>
      <c r="C56" s="187" t="s">
        <v>164</v>
      </c>
      <c r="D56" s="187" t="s">
        <v>165</v>
      </c>
      <c r="E56" s="188"/>
      <c r="F56" s="189"/>
      <c r="G56" s="190"/>
      <c r="H56" s="186">
        <f>SUBTOTAL(9,H57:H161)</f>
        <v>0</v>
      </c>
      <c r="K56" s="186">
        <f>SUBTOTAL(9,K57:K161)</f>
        <v>0</v>
      </c>
      <c r="L56" s="186">
        <f>SUBTOTAL(9,L57:L161)</f>
        <v>0</v>
      </c>
    </row>
    <row r="57" spans="1:12" ht="28.5" customHeight="1">
      <c r="A57" s="191"/>
      <c r="B57" s="192"/>
      <c r="C57" s="192" t="s">
        <v>166</v>
      </c>
      <c r="D57" s="192" t="s">
        <v>167</v>
      </c>
      <c r="E57" s="193"/>
      <c r="F57" s="194"/>
      <c r="G57" s="195"/>
      <c r="H57" s="191">
        <f>SUBTOTAL(9,H58:H64)</f>
        <v>0</v>
      </c>
      <c r="K57" s="191">
        <f>SUBTOTAL(9,K58:K64)</f>
        <v>0</v>
      </c>
      <c r="L57" s="191">
        <f>SUBTOTAL(9,L58:L64)</f>
        <v>0</v>
      </c>
    </row>
    <row r="58" spans="1:12" ht="24" customHeight="1">
      <c r="A58" s="196">
        <v>16</v>
      </c>
      <c r="B58" s="197" t="s">
        <v>168</v>
      </c>
      <c r="C58" s="197" t="s">
        <v>169</v>
      </c>
      <c r="D58" s="197" t="s">
        <v>170</v>
      </c>
      <c r="E58" s="198" t="s">
        <v>171</v>
      </c>
      <c r="F58" s="199">
        <v>24</v>
      </c>
      <c r="G58" s="231"/>
      <c r="H58" s="200">
        <f aca="true" t="shared" si="4" ref="H58:H64">F58*G58</f>
        <v>0</v>
      </c>
      <c r="J58" s="201" t="s">
        <v>109</v>
      </c>
      <c r="K58" s="200" t="str">
        <f aca="true" t="shared" si="5" ref="K58:K64">IF(J58="I",H58," ")</f>
        <v xml:space="preserve"> </v>
      </c>
      <c r="L58" s="200">
        <f aca="true" t="shared" si="6" ref="L58:L64">IF(J58="N",H58," ")</f>
        <v>0</v>
      </c>
    </row>
    <row r="59" spans="1:12" ht="24" customHeight="1">
      <c r="A59" s="196">
        <v>17</v>
      </c>
      <c r="B59" s="197" t="s">
        <v>168</v>
      </c>
      <c r="C59" s="197" t="s">
        <v>172</v>
      </c>
      <c r="D59" s="197" t="s">
        <v>173</v>
      </c>
      <c r="E59" s="198" t="s">
        <v>171</v>
      </c>
      <c r="F59" s="199">
        <v>24</v>
      </c>
      <c r="G59" s="231"/>
      <c r="H59" s="200">
        <f t="shared" si="4"/>
        <v>0</v>
      </c>
      <c r="J59" s="201" t="s">
        <v>109</v>
      </c>
      <c r="K59" s="200" t="str">
        <f t="shared" si="5"/>
        <v xml:space="preserve"> </v>
      </c>
      <c r="L59" s="200">
        <f t="shared" si="6"/>
        <v>0</v>
      </c>
    </row>
    <row r="60" spans="1:12" ht="24" customHeight="1">
      <c r="A60" s="196">
        <v>18</v>
      </c>
      <c r="B60" s="197" t="s">
        <v>168</v>
      </c>
      <c r="C60" s="197" t="s">
        <v>174</v>
      </c>
      <c r="D60" s="197" t="s">
        <v>175</v>
      </c>
      <c r="E60" s="198" t="s">
        <v>171</v>
      </c>
      <c r="F60" s="199">
        <v>24</v>
      </c>
      <c r="G60" s="231"/>
      <c r="H60" s="200">
        <f t="shared" si="4"/>
        <v>0</v>
      </c>
      <c r="J60" s="201" t="s">
        <v>109</v>
      </c>
      <c r="K60" s="200" t="str">
        <f t="shared" si="5"/>
        <v xml:space="preserve"> </v>
      </c>
      <c r="L60" s="200">
        <f t="shared" si="6"/>
        <v>0</v>
      </c>
    </row>
    <row r="61" spans="1:12" ht="24" customHeight="1">
      <c r="A61" s="196">
        <v>19</v>
      </c>
      <c r="B61" s="197" t="s">
        <v>168</v>
      </c>
      <c r="C61" s="197" t="s">
        <v>176</v>
      </c>
      <c r="D61" s="197" t="s">
        <v>177</v>
      </c>
      <c r="E61" s="198" t="s">
        <v>171</v>
      </c>
      <c r="F61" s="199">
        <v>24</v>
      </c>
      <c r="G61" s="231"/>
      <c r="H61" s="200">
        <f t="shared" si="4"/>
        <v>0</v>
      </c>
      <c r="J61" s="201" t="s">
        <v>109</v>
      </c>
      <c r="K61" s="200" t="str">
        <f t="shared" si="5"/>
        <v xml:space="preserve"> </v>
      </c>
      <c r="L61" s="200">
        <f t="shared" si="6"/>
        <v>0</v>
      </c>
    </row>
    <row r="62" spans="1:12" ht="24" customHeight="1">
      <c r="A62" s="196">
        <v>20</v>
      </c>
      <c r="B62" s="197" t="s">
        <v>168</v>
      </c>
      <c r="C62" s="197" t="s">
        <v>178</v>
      </c>
      <c r="D62" s="197" t="s">
        <v>179</v>
      </c>
      <c r="E62" s="198" t="s">
        <v>171</v>
      </c>
      <c r="F62" s="199">
        <v>48</v>
      </c>
      <c r="G62" s="231"/>
      <c r="H62" s="200">
        <f t="shared" si="4"/>
        <v>0</v>
      </c>
      <c r="J62" s="201" t="s">
        <v>109</v>
      </c>
      <c r="K62" s="200" t="str">
        <f t="shared" si="5"/>
        <v xml:space="preserve"> </v>
      </c>
      <c r="L62" s="200">
        <f t="shared" si="6"/>
        <v>0</v>
      </c>
    </row>
    <row r="63" spans="1:12" ht="24" customHeight="1">
      <c r="A63" s="196">
        <v>21</v>
      </c>
      <c r="B63" s="197" t="s">
        <v>168</v>
      </c>
      <c r="C63" s="197" t="s">
        <v>180</v>
      </c>
      <c r="D63" s="197" t="s">
        <v>181</v>
      </c>
      <c r="E63" s="198" t="s">
        <v>171</v>
      </c>
      <c r="F63" s="199">
        <v>24</v>
      </c>
      <c r="G63" s="231"/>
      <c r="H63" s="200">
        <f t="shared" si="4"/>
        <v>0</v>
      </c>
      <c r="J63" s="201" t="s">
        <v>109</v>
      </c>
      <c r="K63" s="200" t="str">
        <f t="shared" si="5"/>
        <v xml:space="preserve"> </v>
      </c>
      <c r="L63" s="200">
        <f t="shared" si="6"/>
        <v>0</v>
      </c>
    </row>
    <row r="64" spans="1:12" ht="13.5" customHeight="1">
      <c r="A64" s="196">
        <v>22</v>
      </c>
      <c r="B64" s="197" t="s">
        <v>168</v>
      </c>
      <c r="C64" s="197" t="s">
        <v>182</v>
      </c>
      <c r="D64" s="197" t="s">
        <v>183</v>
      </c>
      <c r="E64" s="198" t="s">
        <v>184</v>
      </c>
      <c r="F64" s="199">
        <v>72</v>
      </c>
      <c r="G64" s="231"/>
      <c r="H64" s="200">
        <f t="shared" si="4"/>
        <v>0</v>
      </c>
      <c r="J64" s="201" t="s">
        <v>109</v>
      </c>
      <c r="K64" s="200" t="str">
        <f t="shared" si="5"/>
        <v xml:space="preserve"> </v>
      </c>
      <c r="L64" s="200">
        <f t="shared" si="6"/>
        <v>0</v>
      </c>
    </row>
    <row r="65" spans="1:12" ht="28.5" customHeight="1">
      <c r="A65" s="191"/>
      <c r="B65" s="192"/>
      <c r="C65" s="192" t="s">
        <v>185</v>
      </c>
      <c r="D65" s="192" t="s">
        <v>186</v>
      </c>
      <c r="E65" s="193"/>
      <c r="F65" s="194"/>
      <c r="G65" s="195"/>
      <c r="H65" s="191">
        <f>SUBTOTAL(9,H66)</f>
        <v>0</v>
      </c>
      <c r="K65" s="191">
        <f>SUBTOTAL(9,K66)</f>
        <v>0</v>
      </c>
      <c r="L65" s="191">
        <f>SUBTOTAL(9,L66)</f>
        <v>0</v>
      </c>
    </row>
    <row r="66" spans="1:12" ht="13.5" customHeight="1">
      <c r="A66" s="196">
        <v>23</v>
      </c>
      <c r="B66" s="197" t="s">
        <v>185</v>
      </c>
      <c r="C66" s="197" t="s">
        <v>187</v>
      </c>
      <c r="D66" s="197" t="s">
        <v>188</v>
      </c>
      <c r="E66" s="198" t="s">
        <v>184</v>
      </c>
      <c r="F66" s="199">
        <v>24</v>
      </c>
      <c r="G66" s="231"/>
      <c r="H66" s="200">
        <f>F66*G66</f>
        <v>0</v>
      </c>
      <c r="J66" s="201" t="s">
        <v>109</v>
      </c>
      <c r="K66" s="200" t="str">
        <f>IF(J66="I",H66," ")</f>
        <v xml:space="preserve"> </v>
      </c>
      <c r="L66" s="200">
        <f>IF(J66="N",H66," ")</f>
        <v>0</v>
      </c>
    </row>
    <row r="67" spans="1:12" ht="28.5" customHeight="1">
      <c r="A67" s="191"/>
      <c r="B67" s="192"/>
      <c r="C67" s="192" t="s">
        <v>189</v>
      </c>
      <c r="D67" s="192" t="s">
        <v>190</v>
      </c>
      <c r="E67" s="193"/>
      <c r="F67" s="194"/>
      <c r="G67" s="195"/>
      <c r="H67" s="191">
        <f>SUBTOTAL(9,H68:H89)</f>
        <v>0</v>
      </c>
      <c r="K67" s="191">
        <f>SUBTOTAL(9,K68:K89)</f>
        <v>0</v>
      </c>
      <c r="L67" s="191">
        <f>SUBTOTAL(9,L68:L89)</f>
        <v>0</v>
      </c>
    </row>
    <row r="68" spans="1:12" ht="24" customHeight="1">
      <c r="A68" s="196">
        <v>24</v>
      </c>
      <c r="B68" s="197" t="s">
        <v>189</v>
      </c>
      <c r="C68" s="197" t="s">
        <v>191</v>
      </c>
      <c r="D68" s="197" t="s">
        <v>192</v>
      </c>
      <c r="E68" s="198" t="s">
        <v>102</v>
      </c>
      <c r="F68" s="199">
        <f>SUM(F70:F71)</f>
        <v>93.92</v>
      </c>
      <c r="G68" s="231"/>
      <c r="H68" s="200">
        <f>F68*G68</f>
        <v>0</v>
      </c>
      <c r="J68" s="201" t="s">
        <v>103</v>
      </c>
      <c r="K68" s="200">
        <f>IF(J68="I",H68," ")</f>
        <v>0</v>
      </c>
      <c r="L68" s="200" t="str">
        <f>IF(J68="N",H68," ")</f>
        <v xml:space="preserve"> </v>
      </c>
    </row>
    <row r="69" spans="1:12" ht="13.5" customHeight="1">
      <c r="A69" s="207"/>
      <c r="B69" s="208"/>
      <c r="C69" s="208"/>
      <c r="D69" s="208" t="s">
        <v>193</v>
      </c>
      <c r="E69" s="209"/>
      <c r="F69" s="210"/>
      <c r="G69" s="211"/>
      <c r="H69" s="211"/>
      <c r="K69" s="211"/>
      <c r="L69" s="211"/>
    </row>
    <row r="70" spans="1:8" ht="13.5" customHeight="1">
      <c r="A70" s="202"/>
      <c r="B70" s="203"/>
      <c r="C70" s="203"/>
      <c r="D70" s="203" t="s">
        <v>194</v>
      </c>
      <c r="E70" s="204"/>
      <c r="F70" s="205">
        <f>16*(2.93+1.24)</f>
        <v>66.72</v>
      </c>
      <c r="G70" s="206"/>
      <c r="H70" s="206"/>
    </row>
    <row r="71" spans="1:8" ht="13.5" customHeight="1">
      <c r="A71" s="202"/>
      <c r="B71" s="203"/>
      <c r="C71" s="203"/>
      <c r="D71" s="203" t="s">
        <v>195</v>
      </c>
      <c r="E71" s="204"/>
      <c r="F71" s="205">
        <v>27.2</v>
      </c>
      <c r="G71" s="206"/>
      <c r="H71" s="206"/>
    </row>
    <row r="72" spans="1:12" ht="13.5" customHeight="1">
      <c r="A72" s="196">
        <v>25</v>
      </c>
      <c r="B72" s="197" t="s">
        <v>189</v>
      </c>
      <c r="C72" s="197" t="s">
        <v>196</v>
      </c>
      <c r="D72" s="197" t="s">
        <v>197</v>
      </c>
      <c r="E72" s="198" t="s">
        <v>184</v>
      </c>
      <c r="F72" s="199">
        <v>72</v>
      </c>
      <c r="G72" s="231"/>
      <c r="H72" s="200">
        <f>F72*G72</f>
        <v>0</v>
      </c>
      <c r="J72" s="201" t="s">
        <v>109</v>
      </c>
      <c r="K72" s="200" t="str">
        <f aca="true" t="shared" si="7" ref="K72:K75">IF(J72="I",H72," ")</f>
        <v xml:space="preserve"> </v>
      </c>
      <c r="L72" s="200">
        <f aca="true" t="shared" si="8" ref="L72:L75">IF(J72="N",H72," ")</f>
        <v>0</v>
      </c>
    </row>
    <row r="73" spans="1:12" ht="24" customHeight="1">
      <c r="A73" s="212">
        <v>26</v>
      </c>
      <c r="B73" s="213" t="s">
        <v>198</v>
      </c>
      <c r="C73" s="213" t="s">
        <v>199</v>
      </c>
      <c r="D73" s="213" t="s">
        <v>200</v>
      </c>
      <c r="E73" s="214" t="s">
        <v>184</v>
      </c>
      <c r="F73" s="215">
        <v>48</v>
      </c>
      <c r="G73" s="232"/>
      <c r="H73" s="216">
        <f>F73*G73</f>
        <v>0</v>
      </c>
      <c r="J73" s="201" t="s">
        <v>109</v>
      </c>
      <c r="K73" s="200" t="str">
        <f t="shared" si="7"/>
        <v xml:space="preserve"> </v>
      </c>
      <c r="L73" s="200">
        <f t="shared" si="8"/>
        <v>0</v>
      </c>
    </row>
    <row r="74" spans="1:12" ht="24" customHeight="1">
      <c r="A74" s="212">
        <v>27</v>
      </c>
      <c r="B74" s="213" t="s">
        <v>198</v>
      </c>
      <c r="C74" s="213" t="s">
        <v>201</v>
      </c>
      <c r="D74" s="213" t="s">
        <v>202</v>
      </c>
      <c r="E74" s="214" t="s">
        <v>184</v>
      </c>
      <c r="F74" s="215">
        <v>24</v>
      </c>
      <c r="G74" s="232"/>
      <c r="H74" s="216">
        <f>F74*G74</f>
        <v>0</v>
      </c>
      <c r="J74" s="201" t="s">
        <v>109</v>
      </c>
      <c r="K74" s="200" t="str">
        <f t="shared" si="7"/>
        <v xml:space="preserve"> </v>
      </c>
      <c r="L74" s="200">
        <f t="shared" si="8"/>
        <v>0</v>
      </c>
    </row>
    <row r="75" spans="1:12" ht="24" customHeight="1">
      <c r="A75" s="196">
        <v>28</v>
      </c>
      <c r="B75" s="197" t="s">
        <v>189</v>
      </c>
      <c r="C75" s="197" t="s">
        <v>203</v>
      </c>
      <c r="D75" s="197" t="s">
        <v>204</v>
      </c>
      <c r="E75" s="198" t="s">
        <v>102</v>
      </c>
      <c r="F75" s="199">
        <f>SUM(F76:F79)</f>
        <v>226.608</v>
      </c>
      <c r="G75" s="231"/>
      <c r="H75" s="200">
        <f>F75*G75</f>
        <v>0</v>
      </c>
      <c r="J75" s="201" t="s">
        <v>109</v>
      </c>
      <c r="K75" s="200" t="str">
        <f t="shared" si="7"/>
        <v xml:space="preserve"> </v>
      </c>
      <c r="L75" s="200">
        <f t="shared" si="8"/>
        <v>0</v>
      </c>
    </row>
    <row r="76" spans="1:8" ht="13.5" customHeight="1">
      <c r="A76" s="202"/>
      <c r="B76" s="203"/>
      <c r="C76" s="203"/>
      <c r="D76" s="203" t="s">
        <v>205</v>
      </c>
      <c r="E76" s="204"/>
      <c r="F76" s="205">
        <f>16*(1.725+1.3+1.78)*2.8</f>
        <v>215.264</v>
      </c>
      <c r="G76" s="206"/>
      <c r="H76" s="206"/>
    </row>
    <row r="77" spans="1:8" ht="13.5" customHeight="1">
      <c r="A77" s="202"/>
      <c r="B77" s="203"/>
      <c r="C77" s="203"/>
      <c r="D77" s="203" t="s">
        <v>206</v>
      </c>
      <c r="E77" s="204"/>
      <c r="F77" s="205">
        <v>115.36</v>
      </c>
      <c r="G77" s="206"/>
      <c r="H77" s="206"/>
    </row>
    <row r="78" spans="1:8" ht="13.5" customHeight="1">
      <c r="A78" s="202"/>
      <c r="B78" s="203"/>
      <c r="C78" s="203"/>
      <c r="D78" s="203" t="s">
        <v>207</v>
      </c>
      <c r="E78" s="204"/>
      <c r="F78" s="205">
        <f>-0.7*1.97*48</f>
        <v>-66.19200000000001</v>
      </c>
      <c r="G78" s="206"/>
      <c r="H78" s="206"/>
    </row>
    <row r="79" spans="1:8" ht="13.5" customHeight="1">
      <c r="A79" s="202"/>
      <c r="B79" s="203"/>
      <c r="C79" s="203"/>
      <c r="D79" s="203" t="s">
        <v>208</v>
      </c>
      <c r="E79" s="204"/>
      <c r="F79" s="205">
        <f>-0.8*1.97*24</f>
        <v>-37.824</v>
      </c>
      <c r="G79" s="206"/>
      <c r="H79" s="206"/>
    </row>
    <row r="80" spans="1:12" ht="24" customHeight="1">
      <c r="A80" s="196">
        <v>29</v>
      </c>
      <c r="B80" s="197" t="s">
        <v>189</v>
      </c>
      <c r="C80" s="197" t="s">
        <v>209</v>
      </c>
      <c r="D80" s="197" t="s">
        <v>210</v>
      </c>
      <c r="E80" s="198" t="s">
        <v>102</v>
      </c>
      <c r="F80" s="199">
        <f>SUM(F81:F82)</f>
        <v>217.728</v>
      </c>
      <c r="G80" s="231"/>
      <c r="H80" s="200">
        <f>F80*G80</f>
        <v>0</v>
      </c>
      <c r="J80" s="201" t="s">
        <v>109</v>
      </c>
      <c r="K80" s="200" t="str">
        <f>IF(J80="I",H80," ")</f>
        <v xml:space="preserve"> </v>
      </c>
      <c r="L80" s="200">
        <f>IF(J80="N",H80," ")</f>
        <v>0</v>
      </c>
    </row>
    <row r="81" spans="1:8" ht="13.5" customHeight="1">
      <c r="A81" s="202"/>
      <c r="B81" s="203"/>
      <c r="C81" s="203"/>
      <c r="D81" s="203" t="s">
        <v>211</v>
      </c>
      <c r="E81" s="204"/>
      <c r="F81" s="205">
        <f>16*(1.8+1.3)*2.8</f>
        <v>138.88</v>
      </c>
      <c r="G81" s="206"/>
      <c r="H81" s="206"/>
    </row>
    <row r="82" spans="1:8" ht="13.5" customHeight="1">
      <c r="A82" s="202"/>
      <c r="B82" s="203"/>
      <c r="C82" s="203"/>
      <c r="D82" s="203" t="s">
        <v>212</v>
      </c>
      <c r="E82" s="204"/>
      <c r="F82" s="205">
        <v>78.848</v>
      </c>
      <c r="G82" s="206"/>
      <c r="H82" s="206"/>
    </row>
    <row r="83" spans="1:12" ht="24" customHeight="1">
      <c r="A83" s="196">
        <v>30</v>
      </c>
      <c r="B83" s="197" t="s">
        <v>189</v>
      </c>
      <c r="C83" s="197" t="s">
        <v>213</v>
      </c>
      <c r="D83" s="197" t="s">
        <v>214</v>
      </c>
      <c r="E83" s="198" t="s">
        <v>102</v>
      </c>
      <c r="F83" s="199">
        <f>SUM(F84:F85)</f>
        <v>162.176</v>
      </c>
      <c r="G83" s="231"/>
      <c r="H83" s="200">
        <f>F83*G83</f>
        <v>0</v>
      </c>
      <c r="J83" s="201" t="s">
        <v>109</v>
      </c>
      <c r="K83" s="200" t="str">
        <f>IF(J83="I",H83," ")</f>
        <v xml:space="preserve"> </v>
      </c>
      <c r="L83" s="200">
        <f>IF(J83="N",H83," ")</f>
        <v>0</v>
      </c>
    </row>
    <row r="84" spans="1:8" ht="13.5" customHeight="1">
      <c r="A84" s="202"/>
      <c r="B84" s="203"/>
      <c r="C84" s="203"/>
      <c r="D84" s="203" t="s">
        <v>215</v>
      </c>
      <c r="E84" s="204"/>
      <c r="F84" s="205">
        <f>16*2*(1+0.36)*2.8</f>
        <v>121.85599999999998</v>
      </c>
      <c r="G84" s="206"/>
      <c r="H84" s="206"/>
    </row>
    <row r="85" spans="1:8" ht="13.5" customHeight="1">
      <c r="A85" s="202"/>
      <c r="B85" s="203"/>
      <c r="C85" s="203"/>
      <c r="D85" s="203" t="s">
        <v>216</v>
      </c>
      <c r="E85" s="204"/>
      <c r="F85" s="205">
        <v>40.32</v>
      </c>
      <c r="G85" s="206"/>
      <c r="H85" s="206"/>
    </row>
    <row r="86" spans="1:12" ht="24" customHeight="1">
      <c r="A86" s="196">
        <v>31</v>
      </c>
      <c r="B86" s="197" t="s">
        <v>189</v>
      </c>
      <c r="C86" s="197" t="s">
        <v>217</v>
      </c>
      <c r="D86" s="197" t="s">
        <v>218</v>
      </c>
      <c r="E86" s="198" t="s">
        <v>102</v>
      </c>
      <c r="F86" s="199">
        <f>SUM(F87:F88)</f>
        <v>601.888</v>
      </c>
      <c r="G86" s="231"/>
      <c r="H86" s="200">
        <f>F86*G86</f>
        <v>0</v>
      </c>
      <c r="J86" s="201" t="s">
        <v>109</v>
      </c>
      <c r="K86" s="200" t="str">
        <f>IF(J86="I",H86," ")</f>
        <v xml:space="preserve"> </v>
      </c>
      <c r="L86" s="200">
        <f>IF(J86="N",H86," ")</f>
        <v>0</v>
      </c>
    </row>
    <row r="87" spans="1:8" ht="13.5" customHeight="1">
      <c r="A87" s="202"/>
      <c r="B87" s="203"/>
      <c r="C87" s="203"/>
      <c r="D87" s="203" t="s">
        <v>219</v>
      </c>
      <c r="E87" s="204"/>
      <c r="F87" s="205">
        <f>16*(3*1.6+2.5+0.825)*2.8</f>
        <v>364</v>
      </c>
      <c r="G87" s="206"/>
      <c r="H87" s="206"/>
    </row>
    <row r="88" spans="1:8" ht="13.5" customHeight="1">
      <c r="A88" s="202"/>
      <c r="B88" s="203"/>
      <c r="C88" s="203"/>
      <c r="D88" s="203" t="s">
        <v>220</v>
      </c>
      <c r="E88" s="204"/>
      <c r="F88" s="205">
        <v>237.888</v>
      </c>
      <c r="G88" s="206"/>
      <c r="H88" s="206"/>
    </row>
    <row r="89" spans="1:12" ht="24" customHeight="1">
      <c r="A89" s="196">
        <v>32</v>
      </c>
      <c r="B89" s="197" t="s">
        <v>189</v>
      </c>
      <c r="C89" s="197" t="s">
        <v>221</v>
      </c>
      <c r="D89" s="197" t="s">
        <v>222</v>
      </c>
      <c r="E89" s="198" t="s">
        <v>152</v>
      </c>
      <c r="F89" s="199">
        <v>20.68486956521739</v>
      </c>
      <c r="G89" s="231"/>
      <c r="H89" s="200">
        <f>F89*G89</f>
        <v>0</v>
      </c>
      <c r="J89" s="201" t="s">
        <v>109</v>
      </c>
      <c r="K89" s="200" t="str">
        <f>IF(J89="I",H89," ")</f>
        <v xml:space="preserve"> </v>
      </c>
      <c r="L89" s="200">
        <f>IF(J89="N",H89," ")</f>
        <v>0</v>
      </c>
    </row>
    <row r="90" spans="1:12" ht="28.5" customHeight="1">
      <c r="A90" s="191"/>
      <c r="B90" s="192"/>
      <c r="C90" s="192" t="s">
        <v>223</v>
      </c>
      <c r="D90" s="192" t="s">
        <v>224</v>
      </c>
      <c r="E90" s="193"/>
      <c r="F90" s="194"/>
      <c r="G90" s="195"/>
      <c r="H90" s="191">
        <f>SUBTOTAL(9,H91:H102)</f>
        <v>0</v>
      </c>
      <c r="K90" s="191">
        <f>SUBTOTAL(9,K91:K102)</f>
        <v>0</v>
      </c>
      <c r="L90" s="191">
        <f>SUBTOTAL(9,L91:L102)</f>
        <v>0</v>
      </c>
    </row>
    <row r="91" spans="1:12" ht="24" customHeight="1">
      <c r="A91" s="196">
        <v>33</v>
      </c>
      <c r="B91" s="197" t="s">
        <v>223</v>
      </c>
      <c r="C91" s="197" t="s">
        <v>225</v>
      </c>
      <c r="D91" s="197" t="s">
        <v>226</v>
      </c>
      <c r="E91" s="198" t="s">
        <v>184</v>
      </c>
      <c r="F91" s="199">
        <v>72</v>
      </c>
      <c r="G91" s="231"/>
      <c r="H91" s="200">
        <f aca="true" t="shared" si="9" ref="H91:H102">F91*G91</f>
        <v>0</v>
      </c>
      <c r="J91" s="201" t="s">
        <v>109</v>
      </c>
      <c r="K91" s="200" t="str">
        <f aca="true" t="shared" si="10" ref="K91:K102">IF(J91="I",H91," ")</f>
        <v xml:space="preserve"> </v>
      </c>
      <c r="L91" s="200">
        <f aca="true" t="shared" si="11" ref="L91:L102">IF(J91="N",H91," ")</f>
        <v>0</v>
      </c>
    </row>
    <row r="92" spans="1:12" ht="24" customHeight="1">
      <c r="A92" s="212">
        <v>34</v>
      </c>
      <c r="B92" s="213" t="s">
        <v>227</v>
      </c>
      <c r="C92" s="213" t="s">
        <v>228</v>
      </c>
      <c r="D92" s="213" t="s">
        <v>229</v>
      </c>
      <c r="E92" s="214" t="s">
        <v>184</v>
      </c>
      <c r="F92" s="215">
        <v>48</v>
      </c>
      <c r="G92" s="232"/>
      <c r="H92" s="216">
        <f t="shared" si="9"/>
        <v>0</v>
      </c>
      <c r="J92" s="201" t="s">
        <v>109</v>
      </c>
      <c r="K92" s="200" t="str">
        <f t="shared" si="10"/>
        <v xml:space="preserve"> </v>
      </c>
      <c r="L92" s="200">
        <f t="shared" si="11"/>
        <v>0</v>
      </c>
    </row>
    <row r="93" spans="1:12" ht="24" customHeight="1">
      <c r="A93" s="212">
        <v>35</v>
      </c>
      <c r="B93" s="213" t="s">
        <v>227</v>
      </c>
      <c r="C93" s="213" t="s">
        <v>230</v>
      </c>
      <c r="D93" s="213" t="s">
        <v>231</v>
      </c>
      <c r="E93" s="214" t="s">
        <v>184</v>
      </c>
      <c r="F93" s="215">
        <v>24</v>
      </c>
      <c r="G93" s="232"/>
      <c r="H93" s="216">
        <f t="shared" si="9"/>
        <v>0</v>
      </c>
      <c r="J93" s="201" t="s">
        <v>109</v>
      </c>
      <c r="K93" s="200" t="str">
        <f t="shared" si="10"/>
        <v xml:space="preserve"> </v>
      </c>
      <c r="L93" s="200">
        <f t="shared" si="11"/>
        <v>0</v>
      </c>
    </row>
    <row r="94" spans="1:12" ht="13.5" customHeight="1">
      <c r="A94" s="196">
        <v>36</v>
      </c>
      <c r="B94" s="197" t="s">
        <v>223</v>
      </c>
      <c r="C94" s="197" t="s">
        <v>232</v>
      </c>
      <c r="D94" s="197" t="s">
        <v>233</v>
      </c>
      <c r="E94" s="198" t="s">
        <v>184</v>
      </c>
      <c r="F94" s="199">
        <v>24</v>
      </c>
      <c r="G94" s="231"/>
      <c r="H94" s="200">
        <f t="shared" si="9"/>
        <v>0</v>
      </c>
      <c r="J94" s="201" t="s">
        <v>109</v>
      </c>
      <c r="K94" s="200" t="str">
        <f t="shared" si="10"/>
        <v xml:space="preserve"> </v>
      </c>
      <c r="L94" s="200">
        <f t="shared" si="11"/>
        <v>0</v>
      </c>
    </row>
    <row r="95" spans="1:12" ht="13.5" customHeight="1">
      <c r="A95" s="212">
        <v>37</v>
      </c>
      <c r="B95" s="213" t="s">
        <v>234</v>
      </c>
      <c r="C95" s="213" t="s">
        <v>235</v>
      </c>
      <c r="D95" s="213" t="s">
        <v>236</v>
      </c>
      <c r="E95" s="214" t="s">
        <v>184</v>
      </c>
      <c r="F95" s="215">
        <v>24</v>
      </c>
      <c r="G95" s="232"/>
      <c r="H95" s="216">
        <f t="shared" si="9"/>
        <v>0</v>
      </c>
      <c r="J95" s="201" t="s">
        <v>109</v>
      </c>
      <c r="K95" s="200" t="str">
        <f t="shared" si="10"/>
        <v xml:space="preserve"> </v>
      </c>
      <c r="L95" s="200">
        <f t="shared" si="11"/>
        <v>0</v>
      </c>
    </row>
    <row r="96" spans="1:12" ht="13.5" customHeight="1">
      <c r="A96" s="196">
        <v>38</v>
      </c>
      <c r="B96" s="197" t="s">
        <v>223</v>
      </c>
      <c r="C96" s="197" t="s">
        <v>237</v>
      </c>
      <c r="D96" s="197" t="s">
        <v>238</v>
      </c>
      <c r="E96" s="198" t="s">
        <v>184</v>
      </c>
      <c r="F96" s="199">
        <v>48</v>
      </c>
      <c r="G96" s="231"/>
      <c r="H96" s="200">
        <f t="shared" si="9"/>
        <v>0</v>
      </c>
      <c r="J96" s="201" t="s">
        <v>109</v>
      </c>
      <c r="K96" s="200" t="str">
        <f t="shared" si="10"/>
        <v xml:space="preserve"> </v>
      </c>
      <c r="L96" s="200">
        <f t="shared" si="11"/>
        <v>0</v>
      </c>
    </row>
    <row r="97" spans="1:12" ht="13.5" customHeight="1">
      <c r="A97" s="212">
        <v>39</v>
      </c>
      <c r="B97" s="213" t="s">
        <v>234</v>
      </c>
      <c r="C97" s="213" t="s">
        <v>239</v>
      </c>
      <c r="D97" s="213" t="s">
        <v>240</v>
      </c>
      <c r="E97" s="214" t="s">
        <v>184</v>
      </c>
      <c r="F97" s="215">
        <v>48</v>
      </c>
      <c r="G97" s="232"/>
      <c r="H97" s="216">
        <f t="shared" si="9"/>
        <v>0</v>
      </c>
      <c r="J97" s="201" t="s">
        <v>109</v>
      </c>
      <c r="K97" s="200" t="str">
        <f t="shared" si="10"/>
        <v xml:space="preserve"> </v>
      </c>
      <c r="L97" s="200">
        <f t="shared" si="11"/>
        <v>0</v>
      </c>
    </row>
    <row r="98" spans="1:12" ht="13.5" customHeight="1">
      <c r="A98" s="196">
        <v>40</v>
      </c>
      <c r="B98" s="197" t="s">
        <v>223</v>
      </c>
      <c r="C98" s="197" t="s">
        <v>241</v>
      </c>
      <c r="D98" s="197" t="s">
        <v>242</v>
      </c>
      <c r="E98" s="198" t="s">
        <v>184</v>
      </c>
      <c r="F98" s="199">
        <v>48</v>
      </c>
      <c r="G98" s="231"/>
      <c r="H98" s="200">
        <f t="shared" si="9"/>
        <v>0</v>
      </c>
      <c r="J98" s="201" t="s">
        <v>109</v>
      </c>
      <c r="K98" s="200" t="str">
        <f t="shared" si="10"/>
        <v xml:space="preserve"> </v>
      </c>
      <c r="L98" s="200">
        <f t="shared" si="11"/>
        <v>0</v>
      </c>
    </row>
    <row r="99" spans="1:12" ht="24" customHeight="1">
      <c r="A99" s="196">
        <v>41</v>
      </c>
      <c r="B99" s="197" t="s">
        <v>223</v>
      </c>
      <c r="C99" s="197" t="s">
        <v>243</v>
      </c>
      <c r="D99" s="197" t="s">
        <v>244</v>
      </c>
      <c r="E99" s="198" t="s">
        <v>184</v>
      </c>
      <c r="F99" s="199">
        <v>24</v>
      </c>
      <c r="G99" s="231"/>
      <c r="H99" s="200">
        <f t="shared" si="9"/>
        <v>0</v>
      </c>
      <c r="J99" s="201" t="s">
        <v>109</v>
      </c>
      <c r="K99" s="200" t="str">
        <f t="shared" si="10"/>
        <v xml:space="preserve"> </v>
      </c>
      <c r="L99" s="200">
        <f t="shared" si="11"/>
        <v>0</v>
      </c>
    </row>
    <row r="100" spans="1:12" ht="13.5" customHeight="1">
      <c r="A100" s="196">
        <v>42</v>
      </c>
      <c r="B100" s="197" t="s">
        <v>223</v>
      </c>
      <c r="C100" s="197" t="s">
        <v>245</v>
      </c>
      <c r="D100" s="197" t="s">
        <v>246</v>
      </c>
      <c r="E100" s="198" t="s">
        <v>184</v>
      </c>
      <c r="F100" s="199">
        <v>1</v>
      </c>
      <c r="G100" s="231"/>
      <c r="H100" s="200">
        <f t="shared" si="9"/>
        <v>0</v>
      </c>
      <c r="J100" s="201" t="s">
        <v>109</v>
      </c>
      <c r="K100" s="200" t="str">
        <f t="shared" si="10"/>
        <v xml:space="preserve"> </v>
      </c>
      <c r="L100" s="200">
        <f t="shared" si="11"/>
        <v>0</v>
      </c>
    </row>
    <row r="101" spans="1:12" ht="13.5" customHeight="1">
      <c r="A101" s="196">
        <v>43</v>
      </c>
      <c r="B101" s="197" t="s">
        <v>247</v>
      </c>
      <c r="C101" s="197" t="s">
        <v>248</v>
      </c>
      <c r="D101" s="197" t="s">
        <v>249</v>
      </c>
      <c r="E101" s="198" t="s">
        <v>184</v>
      </c>
      <c r="F101" s="199">
        <v>24</v>
      </c>
      <c r="G101" s="231"/>
      <c r="H101" s="200">
        <f t="shared" si="9"/>
        <v>0</v>
      </c>
      <c r="J101" s="201" t="s">
        <v>109</v>
      </c>
      <c r="K101" s="200" t="str">
        <f t="shared" si="10"/>
        <v xml:space="preserve"> </v>
      </c>
      <c r="L101" s="200">
        <f t="shared" si="11"/>
        <v>0</v>
      </c>
    </row>
    <row r="102" spans="1:12" ht="20.4">
      <c r="A102" s="196">
        <v>44</v>
      </c>
      <c r="B102" s="197" t="s">
        <v>223</v>
      </c>
      <c r="C102" s="197" t="s">
        <v>250</v>
      </c>
      <c r="D102" s="197" t="s">
        <v>251</v>
      </c>
      <c r="E102" s="198" t="s">
        <v>152</v>
      </c>
      <c r="F102" s="199">
        <v>1.2386086956521738</v>
      </c>
      <c r="G102" s="231"/>
      <c r="H102" s="200">
        <f t="shared" si="9"/>
        <v>0</v>
      </c>
      <c r="J102" s="201" t="s">
        <v>109</v>
      </c>
      <c r="K102" s="200" t="str">
        <f t="shared" si="10"/>
        <v xml:space="preserve"> </v>
      </c>
      <c r="L102" s="200">
        <f t="shared" si="11"/>
        <v>0</v>
      </c>
    </row>
    <row r="103" spans="1:12" ht="28.5" customHeight="1">
      <c r="A103" s="191"/>
      <c r="B103" s="192"/>
      <c r="C103" s="192" t="s">
        <v>252</v>
      </c>
      <c r="D103" s="192" t="s">
        <v>253</v>
      </c>
      <c r="E103" s="193"/>
      <c r="F103" s="194"/>
      <c r="G103" s="195"/>
      <c r="H103" s="191">
        <f>SUBTOTAL(9,H104:H114)</f>
        <v>0</v>
      </c>
      <c r="K103" s="191">
        <f>SUBTOTAL(9,K104:K114)</f>
        <v>0</v>
      </c>
      <c r="L103" s="191">
        <f>SUBTOTAL(9,L104:L114)</f>
        <v>0</v>
      </c>
    </row>
    <row r="104" spans="1:12" ht="13.5" customHeight="1">
      <c r="A104" s="196">
        <v>45</v>
      </c>
      <c r="B104" s="197" t="s">
        <v>252</v>
      </c>
      <c r="C104" s="197" t="s">
        <v>254</v>
      </c>
      <c r="D104" s="197" t="s">
        <v>255</v>
      </c>
      <c r="E104" s="198" t="s">
        <v>102</v>
      </c>
      <c r="F104" s="199">
        <v>93.92</v>
      </c>
      <c r="G104" s="231"/>
      <c r="H104" s="200">
        <f>F104*G104</f>
        <v>0</v>
      </c>
      <c r="J104" s="201" t="s">
        <v>109</v>
      </c>
      <c r="K104" s="200" t="str">
        <f aca="true" t="shared" si="12" ref="K104:K105">IF(J104="I",H104," ")</f>
        <v xml:space="preserve"> </v>
      </c>
      <c r="L104" s="200">
        <f aca="true" t="shared" si="13" ref="L104:L105">IF(J104="N",H104," ")</f>
        <v>0</v>
      </c>
    </row>
    <row r="105" spans="1:12" ht="13.5" customHeight="1">
      <c r="A105" s="196">
        <v>46</v>
      </c>
      <c r="B105" s="197" t="s">
        <v>252</v>
      </c>
      <c r="C105" s="197" t="s">
        <v>256</v>
      </c>
      <c r="D105" s="197" t="s">
        <v>257</v>
      </c>
      <c r="E105" s="198" t="s">
        <v>102</v>
      </c>
      <c r="F105" s="199">
        <f>F106</f>
        <v>84.96000000000001</v>
      </c>
      <c r="G105" s="231"/>
      <c r="H105" s="200">
        <f>F105*G105</f>
        <v>0</v>
      </c>
      <c r="J105" s="201" t="s">
        <v>109</v>
      </c>
      <c r="K105" s="200" t="str">
        <f t="shared" si="12"/>
        <v xml:space="preserve"> </v>
      </c>
      <c r="L105" s="200">
        <f t="shared" si="13"/>
        <v>0</v>
      </c>
    </row>
    <row r="106" spans="1:8" ht="13.5" customHeight="1">
      <c r="A106" s="202"/>
      <c r="B106" s="203"/>
      <c r="C106" s="203"/>
      <c r="D106" s="203" t="s">
        <v>258</v>
      </c>
      <c r="E106" s="204"/>
      <c r="F106" s="205">
        <f>24*(2.56+0.98)</f>
        <v>84.96000000000001</v>
      </c>
      <c r="G106" s="206"/>
      <c r="H106" s="206"/>
    </row>
    <row r="107" spans="1:12" ht="24" customHeight="1">
      <c r="A107" s="196">
        <v>47</v>
      </c>
      <c r="B107" s="197" t="s">
        <v>259</v>
      </c>
      <c r="C107" s="197" t="s">
        <v>260</v>
      </c>
      <c r="D107" s="197" t="s">
        <v>261</v>
      </c>
      <c r="E107" s="198" t="s">
        <v>102</v>
      </c>
      <c r="F107" s="199">
        <v>93.92</v>
      </c>
      <c r="G107" s="231"/>
      <c r="H107" s="200">
        <f>F107*G107</f>
        <v>0</v>
      </c>
      <c r="J107" s="201" t="s">
        <v>103</v>
      </c>
      <c r="K107" s="200">
        <f aca="true" t="shared" si="14" ref="K107:K108">IF(J107="I",H107," ")</f>
        <v>0</v>
      </c>
      <c r="L107" s="200" t="str">
        <f aca="true" t="shared" si="15" ref="L107:L108">IF(J107="N",H107," ")</f>
        <v xml:space="preserve"> </v>
      </c>
    </row>
    <row r="108" spans="1:12" ht="24" customHeight="1">
      <c r="A108" s="196">
        <v>48</v>
      </c>
      <c r="B108" s="197" t="s">
        <v>252</v>
      </c>
      <c r="C108" s="197" t="s">
        <v>262</v>
      </c>
      <c r="D108" s="197" t="s">
        <v>263</v>
      </c>
      <c r="E108" s="198" t="s">
        <v>102</v>
      </c>
      <c r="F108" s="199">
        <f>SUM(F109:F110)</f>
        <v>93.92</v>
      </c>
      <c r="G108" s="231"/>
      <c r="H108" s="200">
        <f>F108*G108</f>
        <v>0</v>
      </c>
      <c r="J108" s="201" t="s">
        <v>109</v>
      </c>
      <c r="K108" s="200" t="str">
        <f t="shared" si="14"/>
        <v xml:space="preserve"> </v>
      </c>
      <c r="L108" s="200">
        <f t="shared" si="15"/>
        <v>0</v>
      </c>
    </row>
    <row r="109" spans="1:8" ht="13.5" customHeight="1">
      <c r="A109" s="202"/>
      <c r="B109" s="203"/>
      <c r="C109" s="203"/>
      <c r="D109" s="203" t="s">
        <v>194</v>
      </c>
      <c r="E109" s="204"/>
      <c r="F109" s="205">
        <f>16*(2.93+1.24)</f>
        <v>66.72</v>
      </c>
      <c r="G109" s="206"/>
      <c r="H109" s="206"/>
    </row>
    <row r="110" spans="1:8" ht="13.5" customHeight="1">
      <c r="A110" s="202"/>
      <c r="B110" s="203"/>
      <c r="C110" s="203"/>
      <c r="D110" s="203" t="s">
        <v>195</v>
      </c>
      <c r="E110" s="204"/>
      <c r="F110" s="205">
        <v>27.2</v>
      </c>
      <c r="G110" s="206"/>
      <c r="H110" s="206"/>
    </row>
    <row r="111" spans="1:12" ht="24" customHeight="1">
      <c r="A111" s="212">
        <v>49</v>
      </c>
      <c r="B111" s="213" t="s">
        <v>264</v>
      </c>
      <c r="C111" s="213" t="s">
        <v>265</v>
      </c>
      <c r="D111" s="213" t="s">
        <v>266</v>
      </c>
      <c r="E111" s="214" t="s">
        <v>102</v>
      </c>
      <c r="F111" s="215">
        <f>F112</f>
        <v>103.31200000000001</v>
      </c>
      <c r="G111" s="232"/>
      <c r="H111" s="216">
        <f>F111*G111</f>
        <v>0</v>
      </c>
      <c r="J111" s="201" t="s">
        <v>109</v>
      </c>
      <c r="K111" s="200" t="str">
        <f>IF(J111="I",H111," ")</f>
        <v xml:space="preserve"> </v>
      </c>
      <c r="L111" s="200">
        <f>IF(J111="N",H111," ")</f>
        <v>0</v>
      </c>
    </row>
    <row r="112" spans="1:8" ht="13.5" customHeight="1">
      <c r="A112" s="217"/>
      <c r="B112" s="218"/>
      <c r="C112" s="218"/>
      <c r="D112" s="218" t="s">
        <v>267</v>
      </c>
      <c r="E112" s="219"/>
      <c r="F112" s="220">
        <f>93.92*1.1</f>
        <v>103.31200000000001</v>
      </c>
      <c r="G112" s="221"/>
      <c r="H112" s="221"/>
    </row>
    <row r="113" spans="1:12" ht="13.5" customHeight="1">
      <c r="A113" s="196">
        <v>50</v>
      </c>
      <c r="B113" s="197" t="s">
        <v>252</v>
      </c>
      <c r="C113" s="197" t="s">
        <v>268</v>
      </c>
      <c r="D113" s="197" t="s">
        <v>269</v>
      </c>
      <c r="E113" s="198" t="s">
        <v>102</v>
      </c>
      <c r="F113" s="199">
        <v>93.92</v>
      </c>
      <c r="G113" s="231"/>
      <c r="H113" s="200">
        <f>F113*G113</f>
        <v>0</v>
      </c>
      <c r="J113" s="201" t="s">
        <v>109</v>
      </c>
      <c r="K113" s="200" t="str">
        <f aca="true" t="shared" si="16" ref="K113:K114">IF(J113="I",H113," ")</f>
        <v xml:space="preserve"> </v>
      </c>
      <c r="L113" s="200">
        <f aca="true" t="shared" si="17" ref="L113:L114">IF(J113="N",H113," ")</f>
        <v>0</v>
      </c>
    </row>
    <row r="114" spans="1:12" ht="24" customHeight="1">
      <c r="A114" s="196">
        <v>51</v>
      </c>
      <c r="B114" s="197" t="s">
        <v>252</v>
      </c>
      <c r="C114" s="197" t="s">
        <v>270</v>
      </c>
      <c r="D114" s="197" t="s">
        <v>271</v>
      </c>
      <c r="E114" s="198" t="s">
        <v>152</v>
      </c>
      <c r="F114" s="199">
        <v>2.921739130434782</v>
      </c>
      <c r="G114" s="231"/>
      <c r="H114" s="200">
        <f>F114*G114</f>
        <v>0</v>
      </c>
      <c r="J114" s="201" t="s">
        <v>109</v>
      </c>
      <c r="K114" s="200" t="str">
        <f t="shared" si="16"/>
        <v xml:space="preserve"> </v>
      </c>
      <c r="L114" s="200">
        <f t="shared" si="17"/>
        <v>0</v>
      </c>
    </row>
    <row r="115" spans="1:12" ht="28.5" customHeight="1">
      <c r="A115" s="191"/>
      <c r="B115" s="192"/>
      <c r="C115" s="192" t="s">
        <v>259</v>
      </c>
      <c r="D115" s="192" t="s">
        <v>272</v>
      </c>
      <c r="E115" s="193"/>
      <c r="F115" s="194"/>
      <c r="G115" s="195"/>
      <c r="H115" s="191">
        <f>SUBTOTAL(9,H116:H134)</f>
        <v>0</v>
      </c>
      <c r="K115" s="191">
        <f>SUBTOTAL(9,K116:K134)</f>
        <v>0</v>
      </c>
      <c r="L115" s="191">
        <f>SUBTOTAL(9,L116:L134)</f>
        <v>0</v>
      </c>
    </row>
    <row r="116" spans="1:12" ht="13.5" customHeight="1">
      <c r="A116" s="196">
        <v>52</v>
      </c>
      <c r="B116" s="197" t="s">
        <v>259</v>
      </c>
      <c r="C116" s="197" t="s">
        <v>273</v>
      </c>
      <c r="D116" s="197" t="s">
        <v>274</v>
      </c>
      <c r="E116" s="198" t="s">
        <v>102</v>
      </c>
      <c r="F116" s="199">
        <v>404.88000000000005</v>
      </c>
      <c r="G116" s="231"/>
      <c r="H116" s="200">
        <f>F116*G116</f>
        <v>0</v>
      </c>
      <c r="J116" s="201" t="s">
        <v>109</v>
      </c>
      <c r="K116" s="200" t="str">
        <f aca="true" t="shared" si="18" ref="K116:K120">IF(J116="I",H116," ")</f>
        <v xml:space="preserve"> </v>
      </c>
      <c r="L116" s="200">
        <f aca="true" t="shared" si="19" ref="L116:L120">IF(J116="N",H116," ")</f>
        <v>0</v>
      </c>
    </row>
    <row r="117" spans="1:12" ht="13.5" customHeight="1">
      <c r="A117" s="196">
        <v>53</v>
      </c>
      <c r="B117" s="197" t="s">
        <v>259</v>
      </c>
      <c r="C117" s="197" t="s">
        <v>275</v>
      </c>
      <c r="D117" s="197" t="s">
        <v>276</v>
      </c>
      <c r="E117" s="198" t="s">
        <v>102</v>
      </c>
      <c r="F117" s="199">
        <v>404.88000000000005</v>
      </c>
      <c r="G117" s="231"/>
      <c r="H117" s="200">
        <f>F117*G117</f>
        <v>0</v>
      </c>
      <c r="J117" s="201" t="s">
        <v>109</v>
      </c>
      <c r="K117" s="200" t="str">
        <f t="shared" si="18"/>
        <v xml:space="preserve"> </v>
      </c>
      <c r="L117" s="200">
        <f t="shared" si="19"/>
        <v>0</v>
      </c>
    </row>
    <row r="118" spans="1:12" ht="13.5" customHeight="1">
      <c r="A118" s="196">
        <v>54</v>
      </c>
      <c r="B118" s="197" t="s">
        <v>259</v>
      </c>
      <c r="C118" s="197" t="s">
        <v>277</v>
      </c>
      <c r="D118" s="197" t="s">
        <v>278</v>
      </c>
      <c r="E118" s="198" t="s">
        <v>102</v>
      </c>
      <c r="F118" s="199">
        <v>404.88000000000005</v>
      </c>
      <c r="G118" s="231"/>
      <c r="H118" s="200">
        <f>F118*G118</f>
        <v>0</v>
      </c>
      <c r="J118" s="201" t="s">
        <v>109</v>
      </c>
      <c r="K118" s="200" t="str">
        <f t="shared" si="18"/>
        <v xml:space="preserve"> </v>
      </c>
      <c r="L118" s="200">
        <f t="shared" si="19"/>
        <v>0</v>
      </c>
    </row>
    <row r="119" spans="1:12" ht="24" customHeight="1">
      <c r="A119" s="196">
        <v>55</v>
      </c>
      <c r="B119" s="197" t="s">
        <v>259</v>
      </c>
      <c r="C119" s="197" t="s">
        <v>279</v>
      </c>
      <c r="D119" s="197" t="s">
        <v>280</v>
      </c>
      <c r="E119" s="198" t="s">
        <v>102</v>
      </c>
      <c r="F119" s="199">
        <v>404.88000000000005</v>
      </c>
      <c r="G119" s="231"/>
      <c r="H119" s="200">
        <f>F119*G119</f>
        <v>0</v>
      </c>
      <c r="J119" s="201" t="s">
        <v>103</v>
      </c>
      <c r="K119" s="200">
        <f t="shared" si="18"/>
        <v>0</v>
      </c>
      <c r="L119" s="200" t="str">
        <f t="shared" si="19"/>
        <v xml:space="preserve"> </v>
      </c>
    </row>
    <row r="120" spans="1:12" ht="13.5" customHeight="1">
      <c r="A120" s="196">
        <v>56</v>
      </c>
      <c r="B120" s="197" t="s">
        <v>259</v>
      </c>
      <c r="C120" s="197" t="s">
        <v>281</v>
      </c>
      <c r="D120" s="197" t="s">
        <v>282</v>
      </c>
      <c r="E120" s="198" t="s">
        <v>102</v>
      </c>
      <c r="F120" s="199">
        <f>F121</f>
        <v>424.15999999999997</v>
      </c>
      <c r="G120" s="231"/>
      <c r="H120" s="200">
        <f>F120*G120</f>
        <v>0</v>
      </c>
      <c r="J120" s="201" t="s">
        <v>109</v>
      </c>
      <c r="K120" s="200" t="str">
        <f t="shared" si="18"/>
        <v xml:space="preserve"> </v>
      </c>
      <c r="L120" s="200">
        <f t="shared" si="19"/>
        <v>0</v>
      </c>
    </row>
    <row r="121" spans="1:8" ht="13.5" customHeight="1">
      <c r="A121" s="202"/>
      <c r="B121" s="203"/>
      <c r="C121" s="203"/>
      <c r="D121" s="203" t="s">
        <v>283</v>
      </c>
      <c r="E121" s="204"/>
      <c r="F121" s="205">
        <f>16*(6.24+12.26)+8*(7.96+8.06)</f>
        <v>424.15999999999997</v>
      </c>
      <c r="G121" s="206"/>
      <c r="H121" s="206"/>
    </row>
    <row r="122" spans="1:12" ht="13.5" customHeight="1">
      <c r="A122" s="196">
        <v>57</v>
      </c>
      <c r="B122" s="197" t="s">
        <v>259</v>
      </c>
      <c r="C122" s="197" t="s">
        <v>284</v>
      </c>
      <c r="D122" s="197" t="s">
        <v>285</v>
      </c>
      <c r="E122" s="198" t="s">
        <v>102</v>
      </c>
      <c r="F122" s="199">
        <f>SUM(F123:F124)</f>
        <v>404.88000000000005</v>
      </c>
      <c r="G122" s="231"/>
      <c r="H122" s="200">
        <f>F122*G122</f>
        <v>0</v>
      </c>
      <c r="J122" s="201" t="s">
        <v>109</v>
      </c>
      <c r="K122" s="200" t="str">
        <f>IF(J122="I",H122," ")</f>
        <v xml:space="preserve"> </v>
      </c>
      <c r="L122" s="200">
        <f>IF(J122="N",H122," ")</f>
        <v>0</v>
      </c>
    </row>
    <row r="123" spans="1:8" ht="13.5" customHeight="1">
      <c r="A123" s="202"/>
      <c r="B123" s="203"/>
      <c r="C123" s="203"/>
      <c r="D123" s="203" t="s">
        <v>113</v>
      </c>
      <c r="E123" s="204"/>
      <c r="F123" s="205">
        <f>16*(6.24+11.14)</f>
        <v>278.08000000000004</v>
      </c>
      <c r="G123" s="206"/>
      <c r="H123" s="206"/>
    </row>
    <row r="124" spans="1:8" ht="13.5" customHeight="1">
      <c r="A124" s="202"/>
      <c r="B124" s="203"/>
      <c r="C124" s="203"/>
      <c r="D124" s="203" t="s">
        <v>114</v>
      </c>
      <c r="E124" s="204"/>
      <c r="F124" s="205">
        <v>126.8</v>
      </c>
      <c r="G124" s="206"/>
      <c r="H124" s="206"/>
    </row>
    <row r="125" spans="1:12" ht="24" customHeight="1">
      <c r="A125" s="212">
        <v>58</v>
      </c>
      <c r="B125" s="213" t="s">
        <v>286</v>
      </c>
      <c r="C125" s="213" t="s">
        <v>287</v>
      </c>
      <c r="D125" s="213" t="s">
        <v>288</v>
      </c>
      <c r="E125" s="214" t="s">
        <v>102</v>
      </c>
      <c r="F125" s="215">
        <f>F126</f>
        <v>445.36800000000005</v>
      </c>
      <c r="G125" s="232"/>
      <c r="H125" s="216">
        <f>F125*G125</f>
        <v>0</v>
      </c>
      <c r="J125" s="201" t="s">
        <v>109</v>
      </c>
      <c r="K125" s="200" t="str">
        <f>IF(J125="I",H125," ")</f>
        <v xml:space="preserve"> </v>
      </c>
      <c r="L125" s="200">
        <f>IF(J125="N",H125," ")</f>
        <v>0</v>
      </c>
    </row>
    <row r="126" spans="1:8" ht="13.5" customHeight="1">
      <c r="A126" s="217"/>
      <c r="B126" s="218"/>
      <c r="C126" s="218"/>
      <c r="D126" s="218" t="s">
        <v>289</v>
      </c>
      <c r="E126" s="219"/>
      <c r="F126" s="220">
        <f>404.88*1.1</f>
        <v>445.36800000000005</v>
      </c>
      <c r="G126" s="221"/>
      <c r="H126" s="221"/>
    </row>
    <row r="127" spans="1:12" ht="13.5" customHeight="1">
      <c r="A127" s="196">
        <v>59</v>
      </c>
      <c r="B127" s="197" t="s">
        <v>259</v>
      </c>
      <c r="C127" s="197" t="s">
        <v>290</v>
      </c>
      <c r="D127" s="197" t="s">
        <v>291</v>
      </c>
      <c r="E127" s="198" t="s">
        <v>292</v>
      </c>
      <c r="F127" s="199">
        <f>F128+F129+F130+F131</f>
        <v>195.60000000000005</v>
      </c>
      <c r="G127" s="231"/>
      <c r="H127" s="200">
        <f>F127*G127</f>
        <v>0</v>
      </c>
      <c r="J127" s="201" t="s">
        <v>109</v>
      </c>
      <c r="K127" s="200" t="str">
        <f>IF(J127="I",H127," ")</f>
        <v xml:space="preserve"> </v>
      </c>
      <c r="L127" s="200">
        <f>IF(J127="N",H127," ")</f>
        <v>0</v>
      </c>
    </row>
    <row r="128" spans="1:8" ht="13.5" customHeight="1">
      <c r="A128" s="202"/>
      <c r="B128" s="203"/>
      <c r="C128" s="203"/>
      <c r="D128" s="203" t="s">
        <v>293</v>
      </c>
      <c r="E128" s="204"/>
      <c r="F128" s="205">
        <f>16*(2*3.45+2.43+4.72)</f>
        <v>224.8</v>
      </c>
      <c r="G128" s="206"/>
      <c r="H128" s="206"/>
    </row>
    <row r="129" spans="1:8" ht="13.5" customHeight="1">
      <c r="A129" s="202"/>
      <c r="B129" s="203"/>
      <c r="C129" s="203"/>
      <c r="D129" s="203" t="s">
        <v>294</v>
      </c>
      <c r="E129" s="204"/>
      <c r="F129" s="205">
        <v>100.4</v>
      </c>
      <c r="G129" s="206"/>
      <c r="H129" s="206"/>
    </row>
    <row r="130" spans="1:8" ht="13.5" customHeight="1">
      <c r="A130" s="202"/>
      <c r="B130" s="203"/>
      <c r="C130" s="203"/>
      <c r="D130" s="203" t="s">
        <v>295</v>
      </c>
      <c r="E130" s="204"/>
      <c r="F130" s="205">
        <f>-24*5*0.8</f>
        <v>-96</v>
      </c>
      <c r="G130" s="206"/>
      <c r="H130" s="206"/>
    </row>
    <row r="131" spans="1:8" ht="13.5" customHeight="1">
      <c r="A131" s="202"/>
      <c r="B131" s="203"/>
      <c r="C131" s="203"/>
      <c r="D131" s="203" t="s">
        <v>296</v>
      </c>
      <c r="E131" s="204"/>
      <c r="F131" s="205">
        <f>-24*2*0.7</f>
        <v>-33.599999999999994</v>
      </c>
      <c r="G131" s="206"/>
      <c r="H131" s="206"/>
    </row>
    <row r="132" spans="1:12" ht="13.5" customHeight="1">
      <c r="A132" s="212">
        <v>60</v>
      </c>
      <c r="B132" s="213" t="s">
        <v>297</v>
      </c>
      <c r="C132" s="213" t="s">
        <v>298</v>
      </c>
      <c r="D132" s="213" t="s">
        <v>299</v>
      </c>
      <c r="E132" s="214" t="s">
        <v>292</v>
      </c>
      <c r="F132" s="215">
        <f>F133</f>
        <v>199.512</v>
      </c>
      <c r="G132" s="232"/>
      <c r="H132" s="216">
        <f>F132*G132</f>
        <v>0</v>
      </c>
      <c r="J132" s="201" t="s">
        <v>109</v>
      </c>
      <c r="K132" s="200" t="str">
        <f>IF(J132="I",H132," ")</f>
        <v xml:space="preserve"> </v>
      </c>
      <c r="L132" s="200">
        <f>IF(J132="N",H132," ")</f>
        <v>0</v>
      </c>
    </row>
    <row r="133" spans="1:8" ht="13.5" customHeight="1">
      <c r="A133" s="217"/>
      <c r="B133" s="218"/>
      <c r="C133" s="218"/>
      <c r="D133" s="218" t="s">
        <v>300</v>
      </c>
      <c r="E133" s="219"/>
      <c r="F133" s="220">
        <f>195.6*1.02</f>
        <v>199.512</v>
      </c>
      <c r="G133" s="221"/>
      <c r="H133" s="221"/>
    </row>
    <row r="134" spans="1:12" ht="24" customHeight="1">
      <c r="A134" s="196">
        <v>61</v>
      </c>
      <c r="B134" s="197" t="s">
        <v>259</v>
      </c>
      <c r="C134" s="197" t="s">
        <v>301</v>
      </c>
      <c r="D134" s="197" t="s">
        <v>302</v>
      </c>
      <c r="E134" s="198" t="s">
        <v>152</v>
      </c>
      <c r="F134" s="199">
        <v>5.890434782608695</v>
      </c>
      <c r="G134" s="231"/>
      <c r="H134" s="200">
        <f>F134*G134</f>
        <v>0</v>
      </c>
      <c r="J134" s="201" t="s">
        <v>109</v>
      </c>
      <c r="K134" s="200" t="str">
        <f>IF(J134="I",H134," ")</f>
        <v xml:space="preserve"> </v>
      </c>
      <c r="L134" s="200">
        <f>IF(J134="N",H134," ")</f>
        <v>0</v>
      </c>
    </row>
    <row r="135" spans="1:12" ht="28.5" customHeight="1">
      <c r="A135" s="191"/>
      <c r="B135" s="192"/>
      <c r="C135" s="192" t="s">
        <v>303</v>
      </c>
      <c r="D135" s="192" t="s">
        <v>304</v>
      </c>
      <c r="E135" s="193"/>
      <c r="F135" s="194"/>
      <c r="G135" s="195"/>
      <c r="H135" s="191">
        <f>SUBTOTAL(9,H136:H158)</f>
        <v>0</v>
      </c>
      <c r="K135" s="191">
        <f>SUBTOTAL(9,K136:K158)</f>
        <v>0</v>
      </c>
      <c r="L135" s="191">
        <f>SUBTOTAL(9,L136:L158)</f>
        <v>0</v>
      </c>
    </row>
    <row r="136" spans="1:12" ht="13.5" customHeight="1">
      <c r="A136" s="196">
        <v>62</v>
      </c>
      <c r="B136" s="197" t="s">
        <v>303</v>
      </c>
      <c r="C136" s="197" t="s">
        <v>305</v>
      </c>
      <c r="D136" s="197" t="s">
        <v>306</v>
      </c>
      <c r="E136" s="198" t="s">
        <v>102</v>
      </c>
      <c r="F136" s="199">
        <v>438.40479999999997</v>
      </c>
      <c r="G136" s="231"/>
      <c r="H136" s="200">
        <f>F136*G136</f>
        <v>0</v>
      </c>
      <c r="J136" s="201" t="s">
        <v>109</v>
      </c>
      <c r="K136" s="200" t="str">
        <f aca="true" t="shared" si="20" ref="K136:K137">IF(J136="I",H136," ")</f>
        <v xml:space="preserve"> </v>
      </c>
      <c r="L136" s="200">
        <f aca="true" t="shared" si="21" ref="L136:L137">IF(J136="N",H136," ")</f>
        <v>0</v>
      </c>
    </row>
    <row r="137" spans="1:12" ht="13.5" customHeight="1">
      <c r="A137" s="196">
        <v>63</v>
      </c>
      <c r="B137" s="197" t="s">
        <v>303</v>
      </c>
      <c r="C137" s="197" t="s">
        <v>307</v>
      </c>
      <c r="D137" s="197" t="s">
        <v>308</v>
      </c>
      <c r="E137" s="198" t="s">
        <v>102</v>
      </c>
      <c r="F137" s="199">
        <f>SUM(F138:F139)</f>
        <v>123.94560000000001</v>
      </c>
      <c r="G137" s="231"/>
      <c r="H137" s="200">
        <f>F137*G137</f>
        <v>0</v>
      </c>
      <c r="J137" s="201" t="s">
        <v>109</v>
      </c>
      <c r="K137" s="200" t="str">
        <f t="shared" si="20"/>
        <v xml:space="preserve"> </v>
      </c>
      <c r="L137" s="200">
        <f t="shared" si="21"/>
        <v>0</v>
      </c>
    </row>
    <row r="138" spans="1:8" ht="13.5" customHeight="1">
      <c r="A138" s="202"/>
      <c r="B138" s="203"/>
      <c r="C138" s="203"/>
      <c r="D138" s="203" t="s">
        <v>309</v>
      </c>
      <c r="E138" s="204"/>
      <c r="F138" s="205">
        <f>24*2*1*1.85</f>
        <v>88.80000000000001</v>
      </c>
      <c r="G138" s="206"/>
      <c r="H138" s="206"/>
    </row>
    <row r="139" spans="1:8" ht="13.5" customHeight="1">
      <c r="A139" s="202"/>
      <c r="B139" s="203"/>
      <c r="C139" s="203"/>
      <c r="D139" s="203" t="s">
        <v>310</v>
      </c>
      <c r="E139" s="204"/>
      <c r="F139" s="205">
        <f>234.304*0.15</f>
        <v>35.1456</v>
      </c>
      <c r="G139" s="206"/>
      <c r="H139" s="206"/>
    </row>
    <row r="140" spans="1:12" ht="13.5" customHeight="1">
      <c r="A140" s="196">
        <v>64</v>
      </c>
      <c r="B140" s="197" t="s">
        <v>303</v>
      </c>
      <c r="C140" s="197" t="s">
        <v>311</v>
      </c>
      <c r="D140" s="197" t="s">
        <v>312</v>
      </c>
      <c r="E140" s="198" t="s">
        <v>292</v>
      </c>
      <c r="F140" s="199">
        <f>SUM(F141:F146)</f>
        <v>234.30400000000003</v>
      </c>
      <c r="G140" s="231"/>
      <c r="H140" s="200">
        <f>F140*G140</f>
        <v>0</v>
      </c>
      <c r="J140" s="201" t="s">
        <v>109</v>
      </c>
      <c r="K140" s="200" t="str">
        <f>IF(J140="I",H140," ")</f>
        <v xml:space="preserve"> </v>
      </c>
      <c r="L140" s="200">
        <f>IF(J140="N",H140," ")</f>
        <v>0</v>
      </c>
    </row>
    <row r="141" spans="1:8" ht="13.5" customHeight="1">
      <c r="A141" s="202"/>
      <c r="B141" s="203"/>
      <c r="C141" s="203"/>
      <c r="D141" s="203" t="s">
        <v>313</v>
      </c>
      <c r="E141" s="204"/>
      <c r="F141" s="205">
        <f>16*2*(1.625+1.8)</f>
        <v>109.6</v>
      </c>
      <c r="G141" s="206"/>
      <c r="H141" s="206"/>
    </row>
    <row r="142" spans="1:8" ht="13.5" customHeight="1">
      <c r="A142" s="202"/>
      <c r="B142" s="203"/>
      <c r="C142" s="203"/>
      <c r="D142" s="203" t="s">
        <v>314</v>
      </c>
      <c r="E142" s="204"/>
      <c r="F142" s="205">
        <v>49.12</v>
      </c>
      <c r="G142" s="206"/>
      <c r="H142" s="206"/>
    </row>
    <row r="143" spans="1:8" ht="13.5" customHeight="1">
      <c r="A143" s="202"/>
      <c r="B143" s="203"/>
      <c r="C143" s="203"/>
      <c r="D143" s="203" t="s">
        <v>315</v>
      </c>
      <c r="E143" s="204"/>
      <c r="F143" s="205">
        <f>-24*0.7</f>
        <v>-16.799999999999997</v>
      </c>
      <c r="G143" s="206"/>
      <c r="H143" s="206"/>
    </row>
    <row r="144" spans="1:8" ht="13.5" customHeight="1">
      <c r="A144" s="202"/>
      <c r="B144" s="203"/>
      <c r="C144" s="203"/>
      <c r="D144" s="203" t="s">
        <v>316</v>
      </c>
      <c r="E144" s="204"/>
      <c r="F144" s="205">
        <f>16*2*(1.237+1)</f>
        <v>71.584</v>
      </c>
      <c r="G144" s="206"/>
      <c r="H144" s="206"/>
    </row>
    <row r="145" spans="1:8" ht="13.5" customHeight="1">
      <c r="A145" s="202"/>
      <c r="B145" s="203"/>
      <c r="C145" s="203"/>
      <c r="D145" s="203" t="s">
        <v>317</v>
      </c>
      <c r="E145" s="204"/>
      <c r="F145" s="205">
        <v>37.6</v>
      </c>
      <c r="G145" s="206"/>
      <c r="H145" s="206"/>
    </row>
    <row r="146" spans="1:8" ht="13.5" customHeight="1">
      <c r="A146" s="202"/>
      <c r="B146" s="203"/>
      <c r="C146" s="203"/>
      <c r="D146" s="203" t="s">
        <v>318</v>
      </c>
      <c r="E146" s="204"/>
      <c r="F146" s="205">
        <f>-24*0.7</f>
        <v>-16.799999999999997</v>
      </c>
      <c r="G146" s="206"/>
      <c r="H146" s="206"/>
    </row>
    <row r="147" spans="1:12" ht="24" customHeight="1">
      <c r="A147" s="196">
        <v>65</v>
      </c>
      <c r="B147" s="197" t="s">
        <v>303</v>
      </c>
      <c r="C147" s="197" t="s">
        <v>319</v>
      </c>
      <c r="D147" s="197" t="s">
        <v>320</v>
      </c>
      <c r="E147" s="198" t="s">
        <v>102</v>
      </c>
      <c r="F147" s="199">
        <f>F148+F149+F150+F151+F152+F153+F155</f>
        <v>438.40479999999997</v>
      </c>
      <c r="G147" s="231"/>
      <c r="H147" s="200">
        <f>F147*G147</f>
        <v>0</v>
      </c>
      <c r="J147" s="201" t="s">
        <v>109</v>
      </c>
      <c r="K147" s="200" t="str">
        <f>IF(J147="I",H147," ")</f>
        <v xml:space="preserve"> </v>
      </c>
      <c r="L147" s="200">
        <f>IF(J147="N",H147," ")</f>
        <v>0</v>
      </c>
    </row>
    <row r="148" spans="1:8" ht="13.5" customHeight="1">
      <c r="A148" s="202"/>
      <c r="B148" s="203"/>
      <c r="C148" s="203"/>
      <c r="D148" s="203" t="s">
        <v>321</v>
      </c>
      <c r="E148" s="204"/>
      <c r="F148" s="205">
        <f>16*2*(1.625+1.8)*2</f>
        <v>219.2</v>
      </c>
      <c r="G148" s="206"/>
      <c r="H148" s="206"/>
    </row>
    <row r="149" spans="1:8" ht="13.5" customHeight="1">
      <c r="A149" s="202"/>
      <c r="B149" s="203"/>
      <c r="C149" s="203"/>
      <c r="D149" s="203" t="s">
        <v>322</v>
      </c>
      <c r="E149" s="204"/>
      <c r="F149" s="205">
        <v>98.24</v>
      </c>
      <c r="G149" s="206"/>
      <c r="H149" s="206"/>
    </row>
    <row r="150" spans="1:8" ht="13.5" customHeight="1">
      <c r="A150" s="202"/>
      <c r="B150" s="203"/>
      <c r="C150" s="203"/>
      <c r="D150" s="203" t="s">
        <v>323</v>
      </c>
      <c r="E150" s="204"/>
      <c r="F150" s="205">
        <f>-24*0.7*1.97</f>
        <v>-33.096</v>
      </c>
      <c r="G150" s="206"/>
      <c r="H150" s="206"/>
    </row>
    <row r="151" spans="1:8" ht="13.5" customHeight="1">
      <c r="A151" s="202"/>
      <c r="B151" s="203"/>
      <c r="C151" s="203"/>
      <c r="D151" s="203" t="s">
        <v>324</v>
      </c>
      <c r="E151" s="204"/>
      <c r="F151" s="205">
        <f>16*2*(1.237+1)*1.2</f>
        <v>85.9008</v>
      </c>
      <c r="G151" s="206"/>
      <c r="H151" s="206"/>
    </row>
    <row r="152" spans="1:8" ht="13.5" customHeight="1">
      <c r="A152" s="202"/>
      <c r="B152" s="203"/>
      <c r="C152" s="203"/>
      <c r="D152" s="203" t="s">
        <v>325</v>
      </c>
      <c r="E152" s="204"/>
      <c r="F152" s="205">
        <v>45.12</v>
      </c>
      <c r="G152" s="206"/>
      <c r="H152" s="206"/>
    </row>
    <row r="153" spans="1:8" ht="13.5" customHeight="1">
      <c r="A153" s="202"/>
      <c r="B153" s="203"/>
      <c r="C153" s="203"/>
      <c r="D153" s="203" t="s">
        <v>326</v>
      </c>
      <c r="E153" s="204"/>
      <c r="F153" s="205">
        <f>-24*0.7*1.2</f>
        <v>-20.159999999999997</v>
      </c>
      <c r="G153" s="206"/>
      <c r="H153" s="206"/>
    </row>
    <row r="154" spans="1:12" ht="13.5" customHeight="1">
      <c r="A154" s="207"/>
      <c r="B154" s="208"/>
      <c r="C154" s="208"/>
      <c r="D154" s="208" t="s">
        <v>327</v>
      </c>
      <c r="E154" s="209"/>
      <c r="F154" s="210"/>
      <c r="G154" s="211"/>
      <c r="H154" s="211"/>
      <c r="K154" s="211"/>
      <c r="L154" s="211"/>
    </row>
    <row r="155" spans="1:8" ht="13.5" customHeight="1">
      <c r="A155" s="202"/>
      <c r="B155" s="203"/>
      <c r="C155" s="203"/>
      <c r="D155" s="203" t="s">
        <v>328</v>
      </c>
      <c r="E155" s="204"/>
      <c r="F155" s="205">
        <f>24*3*0.6</f>
        <v>43.199999999999996</v>
      </c>
      <c r="G155" s="206"/>
      <c r="H155" s="206"/>
    </row>
    <row r="156" spans="1:12" ht="13.5" customHeight="1">
      <c r="A156" s="212">
        <v>66</v>
      </c>
      <c r="B156" s="213" t="s">
        <v>264</v>
      </c>
      <c r="C156" s="213" t="s">
        <v>329</v>
      </c>
      <c r="D156" s="213" t="s">
        <v>330</v>
      </c>
      <c r="E156" s="214" t="s">
        <v>102</v>
      </c>
      <c r="F156" s="215">
        <f>F157</f>
        <v>482.2455</v>
      </c>
      <c r="G156" s="232"/>
      <c r="H156" s="216">
        <f>F156*G156</f>
        <v>0</v>
      </c>
      <c r="J156" s="201" t="s">
        <v>109</v>
      </c>
      <c r="K156" s="200" t="str">
        <f>IF(J156="I",H156," ")</f>
        <v xml:space="preserve"> </v>
      </c>
      <c r="L156" s="200">
        <f>IF(J156="N",H156," ")</f>
        <v>0</v>
      </c>
    </row>
    <row r="157" spans="1:8" ht="13.5" customHeight="1">
      <c r="A157" s="217"/>
      <c r="B157" s="218"/>
      <c r="C157" s="218"/>
      <c r="D157" s="218" t="s">
        <v>331</v>
      </c>
      <c r="E157" s="219"/>
      <c r="F157" s="220">
        <f>438.405*1.1</f>
        <v>482.2455</v>
      </c>
      <c r="G157" s="221"/>
      <c r="H157" s="221"/>
    </row>
    <row r="158" spans="1:12" ht="24" customHeight="1">
      <c r="A158" s="196">
        <v>67</v>
      </c>
      <c r="B158" s="197" t="s">
        <v>303</v>
      </c>
      <c r="C158" s="197" t="s">
        <v>332</v>
      </c>
      <c r="D158" s="197" t="s">
        <v>333</v>
      </c>
      <c r="E158" s="198" t="s">
        <v>152</v>
      </c>
      <c r="F158" s="199">
        <v>8.69217391304348</v>
      </c>
      <c r="G158" s="231"/>
      <c r="H158" s="200">
        <f>F158*G158</f>
        <v>0</v>
      </c>
      <c r="J158" s="201" t="s">
        <v>109</v>
      </c>
      <c r="K158" s="200" t="str">
        <f>IF(J158="I",H158," ")</f>
        <v xml:space="preserve"> </v>
      </c>
      <c r="L158" s="200">
        <f>IF(J158="N",H158," ")</f>
        <v>0</v>
      </c>
    </row>
    <row r="159" spans="1:12" ht="28.5" customHeight="1">
      <c r="A159" s="191"/>
      <c r="B159" s="192"/>
      <c r="C159" s="192" t="s">
        <v>334</v>
      </c>
      <c r="D159" s="192" t="s">
        <v>335</v>
      </c>
      <c r="E159" s="193"/>
      <c r="F159" s="194"/>
      <c r="G159" s="195"/>
      <c r="H159" s="191">
        <f>SUBTOTAL(9,H160:H161)</f>
        <v>0</v>
      </c>
      <c r="K159" s="191">
        <f>SUBTOTAL(9,K160:K161)</f>
        <v>0</v>
      </c>
      <c r="L159" s="191">
        <f>SUBTOTAL(9,L160:L161)</f>
        <v>0</v>
      </c>
    </row>
    <row r="160" spans="1:12" ht="24" customHeight="1">
      <c r="A160" s="196">
        <v>68</v>
      </c>
      <c r="B160" s="197" t="s">
        <v>334</v>
      </c>
      <c r="C160" s="197" t="s">
        <v>336</v>
      </c>
      <c r="D160" s="197" t="s">
        <v>337</v>
      </c>
      <c r="E160" s="198" t="s">
        <v>102</v>
      </c>
      <c r="F160" s="199">
        <v>2349.3664000000003</v>
      </c>
      <c r="G160" s="231"/>
      <c r="H160" s="200">
        <f>F160*G160</f>
        <v>0</v>
      </c>
      <c r="J160" s="201" t="s">
        <v>109</v>
      </c>
      <c r="K160" s="200" t="str">
        <f aca="true" t="shared" si="22" ref="K160:K161">IF(J160="I",H160," ")</f>
        <v xml:space="preserve"> </v>
      </c>
      <c r="L160" s="200">
        <f aca="true" t="shared" si="23" ref="L160:L161">IF(J160="N",H160," ")</f>
        <v>0</v>
      </c>
    </row>
    <row r="161" spans="1:12" ht="24" customHeight="1">
      <c r="A161" s="196">
        <v>69</v>
      </c>
      <c r="B161" s="197" t="s">
        <v>334</v>
      </c>
      <c r="C161" s="197" t="s">
        <v>338</v>
      </c>
      <c r="D161" s="197" t="s">
        <v>339</v>
      </c>
      <c r="E161" s="198" t="s">
        <v>102</v>
      </c>
      <c r="F161" s="199">
        <f>SUM(F162:F179)</f>
        <v>2349.3664000000003</v>
      </c>
      <c r="G161" s="231"/>
      <c r="H161" s="200">
        <f>F161*G161</f>
        <v>0</v>
      </c>
      <c r="J161" s="201" t="s">
        <v>109</v>
      </c>
      <c r="K161" s="200" t="str">
        <f t="shared" si="22"/>
        <v xml:space="preserve"> </v>
      </c>
      <c r="L161" s="200">
        <f t="shared" si="23"/>
        <v>0</v>
      </c>
    </row>
    <row r="162" spans="1:12" ht="13.5" customHeight="1">
      <c r="A162" s="207"/>
      <c r="B162" s="208"/>
      <c r="C162" s="208"/>
      <c r="D162" s="208" t="s">
        <v>121</v>
      </c>
      <c r="E162" s="209"/>
      <c r="F162" s="210"/>
      <c r="G162" s="211"/>
      <c r="H162" s="211"/>
      <c r="K162" s="211"/>
      <c r="L162" s="211"/>
    </row>
    <row r="163" spans="1:8" ht="13.5" customHeight="1">
      <c r="A163" s="202"/>
      <c r="B163" s="203"/>
      <c r="C163" s="203"/>
      <c r="D163" s="203" t="s">
        <v>340</v>
      </c>
      <c r="E163" s="204"/>
      <c r="F163" s="205">
        <v>1010.893</v>
      </c>
      <c r="G163" s="206"/>
      <c r="H163" s="206"/>
    </row>
    <row r="164" spans="1:12" ht="13.5" customHeight="1">
      <c r="A164" s="207"/>
      <c r="B164" s="208"/>
      <c r="C164" s="208"/>
      <c r="D164" s="208" t="s">
        <v>117</v>
      </c>
      <c r="E164" s="209"/>
      <c r="F164" s="210"/>
      <c r="G164" s="211"/>
      <c r="H164" s="211"/>
      <c r="K164" s="211"/>
      <c r="L164" s="211"/>
    </row>
    <row r="165" spans="1:8" ht="13.5" customHeight="1">
      <c r="A165" s="202"/>
      <c r="B165" s="203"/>
      <c r="C165" s="203"/>
      <c r="D165" s="203" t="s">
        <v>341</v>
      </c>
      <c r="E165" s="204"/>
      <c r="F165" s="205">
        <v>44.579</v>
      </c>
      <c r="G165" s="206"/>
      <c r="H165" s="206"/>
    </row>
    <row r="166" spans="1:12" ht="13.5" customHeight="1">
      <c r="A166" s="207"/>
      <c r="B166" s="208"/>
      <c r="C166" s="208"/>
      <c r="D166" s="208" t="s">
        <v>342</v>
      </c>
      <c r="E166" s="209"/>
      <c r="F166" s="210"/>
      <c r="G166" s="211"/>
      <c r="H166" s="211"/>
      <c r="K166" s="211"/>
      <c r="L166" s="211"/>
    </row>
    <row r="167" spans="1:8" ht="13.5" customHeight="1">
      <c r="A167" s="202"/>
      <c r="B167" s="203"/>
      <c r="C167" s="203"/>
      <c r="D167" s="203" t="s">
        <v>343</v>
      </c>
      <c r="E167" s="204"/>
      <c r="F167" s="205">
        <f>16*(1.73+2.98+3.45+1.72)*2.8</f>
        <v>442.624</v>
      </c>
      <c r="G167" s="206"/>
      <c r="H167" s="206"/>
    </row>
    <row r="168" spans="1:8" ht="13.5" customHeight="1">
      <c r="A168" s="202"/>
      <c r="B168" s="203"/>
      <c r="C168" s="203"/>
      <c r="D168" s="203" t="s">
        <v>344</v>
      </c>
      <c r="E168" s="204"/>
      <c r="F168" s="205">
        <v>192.64</v>
      </c>
      <c r="G168" s="206"/>
      <c r="H168" s="206"/>
    </row>
    <row r="169" spans="1:8" ht="13.5" customHeight="1">
      <c r="A169" s="202"/>
      <c r="B169" s="203"/>
      <c r="C169" s="203"/>
      <c r="D169" s="203" t="s">
        <v>345</v>
      </c>
      <c r="E169" s="204"/>
      <c r="F169" s="205">
        <f>-24*2*0.8*1.97</f>
        <v>-75.64800000000001</v>
      </c>
      <c r="G169" s="206"/>
      <c r="H169" s="206"/>
    </row>
    <row r="170" spans="1:8" ht="13.5" customHeight="1">
      <c r="A170" s="202"/>
      <c r="B170" s="203"/>
      <c r="C170" s="203"/>
      <c r="D170" s="203" t="s">
        <v>346</v>
      </c>
      <c r="E170" s="204"/>
      <c r="F170" s="205">
        <f>-24*2*0.7*1.97</f>
        <v>-66.192</v>
      </c>
      <c r="G170" s="206"/>
      <c r="H170" s="206"/>
    </row>
    <row r="171" spans="1:12" ht="13.5" customHeight="1">
      <c r="A171" s="207"/>
      <c r="B171" s="208"/>
      <c r="C171" s="208"/>
      <c r="D171" s="208" t="s">
        <v>347</v>
      </c>
      <c r="E171" s="209"/>
      <c r="F171" s="210"/>
      <c r="G171" s="211"/>
      <c r="H171" s="211"/>
      <c r="K171" s="211"/>
      <c r="L171" s="211"/>
    </row>
    <row r="172" spans="1:8" ht="13.5" customHeight="1">
      <c r="A172" s="202"/>
      <c r="B172" s="203"/>
      <c r="C172" s="203"/>
      <c r="D172" s="203" t="s">
        <v>348</v>
      </c>
      <c r="E172" s="204"/>
      <c r="F172" s="205">
        <f>16*2*(1.625+1.8)*0.8</f>
        <v>87.68</v>
      </c>
      <c r="G172" s="206"/>
      <c r="H172" s="206"/>
    </row>
    <row r="173" spans="1:8" ht="13.5" customHeight="1">
      <c r="A173" s="202"/>
      <c r="B173" s="203"/>
      <c r="C173" s="203"/>
      <c r="D173" s="203" t="s">
        <v>349</v>
      </c>
      <c r="E173" s="204"/>
      <c r="F173" s="205">
        <v>39.296</v>
      </c>
      <c r="G173" s="206"/>
      <c r="H173" s="206"/>
    </row>
    <row r="174" spans="1:8" ht="13.5" customHeight="1">
      <c r="A174" s="202"/>
      <c r="B174" s="203"/>
      <c r="C174" s="203"/>
      <c r="D174" s="203" t="s">
        <v>350</v>
      </c>
      <c r="E174" s="204"/>
      <c r="F174" s="205">
        <f>16*2*(1.237+1)*1.6</f>
        <v>114.5344</v>
      </c>
      <c r="G174" s="206"/>
      <c r="H174" s="206"/>
    </row>
    <row r="175" spans="1:8" ht="13.5" customHeight="1">
      <c r="A175" s="202"/>
      <c r="B175" s="203"/>
      <c r="C175" s="203"/>
      <c r="D175" s="203" t="s">
        <v>351</v>
      </c>
      <c r="E175" s="204"/>
      <c r="F175" s="205">
        <v>60.16</v>
      </c>
      <c r="G175" s="206"/>
      <c r="H175" s="206"/>
    </row>
    <row r="176" spans="1:12" ht="13.5" customHeight="1">
      <c r="A176" s="207"/>
      <c r="B176" s="208"/>
      <c r="C176" s="208"/>
      <c r="D176" s="208" t="s">
        <v>112</v>
      </c>
      <c r="E176" s="209"/>
      <c r="F176" s="210"/>
      <c r="G176" s="211"/>
      <c r="H176" s="211"/>
      <c r="K176" s="211"/>
      <c r="L176" s="211"/>
    </row>
    <row r="177" spans="1:8" ht="13.5" customHeight="1">
      <c r="A177" s="202"/>
      <c r="B177" s="203"/>
      <c r="C177" s="203"/>
      <c r="D177" s="203" t="s">
        <v>352</v>
      </c>
      <c r="E177" s="204"/>
      <c r="F177" s="205">
        <v>404.88</v>
      </c>
      <c r="G177" s="206"/>
      <c r="H177" s="206"/>
    </row>
    <row r="178" spans="1:12" ht="13.5" customHeight="1">
      <c r="A178" s="207"/>
      <c r="B178" s="208"/>
      <c r="C178" s="208"/>
      <c r="D178" s="208" t="s">
        <v>193</v>
      </c>
      <c r="E178" s="209"/>
      <c r="F178" s="210"/>
      <c r="G178" s="211"/>
      <c r="H178" s="211"/>
      <c r="K178" s="211"/>
      <c r="L178" s="211"/>
    </row>
    <row r="179" spans="1:8" ht="13.5" customHeight="1">
      <c r="A179" s="202"/>
      <c r="B179" s="203"/>
      <c r="C179" s="203"/>
      <c r="D179" s="203" t="s">
        <v>353</v>
      </c>
      <c r="E179" s="204"/>
      <c r="F179" s="205">
        <v>93.92</v>
      </c>
      <c r="G179" s="206"/>
      <c r="H179" s="206"/>
    </row>
    <row r="180" spans="1:12" ht="30.75" customHeight="1">
      <c r="A180" s="186"/>
      <c r="B180" s="187"/>
      <c r="C180" s="187" t="s">
        <v>354</v>
      </c>
      <c r="D180" s="187" t="s">
        <v>355</v>
      </c>
      <c r="E180" s="188"/>
      <c r="F180" s="189"/>
      <c r="G180" s="190"/>
      <c r="H180" s="186">
        <f>SUBTOTAL(9,H181:H183)</f>
        <v>0</v>
      </c>
      <c r="K180" s="186">
        <f>SUBTOTAL(9,K181:K183)</f>
        <v>0</v>
      </c>
      <c r="L180" s="186">
        <f>SUBTOTAL(9,L181:L183)</f>
        <v>0</v>
      </c>
    </row>
    <row r="181" spans="1:12" ht="28.5" customHeight="1">
      <c r="A181" s="191"/>
      <c r="B181" s="192"/>
      <c r="C181" s="192" t="s">
        <v>356</v>
      </c>
      <c r="D181" s="192" t="s">
        <v>357</v>
      </c>
      <c r="E181" s="193"/>
      <c r="F181" s="194"/>
      <c r="G181" s="195"/>
      <c r="H181" s="191">
        <f>SUBTOTAL(9,H182:H183)</f>
        <v>0</v>
      </c>
      <c r="K181" s="191">
        <f>SUBTOTAL(9,K182:K183)</f>
        <v>0</v>
      </c>
      <c r="L181" s="191">
        <f>SUBTOTAL(9,L182:L183)</f>
        <v>0</v>
      </c>
    </row>
    <row r="182" spans="1:12" ht="13.5" customHeight="1">
      <c r="A182" s="196">
        <v>70</v>
      </c>
      <c r="B182" s="197" t="s">
        <v>358</v>
      </c>
      <c r="C182" s="197" t="s">
        <v>359</v>
      </c>
      <c r="D182" s="197" t="s">
        <v>357</v>
      </c>
      <c r="E182" s="198" t="s">
        <v>360</v>
      </c>
      <c r="F182" s="199">
        <v>1</v>
      </c>
      <c r="G182" s="231"/>
      <c r="H182" s="200">
        <f>F182*G182</f>
        <v>0</v>
      </c>
      <c r="J182" s="201" t="s">
        <v>103</v>
      </c>
      <c r="K182" s="200">
        <f aca="true" t="shared" si="24" ref="K182:K183">IF(J182="I",H182," ")</f>
        <v>0</v>
      </c>
      <c r="L182" s="200" t="str">
        <f aca="true" t="shared" si="25" ref="L182:L183">IF(J182="N",H182," ")</f>
        <v xml:space="preserve"> </v>
      </c>
    </row>
    <row r="183" spans="1:12" ht="13.5" customHeight="1">
      <c r="A183" s="196">
        <v>71</v>
      </c>
      <c r="B183" s="197" t="s">
        <v>358</v>
      </c>
      <c r="C183" s="197" t="s">
        <v>359</v>
      </c>
      <c r="D183" s="197" t="s">
        <v>361</v>
      </c>
      <c r="E183" s="198" t="s">
        <v>360</v>
      </c>
      <c r="F183" s="199">
        <v>1</v>
      </c>
      <c r="G183" s="231"/>
      <c r="H183" s="200">
        <f>F183*G183</f>
        <v>0</v>
      </c>
      <c r="J183" s="201" t="s">
        <v>103</v>
      </c>
      <c r="K183" s="200">
        <f t="shared" si="24"/>
        <v>0</v>
      </c>
      <c r="L183" s="200" t="str">
        <f t="shared" si="25"/>
        <v xml:space="preserve"> </v>
      </c>
    </row>
    <row r="184" spans="1:12" ht="30.75" customHeight="1">
      <c r="A184" s="222"/>
      <c r="B184" s="223"/>
      <c r="C184" s="223"/>
      <c r="D184" s="223" t="s">
        <v>362</v>
      </c>
      <c r="E184" s="224"/>
      <c r="F184" s="225"/>
      <c r="G184" s="226"/>
      <c r="H184" s="222">
        <f>H6+H56+H180</f>
        <v>0</v>
      </c>
      <c r="K184" s="222">
        <f>K6+K56+K180</f>
        <v>0</v>
      </c>
      <c r="L184" s="222">
        <f>L6+L56+L180</f>
        <v>0</v>
      </c>
    </row>
  </sheetData>
  <sheetProtection algorithmName="SHA-512" hashValue="+AyRKc0Eb3Qz1446sqA5f+RxMbghfvvcVFpcNmtchend5RHP8WPSMEW4/f1uLulapqDUjzYQmuP6uKq1x9samA==" saltValue="q5oOSZCtvcaZv4KzaSZ/3A==" spinCount="100000" sheet="1"/>
  <autoFilter ref="A3:L184"/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9"/>
  <sheetViews>
    <sheetView workbookViewId="0" topLeftCell="A16">
      <selection activeCell="B10" sqref="B10"/>
    </sheetView>
  </sheetViews>
  <sheetFormatPr defaultColWidth="14.66015625" defaultRowHeight="15" customHeight="1"/>
  <cols>
    <col min="1" max="1" width="10.16015625" style="129" customWidth="1"/>
    <col min="2" max="2" width="72.5" style="129" customWidth="1"/>
    <col min="3" max="3" width="15.33203125" style="129" customWidth="1"/>
    <col min="4" max="4" width="4" style="129" customWidth="1"/>
    <col min="5" max="6" width="17.83203125" style="129" customWidth="1"/>
    <col min="7" max="7" width="8.83203125" style="129" customWidth="1"/>
    <col min="8" max="8" width="8.83203125" style="129" hidden="1" customWidth="1"/>
    <col min="9" max="10" width="16.83203125" style="129" hidden="1" customWidth="1"/>
    <col min="11" max="26" width="8.83203125" style="129" customWidth="1"/>
    <col min="27" max="16384" width="14.66015625" style="129" customWidth="1"/>
  </cols>
  <sheetData>
    <row r="1" spans="1:6" ht="12.75" customHeight="1">
      <c r="A1" s="125"/>
      <c r="B1" s="126" t="s">
        <v>363</v>
      </c>
      <c r="C1" s="127"/>
      <c r="D1" s="127"/>
      <c r="E1" s="127"/>
      <c r="F1" s="128"/>
    </row>
    <row r="2" spans="1:10" ht="25.5" customHeight="1">
      <c r="A2" s="130" t="s">
        <v>364</v>
      </c>
      <c r="B2" s="131" t="s">
        <v>365</v>
      </c>
      <c r="C2" s="132"/>
      <c r="D2" s="132"/>
      <c r="E2" s="132"/>
      <c r="F2" s="133"/>
      <c r="H2" s="182" t="s">
        <v>87</v>
      </c>
      <c r="I2" s="2" t="s">
        <v>2</v>
      </c>
      <c r="J2" s="2" t="s">
        <v>3</v>
      </c>
    </row>
    <row r="3" spans="1:8" ht="12.75" customHeight="1">
      <c r="A3" s="134" t="s">
        <v>366</v>
      </c>
      <c r="B3" s="135" t="s">
        <v>367</v>
      </c>
      <c r="C3" s="136" t="s">
        <v>368</v>
      </c>
      <c r="D3" s="160" t="s">
        <v>369</v>
      </c>
      <c r="E3" s="322" t="s">
        <v>370</v>
      </c>
      <c r="F3" s="323" t="s">
        <v>371</v>
      </c>
      <c r="H3" s="174"/>
    </row>
    <row r="4" spans="1:10" ht="12.75" customHeight="1">
      <c r="A4" s="137"/>
      <c r="B4" s="138" t="s">
        <v>372</v>
      </c>
      <c r="C4" s="139"/>
      <c r="D4" s="142"/>
      <c r="E4" s="234"/>
      <c r="F4" s="143"/>
      <c r="H4" s="174"/>
      <c r="I4" s="200" t="str">
        <f aca="true" t="shared" si="0" ref="I4:I37">IF(H4="I",F4," ")</f>
        <v xml:space="preserve"> </v>
      </c>
      <c r="J4" s="200" t="str">
        <f>IF(H4="N",F4," ")</f>
        <v xml:space="preserve"> </v>
      </c>
    </row>
    <row r="5" spans="1:10" ht="12.75" customHeight="1">
      <c r="A5" s="140"/>
      <c r="B5" s="141"/>
      <c r="C5" s="142"/>
      <c r="D5" s="142"/>
      <c r="E5" s="234"/>
      <c r="F5" s="143"/>
      <c r="H5" s="174"/>
      <c r="I5" s="200" t="str">
        <f t="shared" si="0"/>
        <v xml:space="preserve"> </v>
      </c>
      <c r="J5" s="200" t="str">
        <f aca="true" t="shared" si="1" ref="J5:J37">IF(H5="N",F5," ")</f>
        <v xml:space="preserve"> </v>
      </c>
    </row>
    <row r="6" spans="1:10" ht="12.75" customHeight="1">
      <c r="A6" s="140" t="s">
        <v>373</v>
      </c>
      <c r="B6" s="141" t="s">
        <v>374</v>
      </c>
      <c r="C6" s="142"/>
      <c r="D6" s="142"/>
      <c r="E6" s="234"/>
      <c r="F6" s="143"/>
      <c r="H6" s="174"/>
      <c r="I6" s="200" t="str">
        <f t="shared" si="0"/>
        <v xml:space="preserve"> </v>
      </c>
      <c r="J6" s="200" t="str">
        <f t="shared" si="1"/>
        <v xml:space="preserve"> </v>
      </c>
    </row>
    <row r="7" spans="1:10" ht="13.8">
      <c r="A7" s="140"/>
      <c r="B7" s="141" t="s">
        <v>375</v>
      </c>
      <c r="C7" s="142">
        <v>3</v>
      </c>
      <c r="D7" s="142" t="s">
        <v>360</v>
      </c>
      <c r="E7" s="235"/>
      <c r="F7" s="161">
        <f>E7*C7</f>
        <v>0</v>
      </c>
      <c r="G7" s="144"/>
      <c r="H7" s="233" t="s">
        <v>103</v>
      </c>
      <c r="I7" s="200">
        <f t="shared" si="0"/>
        <v>0</v>
      </c>
      <c r="J7" s="200" t="str">
        <f t="shared" si="1"/>
        <v xml:space="preserve"> </v>
      </c>
    </row>
    <row r="8" spans="1:10" ht="12.75" customHeight="1">
      <c r="A8" s="140"/>
      <c r="B8" s="141"/>
      <c r="C8" s="145"/>
      <c r="D8" s="145"/>
      <c r="E8" s="234"/>
      <c r="F8" s="143"/>
      <c r="H8" s="174"/>
      <c r="I8" s="200" t="str">
        <f t="shared" si="0"/>
        <v xml:space="preserve"> </v>
      </c>
      <c r="J8" s="200" t="str">
        <f t="shared" si="1"/>
        <v xml:space="preserve"> </v>
      </c>
    </row>
    <row r="9" spans="1:10" ht="12.75" customHeight="1">
      <c r="A9" s="140"/>
      <c r="B9" s="141"/>
      <c r="C9" s="142"/>
      <c r="D9" s="142"/>
      <c r="E9" s="234"/>
      <c r="F9" s="143"/>
      <c r="H9" s="174"/>
      <c r="I9" s="200" t="str">
        <f t="shared" si="0"/>
        <v xml:space="preserve"> </v>
      </c>
      <c r="J9" s="200" t="str">
        <f t="shared" si="1"/>
        <v xml:space="preserve"> </v>
      </c>
    </row>
    <row r="10" spans="1:10" ht="45.6">
      <c r="A10" s="285" t="s">
        <v>376</v>
      </c>
      <c r="B10" s="284" t="s">
        <v>377</v>
      </c>
      <c r="C10" s="284"/>
      <c r="D10" s="284"/>
      <c r="E10" s="284"/>
      <c r="F10" s="286"/>
      <c r="H10" s="174"/>
      <c r="I10" s="287" t="str">
        <f t="shared" si="0"/>
        <v xml:space="preserve"> </v>
      </c>
      <c r="J10" s="287" t="str">
        <f t="shared" si="1"/>
        <v xml:space="preserve"> </v>
      </c>
    </row>
    <row r="11" spans="1:10" ht="12.75" customHeight="1">
      <c r="A11" s="140"/>
      <c r="B11" s="141" t="s">
        <v>378</v>
      </c>
      <c r="C11" s="142">
        <v>30</v>
      </c>
      <c r="D11" s="142" t="s">
        <v>379</v>
      </c>
      <c r="E11" s="235"/>
      <c r="F11" s="161">
        <f>E11*C11</f>
        <v>0</v>
      </c>
      <c r="H11" s="233" t="s">
        <v>103</v>
      </c>
      <c r="I11" s="200">
        <f t="shared" si="0"/>
        <v>0</v>
      </c>
      <c r="J11" s="200" t="str">
        <f t="shared" si="1"/>
        <v xml:space="preserve"> </v>
      </c>
    </row>
    <row r="12" spans="1:10" ht="12.75" customHeight="1">
      <c r="A12" s="140"/>
      <c r="B12" s="141"/>
      <c r="C12" s="142"/>
      <c r="D12" s="142"/>
      <c r="E12" s="234"/>
      <c r="F12" s="143"/>
      <c r="H12" s="174"/>
      <c r="I12" s="200" t="str">
        <f t="shared" si="0"/>
        <v xml:space="preserve"> </v>
      </c>
      <c r="J12" s="200" t="str">
        <f t="shared" si="1"/>
        <v xml:space="preserve"> </v>
      </c>
    </row>
    <row r="13" spans="1:10" ht="16.5" customHeight="1">
      <c r="A13" s="140" t="s">
        <v>380</v>
      </c>
      <c r="B13" s="141" t="s">
        <v>381</v>
      </c>
      <c r="C13" s="142"/>
      <c r="D13" s="142"/>
      <c r="E13" s="234"/>
      <c r="F13" s="143"/>
      <c r="H13" s="174"/>
      <c r="I13" s="200" t="str">
        <f t="shared" si="0"/>
        <v xml:space="preserve"> </v>
      </c>
      <c r="J13" s="200" t="str">
        <f t="shared" si="1"/>
        <v xml:space="preserve"> </v>
      </c>
    </row>
    <row r="14" spans="1:10" ht="12.75" customHeight="1">
      <c r="A14" s="140"/>
      <c r="B14" s="141" t="s">
        <v>378</v>
      </c>
      <c r="C14" s="142">
        <v>81</v>
      </c>
      <c r="D14" s="142" t="s">
        <v>379</v>
      </c>
      <c r="E14" s="235"/>
      <c r="F14" s="161">
        <f>E14*C14</f>
        <v>0</v>
      </c>
      <c r="H14" s="233" t="s">
        <v>103</v>
      </c>
      <c r="I14" s="200">
        <f t="shared" si="0"/>
        <v>0</v>
      </c>
      <c r="J14" s="200" t="str">
        <f t="shared" si="1"/>
        <v xml:space="preserve"> </v>
      </c>
    </row>
    <row r="15" spans="1:10" ht="12.75" customHeight="1">
      <c r="A15" s="140"/>
      <c r="B15" s="141"/>
      <c r="C15" s="142"/>
      <c r="D15" s="142"/>
      <c r="E15" s="234"/>
      <c r="F15" s="143"/>
      <c r="H15" s="174"/>
      <c r="I15" s="200" t="str">
        <f t="shared" si="0"/>
        <v xml:space="preserve"> </v>
      </c>
      <c r="J15" s="200" t="str">
        <f t="shared" si="1"/>
        <v xml:space="preserve"> </v>
      </c>
    </row>
    <row r="16" spans="1:10" ht="27.75" customHeight="1">
      <c r="A16" s="140" t="s">
        <v>382</v>
      </c>
      <c r="B16" s="141" t="s">
        <v>383</v>
      </c>
      <c r="C16" s="142"/>
      <c r="D16" s="142"/>
      <c r="E16" s="234"/>
      <c r="F16" s="143"/>
      <c r="H16" s="174"/>
      <c r="I16" s="200" t="str">
        <f t="shared" si="0"/>
        <v xml:space="preserve"> </v>
      </c>
      <c r="J16" s="200" t="str">
        <f t="shared" si="1"/>
        <v xml:space="preserve"> </v>
      </c>
    </row>
    <row r="17" spans="1:10" ht="12.75" customHeight="1">
      <c r="A17" s="140"/>
      <c r="B17" s="141" t="s">
        <v>384</v>
      </c>
      <c r="C17" s="142">
        <v>45</v>
      </c>
      <c r="D17" s="142" t="s">
        <v>102</v>
      </c>
      <c r="E17" s="235"/>
      <c r="F17" s="161">
        <f>E17*C17</f>
        <v>0</v>
      </c>
      <c r="H17" s="233" t="s">
        <v>103</v>
      </c>
      <c r="I17" s="200">
        <f t="shared" si="0"/>
        <v>0</v>
      </c>
      <c r="J17" s="200" t="str">
        <f t="shared" si="1"/>
        <v xml:space="preserve"> </v>
      </c>
    </row>
    <row r="18" spans="1:10" ht="12.75" customHeight="1">
      <c r="A18" s="140"/>
      <c r="B18" s="141" t="s">
        <v>385</v>
      </c>
      <c r="C18" s="142">
        <v>30</v>
      </c>
      <c r="D18" s="142" t="s">
        <v>102</v>
      </c>
      <c r="E18" s="235"/>
      <c r="F18" s="161">
        <f>E18*C18</f>
        <v>0</v>
      </c>
      <c r="H18" s="233" t="s">
        <v>103</v>
      </c>
      <c r="I18" s="200">
        <f t="shared" si="0"/>
        <v>0</v>
      </c>
      <c r="J18" s="200" t="str">
        <f t="shared" si="1"/>
        <v xml:space="preserve"> </v>
      </c>
    </row>
    <row r="19" spans="1:10" ht="12.75" customHeight="1">
      <c r="A19" s="140"/>
      <c r="B19" s="141"/>
      <c r="C19" s="142"/>
      <c r="D19" s="142"/>
      <c r="E19" s="234"/>
      <c r="F19" s="143"/>
      <c r="H19" s="174"/>
      <c r="I19" s="200" t="str">
        <f t="shared" si="0"/>
        <v xml:space="preserve"> </v>
      </c>
      <c r="J19" s="200" t="str">
        <f t="shared" si="1"/>
        <v xml:space="preserve"> </v>
      </c>
    </row>
    <row r="20" spans="1:10" ht="12.75" customHeight="1">
      <c r="A20" s="140" t="s">
        <v>386</v>
      </c>
      <c r="B20" s="141" t="s">
        <v>387</v>
      </c>
      <c r="C20" s="142"/>
      <c r="D20" s="142"/>
      <c r="E20" s="234"/>
      <c r="F20" s="143"/>
      <c r="H20" s="174"/>
      <c r="I20" s="200" t="str">
        <f t="shared" si="0"/>
        <v xml:space="preserve"> </v>
      </c>
      <c r="J20" s="200" t="str">
        <f t="shared" si="1"/>
        <v xml:space="preserve"> </v>
      </c>
    </row>
    <row r="21" spans="1:10" ht="12.75" customHeight="1">
      <c r="A21" s="140"/>
      <c r="B21" s="141" t="s">
        <v>388</v>
      </c>
      <c r="C21" s="142">
        <v>48</v>
      </c>
      <c r="D21" s="142" t="s">
        <v>389</v>
      </c>
      <c r="E21" s="235"/>
      <c r="F21" s="161">
        <f>E21*C21</f>
        <v>0</v>
      </c>
      <c r="H21" s="233" t="s">
        <v>103</v>
      </c>
      <c r="I21" s="200">
        <f t="shared" si="0"/>
        <v>0</v>
      </c>
      <c r="J21" s="200" t="str">
        <f t="shared" si="1"/>
        <v xml:space="preserve"> </v>
      </c>
    </row>
    <row r="22" spans="1:10" ht="12.75" customHeight="1">
      <c r="A22" s="140"/>
      <c r="B22" s="141"/>
      <c r="C22" s="142"/>
      <c r="D22" s="142"/>
      <c r="E22" s="234"/>
      <c r="F22" s="143"/>
      <c r="H22" s="174"/>
      <c r="I22" s="200" t="str">
        <f t="shared" si="0"/>
        <v xml:space="preserve"> </v>
      </c>
      <c r="J22" s="200" t="str">
        <f t="shared" si="1"/>
        <v xml:space="preserve"> </v>
      </c>
    </row>
    <row r="23" spans="1:10" ht="12.75" customHeight="1">
      <c r="A23" s="140" t="s">
        <v>390</v>
      </c>
      <c r="B23" s="141" t="s">
        <v>391</v>
      </c>
      <c r="C23" s="142"/>
      <c r="D23" s="142"/>
      <c r="E23" s="234"/>
      <c r="F23" s="143"/>
      <c r="H23" s="174"/>
      <c r="I23" s="200" t="str">
        <f t="shared" si="0"/>
        <v xml:space="preserve"> </v>
      </c>
      <c r="J23" s="200" t="str">
        <f t="shared" si="1"/>
        <v xml:space="preserve"> </v>
      </c>
    </row>
    <row r="24" spans="1:10" ht="12.75" customHeight="1">
      <c r="A24" s="140"/>
      <c r="B24" s="141" t="s">
        <v>392</v>
      </c>
      <c r="C24" s="142">
        <v>48</v>
      </c>
      <c r="D24" s="142" t="s">
        <v>389</v>
      </c>
      <c r="E24" s="235"/>
      <c r="F24" s="161">
        <f>E24*C24</f>
        <v>0</v>
      </c>
      <c r="H24" s="233" t="s">
        <v>103</v>
      </c>
      <c r="I24" s="200">
        <f t="shared" si="0"/>
        <v>0</v>
      </c>
      <c r="J24" s="200" t="str">
        <f t="shared" si="1"/>
        <v xml:space="preserve"> </v>
      </c>
    </row>
    <row r="25" spans="1:10" ht="12.75" customHeight="1">
      <c r="A25" s="140"/>
      <c r="B25" s="141"/>
      <c r="C25" s="142"/>
      <c r="D25" s="142"/>
      <c r="E25" s="234"/>
      <c r="F25" s="143"/>
      <c r="H25" s="174"/>
      <c r="I25" s="200" t="str">
        <f t="shared" si="0"/>
        <v xml:space="preserve"> </v>
      </c>
      <c r="J25" s="200" t="str">
        <f t="shared" si="1"/>
        <v xml:space="preserve"> </v>
      </c>
    </row>
    <row r="26" spans="1:10" ht="12.75" customHeight="1">
      <c r="A26" s="140" t="s">
        <v>393</v>
      </c>
      <c r="B26" s="141" t="s">
        <v>394</v>
      </c>
      <c r="C26" s="142"/>
      <c r="D26" s="142"/>
      <c r="E26" s="234"/>
      <c r="F26" s="143"/>
      <c r="H26" s="174"/>
      <c r="I26" s="200" t="str">
        <f t="shared" si="0"/>
        <v xml:space="preserve"> </v>
      </c>
      <c r="J26" s="200" t="str">
        <f t="shared" si="1"/>
        <v xml:space="preserve"> </v>
      </c>
    </row>
    <row r="27" spans="1:10" ht="12.75" customHeight="1">
      <c r="A27" s="140"/>
      <c r="B27" s="141"/>
      <c r="C27" s="142">
        <v>3</v>
      </c>
      <c r="D27" s="142" t="s">
        <v>389</v>
      </c>
      <c r="E27" s="235"/>
      <c r="F27" s="161">
        <f>E27*C27</f>
        <v>0</v>
      </c>
      <c r="G27" s="144"/>
      <c r="H27" s="233" t="s">
        <v>103</v>
      </c>
      <c r="I27" s="200">
        <f t="shared" si="0"/>
        <v>0</v>
      </c>
      <c r="J27" s="200" t="str">
        <f t="shared" si="1"/>
        <v xml:space="preserve"> </v>
      </c>
    </row>
    <row r="28" spans="1:10" ht="12.75" customHeight="1">
      <c r="A28" s="140"/>
      <c r="B28" s="141"/>
      <c r="C28" s="142"/>
      <c r="D28" s="142"/>
      <c r="E28" s="234"/>
      <c r="F28" s="143"/>
      <c r="G28" s="144"/>
      <c r="H28" s="174"/>
      <c r="I28" s="200" t="str">
        <f t="shared" si="0"/>
        <v xml:space="preserve"> </v>
      </c>
      <c r="J28" s="200" t="str">
        <f t="shared" si="1"/>
        <v xml:space="preserve"> </v>
      </c>
    </row>
    <row r="29" spans="1:10" ht="12.75" customHeight="1">
      <c r="A29" s="140" t="s">
        <v>395</v>
      </c>
      <c r="B29" s="141" t="s">
        <v>396</v>
      </c>
      <c r="C29" s="142">
        <v>94</v>
      </c>
      <c r="D29" s="142" t="s">
        <v>102</v>
      </c>
      <c r="E29" s="235"/>
      <c r="F29" s="161">
        <f>E29*C29</f>
        <v>0</v>
      </c>
      <c r="H29" s="233" t="s">
        <v>103</v>
      </c>
      <c r="I29" s="200">
        <f t="shared" si="0"/>
        <v>0</v>
      </c>
      <c r="J29" s="200" t="str">
        <f t="shared" si="1"/>
        <v xml:space="preserve"> </v>
      </c>
    </row>
    <row r="30" spans="1:10" ht="12.75" customHeight="1">
      <c r="A30" s="140"/>
      <c r="B30" s="141"/>
      <c r="C30" s="142"/>
      <c r="D30" s="142"/>
      <c r="E30" s="234"/>
      <c r="F30" s="143"/>
      <c r="H30" s="174"/>
      <c r="I30" s="200" t="str">
        <f t="shared" si="0"/>
        <v xml:space="preserve"> </v>
      </c>
      <c r="J30" s="200" t="str">
        <f t="shared" si="1"/>
        <v xml:space="preserve"> </v>
      </c>
    </row>
    <row r="31" spans="1:10" ht="12.75" customHeight="1">
      <c r="A31" s="146"/>
      <c r="B31" s="147" t="s">
        <v>397</v>
      </c>
      <c r="C31" s="148"/>
      <c r="D31" s="148"/>
      <c r="E31" s="236"/>
      <c r="F31" s="149"/>
      <c r="H31" s="174"/>
      <c r="I31" s="200" t="str">
        <f t="shared" si="0"/>
        <v xml:space="preserve"> </v>
      </c>
      <c r="J31" s="200" t="str">
        <f t="shared" si="1"/>
        <v xml:space="preserve"> </v>
      </c>
    </row>
    <row r="32" spans="1:10" ht="12.75" customHeight="1">
      <c r="A32" s="146"/>
      <c r="B32" s="150"/>
      <c r="C32" s="148"/>
      <c r="D32" s="148"/>
      <c r="E32" s="236"/>
      <c r="F32" s="149"/>
      <c r="H32" s="174"/>
      <c r="I32" s="200" t="str">
        <f t="shared" si="0"/>
        <v xml:space="preserve"> </v>
      </c>
      <c r="J32" s="200" t="str">
        <f t="shared" si="1"/>
        <v xml:space="preserve"> </v>
      </c>
    </row>
    <row r="33" spans="1:10" ht="12.75" customHeight="1">
      <c r="A33" s="146" t="s">
        <v>398</v>
      </c>
      <c r="B33" s="150" t="s">
        <v>399</v>
      </c>
      <c r="C33" s="148"/>
      <c r="D33" s="148"/>
      <c r="E33" s="236"/>
      <c r="F33" s="149"/>
      <c r="H33" s="174"/>
      <c r="I33" s="200" t="str">
        <f t="shared" si="0"/>
        <v xml:space="preserve"> </v>
      </c>
      <c r="J33" s="200" t="str">
        <f t="shared" si="1"/>
        <v xml:space="preserve"> </v>
      </c>
    </row>
    <row r="34" spans="1:10" ht="12.75" customHeight="1">
      <c r="A34" s="146"/>
      <c r="B34" s="150" t="s">
        <v>400</v>
      </c>
      <c r="C34" s="148">
        <v>21</v>
      </c>
      <c r="D34" s="148" t="s">
        <v>389</v>
      </c>
      <c r="E34" s="237"/>
      <c r="F34" s="162">
        <f>E34*C34</f>
        <v>0</v>
      </c>
      <c r="H34" s="233" t="s">
        <v>103</v>
      </c>
      <c r="I34" s="200">
        <f t="shared" si="0"/>
        <v>0</v>
      </c>
      <c r="J34" s="200" t="str">
        <f t="shared" si="1"/>
        <v xml:space="preserve"> </v>
      </c>
    </row>
    <row r="35" spans="1:10" ht="15" customHeight="1">
      <c r="A35" s="151"/>
      <c r="B35" s="152"/>
      <c r="C35" s="152"/>
      <c r="D35" s="152"/>
      <c r="E35" s="238"/>
      <c r="F35" s="153"/>
      <c r="H35" s="174"/>
      <c r="I35" s="200" t="str">
        <f t="shared" si="0"/>
        <v xml:space="preserve"> </v>
      </c>
      <c r="J35" s="200" t="str">
        <f t="shared" si="1"/>
        <v xml:space="preserve"> </v>
      </c>
    </row>
    <row r="36" spans="1:10" ht="24" customHeight="1">
      <c r="A36" s="154" t="s">
        <v>401</v>
      </c>
      <c r="B36" s="155" t="s">
        <v>402</v>
      </c>
      <c r="C36" s="156">
        <v>3</v>
      </c>
      <c r="D36" s="163" t="s">
        <v>360</v>
      </c>
      <c r="E36" s="239"/>
      <c r="F36" s="164">
        <f>E36*C36</f>
        <v>0</v>
      </c>
      <c r="H36" s="233" t="s">
        <v>103</v>
      </c>
      <c r="I36" s="200">
        <f t="shared" si="0"/>
        <v>0</v>
      </c>
      <c r="J36" s="200" t="str">
        <f t="shared" si="1"/>
        <v xml:space="preserve"> </v>
      </c>
    </row>
    <row r="37" spans="1:10" ht="24" customHeight="1" thickBot="1">
      <c r="A37" s="157" t="s">
        <v>401</v>
      </c>
      <c r="B37" s="158" t="s">
        <v>403</v>
      </c>
      <c r="C37" s="159">
        <v>1</v>
      </c>
      <c r="D37" s="165" t="s">
        <v>360</v>
      </c>
      <c r="E37" s="240"/>
      <c r="F37" s="166">
        <f>E37*C37</f>
        <v>0</v>
      </c>
      <c r="H37" s="233" t="s">
        <v>103</v>
      </c>
      <c r="I37" s="200">
        <f t="shared" si="0"/>
        <v>0</v>
      </c>
      <c r="J37" s="200" t="str">
        <f t="shared" si="1"/>
        <v xml:space="preserve"> </v>
      </c>
    </row>
    <row r="38" ht="15.75" customHeight="1">
      <c r="H38" s="174"/>
    </row>
    <row r="39" spans="1:10" ht="15" customHeight="1">
      <c r="A39" s="36" t="s">
        <v>404</v>
      </c>
      <c r="B39" s="37" t="s">
        <v>405</v>
      </c>
      <c r="C39" s="37" t="s">
        <v>86</v>
      </c>
      <c r="D39" s="36"/>
      <c r="E39" s="36" t="s">
        <v>406</v>
      </c>
      <c r="F39" s="167">
        <f>SUM(F7:F37)</f>
        <v>0</v>
      </c>
      <c r="H39" s="174"/>
      <c r="I39" s="167">
        <f>SUM(I4:I38)</f>
        <v>0</v>
      </c>
      <c r="J39" s="167">
        <f>SUM(J4:J38)</f>
        <v>0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 algorithmName="SHA-512" hashValue="MIx+em/5PUj5eZWcDS4BHEg0lgQ9FxdjexPtoa12fLFmSJ2c9yHWwv1ducs5nn/Ael+mjFzW9wskLLLYSGYcIQ==" saltValue="Viiskgq0U22CQ+AMGsh7O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1"/>
  <sheetViews>
    <sheetView workbookViewId="0" topLeftCell="A52">
      <selection activeCell="G28" sqref="G28"/>
    </sheetView>
  </sheetViews>
  <sheetFormatPr defaultColWidth="9.33203125" defaultRowHeight="10.5"/>
  <cols>
    <col min="1" max="1" width="9.16015625" style="184" customWidth="1"/>
    <col min="2" max="2" width="56.83203125" style="184" customWidth="1"/>
    <col min="3" max="3" width="25.83203125" style="184" customWidth="1"/>
    <col min="4" max="4" width="8" style="184" bestFit="1" customWidth="1"/>
    <col min="5" max="5" width="11.66015625" style="184" bestFit="1" customWidth="1"/>
    <col min="6" max="6" width="13.33203125" style="184" customWidth="1"/>
    <col min="7" max="7" width="18.83203125" style="184" customWidth="1"/>
    <col min="8" max="8" width="9.33203125" style="184" customWidth="1"/>
    <col min="9" max="9" width="9.33203125" style="184" hidden="1" customWidth="1"/>
    <col min="10" max="11" width="17.33203125" style="184" hidden="1" customWidth="1"/>
    <col min="12" max="16384" width="9.33203125" style="184" customWidth="1"/>
  </cols>
  <sheetData>
    <row r="1" spans="1:7" ht="13.2">
      <c r="A1" s="42" t="s">
        <v>407</v>
      </c>
      <c r="B1" s="3"/>
      <c r="C1" s="4"/>
      <c r="D1" s="5"/>
      <c r="E1" s="5" t="s">
        <v>78</v>
      </c>
      <c r="F1" s="5"/>
      <c r="G1" s="5" t="s">
        <v>408</v>
      </c>
    </row>
    <row r="2" spans="1:7" ht="13.2">
      <c r="A2" s="6"/>
      <c r="B2" s="7"/>
      <c r="C2" s="8"/>
      <c r="D2" s="6"/>
      <c r="E2" s="6"/>
      <c r="F2" s="6"/>
      <c r="G2" s="6"/>
    </row>
    <row r="3" spans="1:11" ht="27" thickBot="1">
      <c r="A3" s="324" t="s">
        <v>409</v>
      </c>
      <c r="B3" s="325" t="s">
        <v>410</v>
      </c>
      <c r="C3" s="325" t="s">
        <v>411</v>
      </c>
      <c r="D3" s="326" t="s">
        <v>412</v>
      </c>
      <c r="E3" s="326" t="s">
        <v>413</v>
      </c>
      <c r="F3" s="326" t="s">
        <v>370</v>
      </c>
      <c r="G3" s="326" t="s">
        <v>371</v>
      </c>
      <c r="I3" s="175" t="s">
        <v>87</v>
      </c>
      <c r="J3" s="2" t="s">
        <v>2</v>
      </c>
      <c r="K3" s="2" t="s">
        <v>3</v>
      </c>
    </row>
    <row r="4" spans="1:9" ht="13.2">
      <c r="A4" s="9"/>
      <c r="B4" s="10" t="s">
        <v>414</v>
      </c>
      <c r="C4" s="11"/>
      <c r="D4" s="9"/>
      <c r="E4" s="9"/>
      <c r="F4" s="9"/>
      <c r="G4" s="9"/>
      <c r="I4" s="241"/>
    </row>
    <row r="5" spans="1:9" ht="13.2">
      <c r="A5" s="12"/>
      <c r="B5" s="13" t="s">
        <v>415</v>
      </c>
      <c r="C5" s="14"/>
      <c r="D5" s="12"/>
      <c r="E5" s="12"/>
      <c r="F5" s="12"/>
      <c r="G5" s="12"/>
      <c r="I5" s="241"/>
    </row>
    <row r="6" spans="1:11" ht="66">
      <c r="A6" s="15" t="s">
        <v>416</v>
      </c>
      <c r="B6" s="16" t="s">
        <v>417</v>
      </c>
      <c r="C6" s="17" t="s">
        <v>418</v>
      </c>
      <c r="D6" s="18">
        <v>300</v>
      </c>
      <c r="E6" s="18" t="s">
        <v>292</v>
      </c>
      <c r="F6" s="244"/>
      <c r="G6" s="18">
        <f>D6*F6</f>
        <v>0</v>
      </c>
      <c r="I6" s="201" t="s">
        <v>109</v>
      </c>
      <c r="J6" s="200" t="str">
        <f aca="true" t="shared" si="0" ref="J6:J50">IF(I6="I",G6," ")</f>
        <v xml:space="preserve"> </v>
      </c>
      <c r="K6" s="200">
        <f>IF(I6="N",G6," ")</f>
        <v>0</v>
      </c>
    </row>
    <row r="7" spans="1:11" ht="66">
      <c r="A7" s="15" t="s">
        <v>419</v>
      </c>
      <c r="B7" s="16" t="s">
        <v>420</v>
      </c>
      <c r="C7" s="17" t="s">
        <v>418</v>
      </c>
      <c r="D7" s="18">
        <v>30</v>
      </c>
      <c r="E7" s="18" t="s">
        <v>292</v>
      </c>
      <c r="F7" s="244"/>
      <c r="G7" s="18">
        <f>D7*F7</f>
        <v>0</v>
      </c>
      <c r="I7" s="201" t="s">
        <v>109</v>
      </c>
      <c r="J7" s="200" t="str">
        <f t="shared" si="0"/>
        <v xml:space="preserve"> </v>
      </c>
      <c r="K7" s="200">
        <f aca="true" t="shared" si="1" ref="K7:K50">IF(I7="N",G7," ")</f>
        <v>0</v>
      </c>
    </row>
    <row r="8" spans="1:11" ht="66">
      <c r="A8" s="15" t="s">
        <v>421</v>
      </c>
      <c r="B8" s="16" t="s">
        <v>422</v>
      </c>
      <c r="C8" s="17" t="s">
        <v>423</v>
      </c>
      <c r="D8" s="18">
        <v>170</v>
      </c>
      <c r="E8" s="18" t="s">
        <v>292</v>
      </c>
      <c r="F8" s="244"/>
      <c r="G8" s="18">
        <f>D8*F8</f>
        <v>0</v>
      </c>
      <c r="I8" s="201" t="s">
        <v>109</v>
      </c>
      <c r="J8" s="200" t="str">
        <f t="shared" si="0"/>
        <v xml:space="preserve"> </v>
      </c>
      <c r="K8" s="200">
        <f t="shared" si="1"/>
        <v>0</v>
      </c>
    </row>
    <row r="9" spans="1:11" ht="66">
      <c r="A9" s="15" t="s">
        <v>424</v>
      </c>
      <c r="B9" s="16" t="s">
        <v>425</v>
      </c>
      <c r="C9" s="17" t="s">
        <v>426</v>
      </c>
      <c r="D9" s="18">
        <v>0</v>
      </c>
      <c r="E9" s="18" t="s">
        <v>292</v>
      </c>
      <c r="F9" s="244"/>
      <c r="G9" s="18">
        <f>D9*F9</f>
        <v>0</v>
      </c>
      <c r="I9" s="201" t="s">
        <v>109</v>
      </c>
      <c r="J9" s="200" t="str">
        <f t="shared" si="0"/>
        <v xml:space="preserve"> </v>
      </c>
      <c r="K9" s="200">
        <f t="shared" si="1"/>
        <v>0</v>
      </c>
    </row>
    <row r="10" spans="1:11" ht="39.6">
      <c r="A10" s="15" t="s">
        <v>427</v>
      </c>
      <c r="B10" s="19" t="s">
        <v>428</v>
      </c>
      <c r="C10" s="17" t="s">
        <v>423</v>
      </c>
      <c r="D10" s="18">
        <v>6</v>
      </c>
      <c r="E10" s="18" t="s">
        <v>389</v>
      </c>
      <c r="F10" s="244"/>
      <c r="G10" s="18">
        <f>D10*F10</f>
        <v>0</v>
      </c>
      <c r="I10" s="201" t="s">
        <v>109</v>
      </c>
      <c r="J10" s="200" t="str">
        <f t="shared" si="0"/>
        <v xml:space="preserve"> </v>
      </c>
      <c r="K10" s="200">
        <f t="shared" si="1"/>
        <v>0</v>
      </c>
    </row>
    <row r="11" spans="1:11" ht="13.2">
      <c r="A11" s="20"/>
      <c r="B11" s="21" t="s">
        <v>429</v>
      </c>
      <c r="C11" s="22"/>
      <c r="D11" s="20"/>
      <c r="E11" s="20"/>
      <c r="F11" s="20"/>
      <c r="G11" s="20"/>
      <c r="I11" s="241"/>
      <c r="J11" s="200" t="str">
        <f t="shared" si="0"/>
        <v xml:space="preserve"> </v>
      </c>
      <c r="K11" s="200" t="str">
        <f t="shared" si="1"/>
        <v xml:space="preserve"> </v>
      </c>
    </row>
    <row r="12" spans="1:11" ht="26.4">
      <c r="A12" s="15" t="s">
        <v>430</v>
      </c>
      <c r="B12" s="16" t="s">
        <v>431</v>
      </c>
      <c r="C12" s="19" t="s">
        <v>432</v>
      </c>
      <c r="D12" s="18">
        <v>6</v>
      </c>
      <c r="E12" s="18" t="s">
        <v>389</v>
      </c>
      <c r="F12" s="245"/>
      <c r="G12" s="18">
        <f aca="true" t="shared" si="2" ref="G12:G46">F12*D12</f>
        <v>0</v>
      </c>
      <c r="I12" s="201" t="s">
        <v>109</v>
      </c>
      <c r="J12" s="200" t="str">
        <f t="shared" si="0"/>
        <v xml:space="preserve"> </v>
      </c>
      <c r="K12" s="200">
        <f t="shared" si="1"/>
        <v>0</v>
      </c>
    </row>
    <row r="13" spans="1:11" ht="26.4">
      <c r="A13" s="15" t="s">
        <v>433</v>
      </c>
      <c r="B13" s="16" t="s">
        <v>434</v>
      </c>
      <c r="C13" s="19" t="s">
        <v>435</v>
      </c>
      <c r="D13" s="18">
        <v>6</v>
      </c>
      <c r="E13" s="18" t="s">
        <v>389</v>
      </c>
      <c r="F13" s="245"/>
      <c r="G13" s="18">
        <f t="shared" si="2"/>
        <v>0</v>
      </c>
      <c r="I13" s="201" t="s">
        <v>109</v>
      </c>
      <c r="J13" s="200" t="str">
        <f t="shared" si="0"/>
        <v xml:space="preserve"> </v>
      </c>
      <c r="K13" s="200">
        <f t="shared" si="1"/>
        <v>0</v>
      </c>
    </row>
    <row r="14" spans="1:11" ht="39.6">
      <c r="A14" s="15" t="s">
        <v>436</v>
      </c>
      <c r="B14" s="16" t="s">
        <v>437</v>
      </c>
      <c r="C14" s="19" t="s">
        <v>438</v>
      </c>
      <c r="D14" s="18">
        <v>6</v>
      </c>
      <c r="E14" s="18" t="s">
        <v>389</v>
      </c>
      <c r="F14" s="245"/>
      <c r="G14" s="18">
        <f t="shared" si="2"/>
        <v>0</v>
      </c>
      <c r="I14" s="201" t="s">
        <v>109</v>
      </c>
      <c r="J14" s="200" t="str">
        <f t="shared" si="0"/>
        <v xml:space="preserve"> </v>
      </c>
      <c r="K14" s="200">
        <f t="shared" si="1"/>
        <v>0</v>
      </c>
    </row>
    <row r="15" spans="1:11" ht="39.6">
      <c r="A15" s="15" t="s">
        <v>439</v>
      </c>
      <c r="B15" s="16" t="s">
        <v>440</v>
      </c>
      <c r="C15" s="19" t="s">
        <v>438</v>
      </c>
      <c r="D15" s="18">
        <v>6</v>
      </c>
      <c r="E15" s="18" t="s">
        <v>389</v>
      </c>
      <c r="F15" s="245"/>
      <c r="G15" s="18">
        <f t="shared" si="2"/>
        <v>0</v>
      </c>
      <c r="I15" s="201" t="s">
        <v>109</v>
      </c>
      <c r="J15" s="200" t="str">
        <f t="shared" si="0"/>
        <v xml:space="preserve"> </v>
      </c>
      <c r="K15" s="200">
        <f t="shared" si="1"/>
        <v>0</v>
      </c>
    </row>
    <row r="16" spans="1:11" ht="26.4">
      <c r="A16" s="15" t="s">
        <v>441</v>
      </c>
      <c r="B16" s="16" t="s">
        <v>442</v>
      </c>
      <c r="C16" s="23"/>
      <c r="D16" s="18">
        <f>D42*1+D44*2+D45*2+D46*2+48</f>
        <v>384</v>
      </c>
      <c r="E16" s="18" t="s">
        <v>389</v>
      </c>
      <c r="F16" s="244"/>
      <c r="G16" s="18">
        <f t="shared" si="2"/>
        <v>0</v>
      </c>
      <c r="I16" s="201" t="s">
        <v>109</v>
      </c>
      <c r="J16" s="200" t="str">
        <f t="shared" si="0"/>
        <v xml:space="preserve"> </v>
      </c>
      <c r="K16" s="200">
        <f t="shared" si="1"/>
        <v>0</v>
      </c>
    </row>
    <row r="17" spans="1:11" ht="43.2">
      <c r="A17" s="15" t="s">
        <v>443</v>
      </c>
      <c r="B17" s="16" t="s">
        <v>444</v>
      </c>
      <c r="C17" s="23" t="s">
        <v>445</v>
      </c>
      <c r="D17" s="18">
        <v>48</v>
      </c>
      <c r="E17" s="18" t="s">
        <v>389</v>
      </c>
      <c r="F17" s="244"/>
      <c r="G17" s="18">
        <f t="shared" si="2"/>
        <v>0</v>
      </c>
      <c r="I17" s="201" t="s">
        <v>103</v>
      </c>
      <c r="J17" s="200">
        <f t="shared" si="0"/>
        <v>0</v>
      </c>
      <c r="K17" s="200" t="str">
        <f t="shared" si="1"/>
        <v xml:space="preserve"> </v>
      </c>
    </row>
    <row r="18" spans="1:11" ht="43.2">
      <c r="A18" s="15" t="s">
        <v>446</v>
      </c>
      <c r="B18" s="16" t="s">
        <v>447</v>
      </c>
      <c r="C18" s="23" t="s">
        <v>448</v>
      </c>
      <c r="D18" s="18">
        <v>48</v>
      </c>
      <c r="E18" s="18" t="s">
        <v>389</v>
      </c>
      <c r="F18" s="244"/>
      <c r="G18" s="18">
        <f t="shared" si="2"/>
        <v>0</v>
      </c>
      <c r="I18" s="201" t="s">
        <v>103</v>
      </c>
      <c r="J18" s="200">
        <f t="shared" si="0"/>
        <v>0</v>
      </c>
      <c r="K18" s="200" t="str">
        <f t="shared" si="1"/>
        <v xml:space="preserve"> </v>
      </c>
    </row>
    <row r="19" spans="1:11" ht="26.4">
      <c r="A19" s="15" t="s">
        <v>449</v>
      </c>
      <c r="B19" s="16" t="s">
        <v>450</v>
      </c>
      <c r="C19" s="23" t="s">
        <v>445</v>
      </c>
      <c r="D19" s="18">
        <v>48</v>
      </c>
      <c r="E19" s="18" t="s">
        <v>389</v>
      </c>
      <c r="F19" s="244"/>
      <c r="G19" s="18">
        <f t="shared" si="2"/>
        <v>0</v>
      </c>
      <c r="I19" s="201" t="s">
        <v>103</v>
      </c>
      <c r="J19" s="200">
        <f t="shared" si="0"/>
        <v>0</v>
      </c>
      <c r="K19" s="200" t="str">
        <f t="shared" si="1"/>
        <v xml:space="preserve"> </v>
      </c>
    </row>
    <row r="20" spans="1:11" ht="26.4">
      <c r="A20" s="15" t="s">
        <v>451</v>
      </c>
      <c r="B20" s="16" t="s">
        <v>452</v>
      </c>
      <c r="C20" s="23" t="s">
        <v>448</v>
      </c>
      <c r="D20" s="18">
        <v>48</v>
      </c>
      <c r="E20" s="18" t="s">
        <v>389</v>
      </c>
      <c r="F20" s="244"/>
      <c r="G20" s="18">
        <f t="shared" si="2"/>
        <v>0</v>
      </c>
      <c r="I20" s="201" t="s">
        <v>103</v>
      </c>
      <c r="J20" s="200">
        <f t="shared" si="0"/>
        <v>0</v>
      </c>
      <c r="K20" s="200" t="str">
        <f t="shared" si="1"/>
        <v xml:space="preserve"> </v>
      </c>
    </row>
    <row r="21" spans="1:11" ht="26.4">
      <c r="A21" s="15" t="s">
        <v>453</v>
      </c>
      <c r="B21" s="16" t="s">
        <v>454</v>
      </c>
      <c r="C21" s="23" t="s">
        <v>445</v>
      </c>
      <c r="D21" s="18">
        <v>48</v>
      </c>
      <c r="E21" s="18" t="s">
        <v>389</v>
      </c>
      <c r="F21" s="244"/>
      <c r="G21" s="18">
        <f t="shared" si="2"/>
        <v>0</v>
      </c>
      <c r="I21" s="201" t="s">
        <v>103</v>
      </c>
      <c r="J21" s="200">
        <f t="shared" si="0"/>
        <v>0</v>
      </c>
      <c r="K21" s="200" t="str">
        <f t="shared" si="1"/>
        <v xml:space="preserve"> </v>
      </c>
    </row>
    <row r="22" spans="1:11" ht="26.4">
      <c r="A22" s="15" t="s">
        <v>455</v>
      </c>
      <c r="B22" s="16" t="s">
        <v>456</v>
      </c>
      <c r="C22" s="23" t="s">
        <v>448</v>
      </c>
      <c r="D22" s="18">
        <v>48</v>
      </c>
      <c r="E22" s="18" t="s">
        <v>389</v>
      </c>
      <c r="F22" s="244"/>
      <c r="G22" s="18">
        <f t="shared" si="2"/>
        <v>0</v>
      </c>
      <c r="I22" s="201" t="s">
        <v>103</v>
      </c>
      <c r="J22" s="200">
        <f t="shared" si="0"/>
        <v>0</v>
      </c>
      <c r="K22" s="200" t="str">
        <f t="shared" si="1"/>
        <v xml:space="preserve"> </v>
      </c>
    </row>
    <row r="23" spans="1:11" ht="66">
      <c r="A23" s="15" t="s">
        <v>457</v>
      </c>
      <c r="B23" s="16" t="s">
        <v>458</v>
      </c>
      <c r="C23" s="19" t="s">
        <v>459</v>
      </c>
      <c r="D23" s="18">
        <v>40</v>
      </c>
      <c r="E23" s="18" t="s">
        <v>292</v>
      </c>
      <c r="F23" s="245"/>
      <c r="G23" s="18">
        <f t="shared" si="2"/>
        <v>0</v>
      </c>
      <c r="I23" s="201" t="s">
        <v>109</v>
      </c>
      <c r="J23" s="200" t="str">
        <f t="shared" si="0"/>
        <v xml:space="preserve"> </v>
      </c>
      <c r="K23" s="200">
        <f t="shared" si="1"/>
        <v>0</v>
      </c>
    </row>
    <row r="24" spans="1:11" ht="66">
      <c r="A24" s="15" t="s">
        <v>460</v>
      </c>
      <c r="B24" s="16" t="s">
        <v>461</v>
      </c>
      <c r="C24" s="19" t="s">
        <v>459</v>
      </c>
      <c r="D24" s="18">
        <f>135-D23</f>
        <v>95</v>
      </c>
      <c r="E24" s="18" t="s">
        <v>292</v>
      </c>
      <c r="F24" s="245"/>
      <c r="G24" s="18">
        <f t="shared" si="2"/>
        <v>0</v>
      </c>
      <c r="I24" s="201" t="s">
        <v>109</v>
      </c>
      <c r="J24" s="200" t="str">
        <f t="shared" si="0"/>
        <v xml:space="preserve"> </v>
      </c>
      <c r="K24" s="200">
        <f t="shared" si="1"/>
        <v>0</v>
      </c>
    </row>
    <row r="25" spans="1:11" ht="66">
      <c r="A25" s="15" t="s">
        <v>462</v>
      </c>
      <c r="B25" s="16" t="s">
        <v>463</v>
      </c>
      <c r="C25" s="19" t="s">
        <v>464</v>
      </c>
      <c r="D25" s="18">
        <v>60</v>
      </c>
      <c r="E25" s="18" t="s">
        <v>292</v>
      </c>
      <c r="F25" s="245"/>
      <c r="G25" s="18">
        <f t="shared" si="2"/>
        <v>0</v>
      </c>
      <c r="I25" s="201" t="s">
        <v>109</v>
      </c>
      <c r="J25" s="200" t="str">
        <f t="shared" si="0"/>
        <v xml:space="preserve"> </v>
      </c>
      <c r="K25" s="200">
        <f t="shared" si="1"/>
        <v>0</v>
      </c>
    </row>
    <row r="26" spans="1:11" ht="66">
      <c r="A26" s="15" t="s">
        <v>465</v>
      </c>
      <c r="B26" s="16" t="s">
        <v>466</v>
      </c>
      <c r="C26" s="19" t="s">
        <v>464</v>
      </c>
      <c r="D26" s="18">
        <v>75</v>
      </c>
      <c r="E26" s="18" t="s">
        <v>292</v>
      </c>
      <c r="F26" s="245"/>
      <c r="G26" s="18">
        <f t="shared" si="2"/>
        <v>0</v>
      </c>
      <c r="I26" s="201" t="s">
        <v>109</v>
      </c>
      <c r="J26" s="200" t="str">
        <f t="shared" si="0"/>
        <v xml:space="preserve"> </v>
      </c>
      <c r="K26" s="200">
        <f t="shared" si="1"/>
        <v>0</v>
      </c>
    </row>
    <row r="27" spans="1:11" ht="66">
      <c r="A27" s="15" t="s">
        <v>467</v>
      </c>
      <c r="B27" s="16" t="s">
        <v>468</v>
      </c>
      <c r="C27" s="19" t="s">
        <v>469</v>
      </c>
      <c r="D27" s="18">
        <f>22.5*6</f>
        <v>135</v>
      </c>
      <c r="E27" s="18" t="s">
        <v>292</v>
      </c>
      <c r="F27" s="245"/>
      <c r="G27" s="18">
        <f t="shared" si="2"/>
        <v>0</v>
      </c>
      <c r="I27" s="201" t="s">
        <v>109</v>
      </c>
      <c r="J27" s="200" t="str">
        <f t="shared" si="0"/>
        <v xml:space="preserve"> </v>
      </c>
      <c r="K27" s="200">
        <f t="shared" si="1"/>
        <v>0</v>
      </c>
    </row>
    <row r="28" spans="1:11" ht="52.8">
      <c r="A28" s="15" t="s">
        <v>470</v>
      </c>
      <c r="B28" s="16" t="s">
        <v>471</v>
      </c>
      <c r="C28" s="19" t="s">
        <v>472</v>
      </c>
      <c r="D28" s="18">
        <v>100</v>
      </c>
      <c r="E28" s="18" t="s">
        <v>292</v>
      </c>
      <c r="F28" s="244"/>
      <c r="G28" s="18">
        <f t="shared" si="2"/>
        <v>0</v>
      </c>
      <c r="I28" s="201" t="s">
        <v>109</v>
      </c>
      <c r="J28" s="200" t="str">
        <f t="shared" si="0"/>
        <v xml:space="preserve"> </v>
      </c>
      <c r="K28" s="200">
        <f t="shared" si="1"/>
        <v>0</v>
      </c>
    </row>
    <row r="29" spans="1:11" ht="52.8">
      <c r="A29" s="15" t="s">
        <v>473</v>
      </c>
      <c r="B29" s="16" t="s">
        <v>474</v>
      </c>
      <c r="C29" s="19" t="s">
        <v>472</v>
      </c>
      <c r="D29" s="18">
        <v>670</v>
      </c>
      <c r="E29" s="18" t="s">
        <v>292</v>
      </c>
      <c r="F29" s="244"/>
      <c r="G29" s="18">
        <f t="shared" si="2"/>
        <v>0</v>
      </c>
      <c r="I29" s="201" t="s">
        <v>109</v>
      </c>
      <c r="J29" s="200" t="str">
        <f t="shared" si="0"/>
        <v xml:space="preserve"> </v>
      </c>
      <c r="K29" s="200">
        <f t="shared" si="1"/>
        <v>0</v>
      </c>
    </row>
    <row r="30" spans="1:11" ht="52.8">
      <c r="A30" s="15" t="s">
        <v>475</v>
      </c>
      <c r="B30" s="16" t="s">
        <v>476</v>
      </c>
      <c r="C30" s="19" t="s">
        <v>477</v>
      </c>
      <c r="D30" s="18">
        <v>100</v>
      </c>
      <c r="E30" s="18" t="s">
        <v>292</v>
      </c>
      <c r="F30" s="244"/>
      <c r="G30" s="18">
        <f t="shared" si="2"/>
        <v>0</v>
      </c>
      <c r="I30" s="201" t="s">
        <v>109</v>
      </c>
      <c r="J30" s="200" t="str">
        <f t="shared" si="0"/>
        <v xml:space="preserve"> </v>
      </c>
      <c r="K30" s="200">
        <f t="shared" si="1"/>
        <v>0</v>
      </c>
    </row>
    <row r="31" spans="1:11" ht="52.8">
      <c r="A31" s="15" t="s">
        <v>478</v>
      </c>
      <c r="B31" s="16" t="s">
        <v>479</v>
      </c>
      <c r="C31" s="19" t="s">
        <v>477</v>
      </c>
      <c r="D31" s="18">
        <v>530</v>
      </c>
      <c r="E31" s="18" t="s">
        <v>292</v>
      </c>
      <c r="F31" s="244"/>
      <c r="G31" s="18">
        <f t="shared" si="2"/>
        <v>0</v>
      </c>
      <c r="I31" s="201" t="s">
        <v>109</v>
      </c>
      <c r="J31" s="200" t="str">
        <f t="shared" si="0"/>
        <v xml:space="preserve"> </v>
      </c>
      <c r="K31" s="200">
        <f t="shared" si="1"/>
        <v>0</v>
      </c>
    </row>
    <row r="32" spans="1:11" ht="52.8">
      <c r="A32" s="15" t="s">
        <v>480</v>
      </c>
      <c r="B32" s="16" t="s">
        <v>481</v>
      </c>
      <c r="C32" s="19" t="s">
        <v>459</v>
      </c>
      <c r="D32" s="18">
        <f aca="true" t="shared" si="3" ref="D32:D40">D23</f>
        <v>40</v>
      </c>
      <c r="E32" s="18" t="s">
        <v>292</v>
      </c>
      <c r="F32" s="244"/>
      <c r="G32" s="18">
        <f t="shared" si="2"/>
        <v>0</v>
      </c>
      <c r="I32" s="201" t="s">
        <v>109</v>
      </c>
      <c r="J32" s="200" t="str">
        <f t="shared" si="0"/>
        <v xml:space="preserve"> </v>
      </c>
      <c r="K32" s="200">
        <f t="shared" si="1"/>
        <v>0</v>
      </c>
    </row>
    <row r="33" spans="1:11" ht="52.8">
      <c r="A33" s="15" t="s">
        <v>482</v>
      </c>
      <c r="B33" s="16" t="s">
        <v>483</v>
      </c>
      <c r="C33" s="19" t="s">
        <v>484</v>
      </c>
      <c r="D33" s="18">
        <f t="shared" si="3"/>
        <v>95</v>
      </c>
      <c r="E33" s="18" t="s">
        <v>292</v>
      </c>
      <c r="F33" s="244"/>
      <c r="G33" s="18">
        <f t="shared" si="2"/>
        <v>0</v>
      </c>
      <c r="I33" s="201" t="s">
        <v>109</v>
      </c>
      <c r="J33" s="200" t="str">
        <f t="shared" si="0"/>
        <v xml:space="preserve"> </v>
      </c>
      <c r="K33" s="200">
        <f t="shared" si="1"/>
        <v>0</v>
      </c>
    </row>
    <row r="34" spans="1:11" ht="52.8">
      <c r="A34" s="15" t="s">
        <v>485</v>
      </c>
      <c r="B34" s="16" t="s">
        <v>486</v>
      </c>
      <c r="C34" s="19" t="s">
        <v>487</v>
      </c>
      <c r="D34" s="18">
        <f t="shared" si="3"/>
        <v>60</v>
      </c>
      <c r="E34" s="18" t="s">
        <v>292</v>
      </c>
      <c r="F34" s="244"/>
      <c r="G34" s="18">
        <f t="shared" si="2"/>
        <v>0</v>
      </c>
      <c r="I34" s="201" t="s">
        <v>109</v>
      </c>
      <c r="J34" s="200" t="str">
        <f t="shared" si="0"/>
        <v xml:space="preserve"> </v>
      </c>
      <c r="K34" s="200">
        <f t="shared" si="1"/>
        <v>0</v>
      </c>
    </row>
    <row r="35" spans="1:11" ht="52.8">
      <c r="A35" s="15" t="s">
        <v>488</v>
      </c>
      <c r="B35" s="16" t="s">
        <v>489</v>
      </c>
      <c r="C35" s="19" t="s">
        <v>487</v>
      </c>
      <c r="D35" s="18">
        <f t="shared" si="3"/>
        <v>75</v>
      </c>
      <c r="E35" s="18" t="s">
        <v>292</v>
      </c>
      <c r="F35" s="244"/>
      <c r="G35" s="18">
        <f t="shared" si="2"/>
        <v>0</v>
      </c>
      <c r="I35" s="201" t="s">
        <v>109</v>
      </c>
      <c r="J35" s="200" t="str">
        <f t="shared" si="0"/>
        <v xml:space="preserve"> </v>
      </c>
      <c r="K35" s="200">
        <f t="shared" si="1"/>
        <v>0</v>
      </c>
    </row>
    <row r="36" spans="1:11" ht="52.8">
      <c r="A36" s="15" t="s">
        <v>490</v>
      </c>
      <c r="B36" s="16" t="s">
        <v>491</v>
      </c>
      <c r="C36" s="19" t="s">
        <v>492</v>
      </c>
      <c r="D36" s="18">
        <f t="shared" si="3"/>
        <v>135</v>
      </c>
      <c r="E36" s="18" t="s">
        <v>292</v>
      </c>
      <c r="F36" s="244"/>
      <c r="G36" s="18">
        <f t="shared" si="2"/>
        <v>0</v>
      </c>
      <c r="I36" s="201" t="s">
        <v>109</v>
      </c>
      <c r="J36" s="200" t="str">
        <f t="shared" si="0"/>
        <v xml:space="preserve"> </v>
      </c>
      <c r="K36" s="200">
        <f t="shared" si="1"/>
        <v>0</v>
      </c>
    </row>
    <row r="37" spans="1:11" ht="52.8">
      <c r="A37" s="15" t="s">
        <v>493</v>
      </c>
      <c r="B37" s="16" t="s">
        <v>494</v>
      </c>
      <c r="C37" s="19" t="s">
        <v>495</v>
      </c>
      <c r="D37" s="18">
        <f t="shared" si="3"/>
        <v>100</v>
      </c>
      <c r="E37" s="18" t="s">
        <v>292</v>
      </c>
      <c r="F37" s="244"/>
      <c r="G37" s="18">
        <f t="shared" si="2"/>
        <v>0</v>
      </c>
      <c r="I37" s="201" t="s">
        <v>109</v>
      </c>
      <c r="J37" s="200" t="str">
        <f t="shared" si="0"/>
        <v xml:space="preserve"> </v>
      </c>
      <c r="K37" s="200">
        <f t="shared" si="1"/>
        <v>0</v>
      </c>
    </row>
    <row r="38" spans="1:11" ht="52.8">
      <c r="A38" s="15" t="s">
        <v>496</v>
      </c>
      <c r="B38" s="16" t="s">
        <v>497</v>
      </c>
      <c r="C38" s="19" t="s">
        <v>495</v>
      </c>
      <c r="D38" s="18">
        <f t="shared" si="3"/>
        <v>670</v>
      </c>
      <c r="E38" s="18" t="s">
        <v>292</v>
      </c>
      <c r="F38" s="244"/>
      <c r="G38" s="18">
        <f t="shared" si="2"/>
        <v>0</v>
      </c>
      <c r="I38" s="201" t="s">
        <v>109</v>
      </c>
      <c r="J38" s="200" t="str">
        <f t="shared" si="0"/>
        <v xml:space="preserve"> </v>
      </c>
      <c r="K38" s="200">
        <f t="shared" si="1"/>
        <v>0</v>
      </c>
    </row>
    <row r="39" spans="1:11" ht="52.8">
      <c r="A39" s="15" t="s">
        <v>498</v>
      </c>
      <c r="B39" s="19" t="s">
        <v>499</v>
      </c>
      <c r="C39" s="19" t="s">
        <v>500</v>
      </c>
      <c r="D39" s="18">
        <f t="shared" si="3"/>
        <v>100</v>
      </c>
      <c r="E39" s="18" t="s">
        <v>292</v>
      </c>
      <c r="F39" s="244"/>
      <c r="G39" s="18">
        <f t="shared" si="2"/>
        <v>0</v>
      </c>
      <c r="I39" s="201" t="s">
        <v>109</v>
      </c>
      <c r="J39" s="200" t="str">
        <f t="shared" si="0"/>
        <v xml:space="preserve"> </v>
      </c>
      <c r="K39" s="200">
        <f t="shared" si="1"/>
        <v>0</v>
      </c>
    </row>
    <row r="40" spans="1:11" ht="52.8">
      <c r="A40" s="15" t="s">
        <v>501</v>
      </c>
      <c r="B40" s="19" t="s">
        <v>502</v>
      </c>
      <c r="C40" s="19" t="s">
        <v>500</v>
      </c>
      <c r="D40" s="18">
        <f t="shared" si="3"/>
        <v>530</v>
      </c>
      <c r="E40" s="18" t="s">
        <v>292</v>
      </c>
      <c r="F40" s="244"/>
      <c r="G40" s="18">
        <f t="shared" si="2"/>
        <v>0</v>
      </c>
      <c r="I40" s="201" t="s">
        <v>109</v>
      </c>
      <c r="J40" s="200" t="str">
        <f t="shared" si="0"/>
        <v xml:space="preserve"> </v>
      </c>
      <c r="K40" s="200">
        <f t="shared" si="1"/>
        <v>0</v>
      </c>
    </row>
    <row r="41" spans="1:11" ht="13.2">
      <c r="A41" s="9"/>
      <c r="B41" s="24" t="s">
        <v>503</v>
      </c>
      <c r="C41" s="11"/>
      <c r="D41" s="9"/>
      <c r="E41" s="9"/>
      <c r="F41" s="9"/>
      <c r="G41" s="9"/>
      <c r="I41" s="241"/>
      <c r="J41" s="200" t="str">
        <f t="shared" si="0"/>
        <v xml:space="preserve"> </v>
      </c>
      <c r="K41" s="200" t="str">
        <f t="shared" si="1"/>
        <v xml:space="preserve"> </v>
      </c>
    </row>
    <row r="42" spans="1:25" ht="13.2">
      <c r="A42" s="357" t="s">
        <v>504</v>
      </c>
      <c r="B42" s="16" t="s">
        <v>505</v>
      </c>
      <c r="C42" s="359" t="s">
        <v>506</v>
      </c>
      <c r="D42" s="355">
        <v>48</v>
      </c>
      <c r="E42" s="355" t="s">
        <v>389</v>
      </c>
      <c r="F42" s="361"/>
      <c r="G42" s="355">
        <f t="shared" si="2"/>
        <v>0</v>
      </c>
      <c r="I42" s="241"/>
      <c r="J42" s="200" t="str">
        <f t="shared" si="0"/>
        <v xml:space="preserve"> </v>
      </c>
      <c r="K42" s="200" t="str">
        <f t="shared" si="1"/>
        <v xml:space="preserve"> 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79.2">
      <c r="A43" s="358"/>
      <c r="B43" s="40" t="s">
        <v>507</v>
      </c>
      <c r="C43" s="360"/>
      <c r="D43" s="356"/>
      <c r="E43" s="356"/>
      <c r="F43" s="362"/>
      <c r="G43" s="356"/>
      <c r="I43" s="201" t="s">
        <v>109</v>
      </c>
      <c r="J43" s="200" t="str">
        <f>IF(I43="I",G42," ")</f>
        <v xml:space="preserve"> </v>
      </c>
      <c r="K43" s="200">
        <f>IF(I43="N",G42," ")</f>
        <v>0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11" ht="52.8">
      <c r="A44" s="15" t="s">
        <v>508</v>
      </c>
      <c r="B44" s="25" t="s">
        <v>509</v>
      </c>
      <c r="C44" s="181" t="s">
        <v>510</v>
      </c>
      <c r="D44" s="179">
        <v>48</v>
      </c>
      <c r="E44" s="179" t="s">
        <v>389</v>
      </c>
      <c r="F44" s="246"/>
      <c r="G44" s="26">
        <f t="shared" si="2"/>
        <v>0</v>
      </c>
      <c r="I44" s="201" t="s">
        <v>109</v>
      </c>
      <c r="J44" s="200" t="str">
        <f t="shared" si="0"/>
        <v xml:space="preserve"> </v>
      </c>
      <c r="K44" s="200">
        <f t="shared" si="1"/>
        <v>0</v>
      </c>
    </row>
    <row r="45" spans="1:11" ht="52.8">
      <c r="A45" s="15" t="s">
        <v>511</v>
      </c>
      <c r="B45" s="25" t="s">
        <v>512</v>
      </c>
      <c r="C45" s="181" t="s">
        <v>510</v>
      </c>
      <c r="D45" s="179">
        <v>48</v>
      </c>
      <c r="E45" s="179" t="s">
        <v>389</v>
      </c>
      <c r="F45" s="246"/>
      <c r="G45" s="26">
        <f t="shared" si="2"/>
        <v>0</v>
      </c>
      <c r="I45" s="201" t="s">
        <v>103</v>
      </c>
      <c r="J45" s="200">
        <f t="shared" si="0"/>
        <v>0</v>
      </c>
      <c r="K45" s="200" t="str">
        <f t="shared" si="1"/>
        <v xml:space="preserve"> </v>
      </c>
    </row>
    <row r="46" spans="1:11" ht="13.2">
      <c r="A46" s="357" t="s">
        <v>513</v>
      </c>
      <c r="B46" s="25" t="s">
        <v>514</v>
      </c>
      <c r="C46" s="359" t="s">
        <v>515</v>
      </c>
      <c r="D46" s="355">
        <v>48</v>
      </c>
      <c r="E46" s="355" t="s">
        <v>389</v>
      </c>
      <c r="F46" s="361"/>
      <c r="G46" s="355">
        <f t="shared" si="2"/>
        <v>0</v>
      </c>
      <c r="I46" s="241"/>
      <c r="J46" s="200" t="str">
        <f t="shared" si="0"/>
        <v xml:space="preserve"> </v>
      </c>
      <c r="K46" s="200" t="str">
        <f t="shared" si="1"/>
        <v xml:space="preserve"> </v>
      </c>
    </row>
    <row r="47" spans="1:11" ht="79.2">
      <c r="A47" s="358"/>
      <c r="B47" s="41" t="s">
        <v>516</v>
      </c>
      <c r="C47" s="360"/>
      <c r="D47" s="356"/>
      <c r="E47" s="356"/>
      <c r="F47" s="362"/>
      <c r="G47" s="356"/>
      <c r="I47" s="201" t="s">
        <v>109</v>
      </c>
      <c r="J47" s="200" t="str">
        <f>IF(I47="I",G46," ")</f>
        <v xml:space="preserve"> </v>
      </c>
      <c r="K47" s="200">
        <f>IF(I47="N",G46," ")</f>
        <v>0</v>
      </c>
    </row>
    <row r="48" spans="1:11" ht="13.2">
      <c r="A48" s="180"/>
      <c r="B48" s="16"/>
      <c r="C48" s="23"/>
      <c r="D48" s="27"/>
      <c r="E48" s="27"/>
      <c r="F48" s="27"/>
      <c r="G48" s="27"/>
      <c r="I48" s="241"/>
      <c r="J48" s="200" t="str">
        <f t="shared" si="0"/>
        <v xml:space="preserve"> </v>
      </c>
      <c r="K48" s="200" t="str">
        <f t="shared" si="1"/>
        <v xml:space="preserve"> </v>
      </c>
    </row>
    <row r="49" spans="1:11" ht="13.2">
      <c r="A49" s="28"/>
      <c r="B49" s="29" t="s">
        <v>517</v>
      </c>
      <c r="C49" s="30"/>
      <c r="D49" s="31"/>
      <c r="E49" s="31"/>
      <c r="F49" s="31"/>
      <c r="G49" s="31"/>
      <c r="I49" s="241"/>
      <c r="J49" s="200" t="str">
        <f t="shared" si="0"/>
        <v xml:space="preserve"> </v>
      </c>
      <c r="K49" s="200" t="str">
        <f t="shared" si="1"/>
        <v xml:space="preserve"> </v>
      </c>
    </row>
    <row r="50" spans="1:11" ht="13.8" thickBot="1">
      <c r="A50" s="32" t="s">
        <v>511</v>
      </c>
      <c r="B50" s="33" t="s">
        <v>361</v>
      </c>
      <c r="C50" s="34"/>
      <c r="D50" s="35">
        <v>1</v>
      </c>
      <c r="E50" s="35" t="s">
        <v>360</v>
      </c>
      <c r="F50" s="247"/>
      <c r="G50" s="35">
        <f>D50*F50</f>
        <v>0</v>
      </c>
      <c r="I50" s="201" t="s">
        <v>103</v>
      </c>
      <c r="J50" s="200">
        <f t="shared" si="0"/>
        <v>0</v>
      </c>
      <c r="K50" s="200" t="str">
        <f t="shared" si="1"/>
        <v xml:space="preserve"> </v>
      </c>
    </row>
    <row r="51" spans="1:12" ht="13.2">
      <c r="A51" s="36" t="s">
        <v>518</v>
      </c>
      <c r="B51" s="37" t="s">
        <v>519</v>
      </c>
      <c r="C51" s="37" t="s">
        <v>86</v>
      </c>
      <c r="D51" s="36"/>
      <c r="E51" s="36" t="s">
        <v>406</v>
      </c>
      <c r="F51" s="38"/>
      <c r="G51" s="38">
        <f>SUM(G6:G50)</f>
        <v>0</v>
      </c>
      <c r="I51" s="241"/>
      <c r="J51" s="242">
        <f>SUM(J6:J50)</f>
        <v>0</v>
      </c>
      <c r="K51" s="242">
        <f>SUM(K6:K50)</f>
        <v>0</v>
      </c>
      <c r="L51" s="243">
        <f>SUM(G51-J51-K51)</f>
        <v>0</v>
      </c>
    </row>
  </sheetData>
  <sheetProtection algorithmName="SHA-512" hashValue="cgHgu/yY0M+YLjQBXi7uqtv+4pdIbyHkiPvqRL+FiRrNOKJGe31OAL7W7Sfy8BT6rP7TjtYFRr9QoXIVb4VqFA==" saltValue="jgNxkSA+Dp/HPTsIExvTLw==" spinCount="100000" sheet="1" objects="1" scenarios="1"/>
  <mergeCells count="12">
    <mergeCell ref="G46:G47"/>
    <mergeCell ref="A42:A43"/>
    <mergeCell ref="C42:C43"/>
    <mergeCell ref="D42:D43"/>
    <mergeCell ref="E42:E43"/>
    <mergeCell ref="F42:F43"/>
    <mergeCell ref="G42:G43"/>
    <mergeCell ref="A46:A47"/>
    <mergeCell ref="C46:C47"/>
    <mergeCell ref="D46:D47"/>
    <mergeCell ref="E46:E47"/>
    <mergeCell ref="F46:F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S109"/>
  <sheetViews>
    <sheetView workbookViewId="0" topLeftCell="A7">
      <selection activeCell="H106" sqref="H106:I106"/>
    </sheetView>
  </sheetViews>
  <sheetFormatPr defaultColWidth="10.33203125" defaultRowHeight="14.25" customHeight="1"/>
  <cols>
    <col min="1" max="1" width="3.66015625" style="248" customWidth="1"/>
    <col min="2" max="2" width="8.33203125" style="248" customWidth="1"/>
    <col min="3" max="3" width="9.83203125" style="248" customWidth="1"/>
    <col min="4" max="4" width="39.16015625" style="248" customWidth="1"/>
    <col min="5" max="5" width="37.16015625" style="248" customWidth="1"/>
    <col min="6" max="6" width="16.33203125" style="248" customWidth="1"/>
    <col min="7" max="7" width="12.33203125" style="248" customWidth="1"/>
    <col min="8" max="8" width="13.66015625" style="248" customWidth="1"/>
    <col min="9" max="9" width="16.16015625" style="248" customWidth="1"/>
    <col min="10" max="10" width="23.33203125" style="250" customWidth="1"/>
    <col min="11" max="11" width="29.66015625" style="43" hidden="1" customWidth="1"/>
    <col min="12" max="12" width="16.16015625" style="43" hidden="1" customWidth="1"/>
    <col min="13" max="13" width="12.16015625" style="43" hidden="1" customWidth="1"/>
    <col min="14" max="14" width="16.16015625" style="43" hidden="1" customWidth="1"/>
    <col min="15" max="15" width="12.16015625" style="43" hidden="1" customWidth="1"/>
    <col min="16" max="16" width="14.83203125" style="43" hidden="1" customWidth="1"/>
    <col min="17" max="17" width="10.83203125" style="43" hidden="1" customWidth="1"/>
    <col min="18" max="18" width="6.16015625" style="248" customWidth="1"/>
    <col min="19" max="19" width="10.33203125" style="248" hidden="1" customWidth="1"/>
    <col min="20" max="21" width="16.16015625" style="248" hidden="1" customWidth="1"/>
    <col min="22" max="33" width="10.33203125" style="43" hidden="1" customWidth="1"/>
    <col min="34" max="34" width="2.33203125" style="248" bestFit="1" customWidth="1"/>
    <col min="35" max="35" width="10.33203125" style="43" hidden="1" customWidth="1"/>
    <col min="36" max="36" width="2.66015625" style="248" bestFit="1" customWidth="1"/>
    <col min="37" max="37" width="3" style="248" bestFit="1" customWidth="1"/>
    <col min="38" max="40" width="10.33203125" style="43" hidden="1" customWidth="1"/>
    <col min="41" max="41" width="12.83203125" style="248" bestFit="1" customWidth="1"/>
    <col min="42" max="42" width="10.33203125" style="43" hidden="1" customWidth="1"/>
    <col min="43" max="45" width="10.33203125" style="248" customWidth="1"/>
    <col min="46" max="56" width="10.33203125" style="43" hidden="1" customWidth="1"/>
    <col min="57" max="253" width="10.33203125" style="248" customWidth="1"/>
    <col min="254" max="16384" width="10.33203125" style="254" customWidth="1"/>
  </cols>
  <sheetData>
    <row r="1" spans="2:11" ht="12.75" customHeight="1">
      <c r="B1" s="363" t="s">
        <v>520</v>
      </c>
      <c r="C1" s="363"/>
      <c r="D1" s="363"/>
      <c r="E1" s="363"/>
      <c r="F1" s="363"/>
      <c r="G1" s="363"/>
      <c r="H1" s="363"/>
      <c r="I1" s="363"/>
      <c r="J1" s="363"/>
      <c r="K1" s="44" t="s">
        <v>521</v>
      </c>
    </row>
    <row r="2" spans="2:11" ht="12.75" customHeight="1">
      <c r="B2" s="249"/>
      <c r="K2" s="44"/>
    </row>
    <row r="3" spans="3:10" ht="12.75" customHeight="1">
      <c r="C3" s="251" t="s">
        <v>16</v>
      </c>
      <c r="E3" s="252" t="str">
        <f>'Celková rekapitulace'!A1</f>
        <v>Oprava a rekonstrukce sociálek a kuchyní na kolejích Palachova v Hradci Králové</v>
      </c>
      <c r="F3" s="252"/>
      <c r="G3" s="252"/>
      <c r="H3" s="252"/>
      <c r="I3" s="252"/>
      <c r="J3" s="253"/>
    </row>
    <row r="4" spans="3:56" s="252" customFormat="1" ht="12.75" customHeight="1">
      <c r="C4" s="251"/>
      <c r="E4" s="251"/>
      <c r="J4" s="253"/>
      <c r="K4" s="44"/>
      <c r="L4" s="44"/>
      <c r="M4" s="44"/>
      <c r="N4" s="44"/>
      <c r="O4" s="44"/>
      <c r="P4" s="44"/>
      <c r="Q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I4" s="44"/>
      <c r="AL4" s="44"/>
      <c r="AM4" s="44"/>
      <c r="AN4" s="44"/>
      <c r="AP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</row>
    <row r="5" spans="3:56" s="252" customFormat="1" ht="12.75" customHeight="1">
      <c r="C5" s="251" t="s">
        <v>522</v>
      </c>
      <c r="E5" s="252" t="s">
        <v>523</v>
      </c>
      <c r="J5" s="253"/>
      <c r="K5" s="44"/>
      <c r="L5" s="44"/>
      <c r="M5" s="44"/>
      <c r="N5" s="44"/>
      <c r="O5" s="44"/>
      <c r="P5" s="44"/>
      <c r="Q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I5" s="44"/>
      <c r="AL5" s="44"/>
      <c r="AM5" s="44"/>
      <c r="AN5" s="44"/>
      <c r="AP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</row>
    <row r="6" spans="3:56" s="252" customFormat="1" ht="12.75" customHeight="1">
      <c r="C6" s="251" t="s">
        <v>17</v>
      </c>
      <c r="E6" s="252" t="s">
        <v>524</v>
      </c>
      <c r="J6" s="253"/>
      <c r="K6" s="44"/>
      <c r="L6" s="44"/>
      <c r="M6" s="44"/>
      <c r="N6" s="44"/>
      <c r="O6" s="44"/>
      <c r="P6" s="44"/>
      <c r="Q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I6" s="44"/>
      <c r="AL6" s="44"/>
      <c r="AM6" s="44"/>
      <c r="AN6" s="44"/>
      <c r="AP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</row>
    <row r="7" spans="3:56" s="252" customFormat="1" ht="12.75" customHeight="1">
      <c r="C7" s="251" t="s">
        <v>525</v>
      </c>
      <c r="E7" s="252" t="s">
        <v>526</v>
      </c>
      <c r="J7" s="253"/>
      <c r="K7" s="44"/>
      <c r="L7" s="44"/>
      <c r="M7" s="44"/>
      <c r="N7" s="44"/>
      <c r="O7" s="44"/>
      <c r="P7" s="44"/>
      <c r="Q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I7" s="44"/>
      <c r="AL7" s="44"/>
      <c r="AM7" s="44"/>
      <c r="AN7" s="44"/>
      <c r="AP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</row>
    <row r="8" spans="3:56" s="252" customFormat="1" ht="12.75" customHeight="1">
      <c r="C8" s="251" t="s">
        <v>527</v>
      </c>
      <c r="E8" s="252" t="s">
        <v>526</v>
      </c>
      <c r="J8" s="253"/>
      <c r="K8" s="44"/>
      <c r="L8" s="44"/>
      <c r="M8" s="44"/>
      <c r="N8" s="44"/>
      <c r="O8" s="44"/>
      <c r="P8" s="44"/>
      <c r="Q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I8" s="44"/>
      <c r="AL8" s="44"/>
      <c r="AM8" s="44"/>
      <c r="AN8" s="44"/>
      <c r="AP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</row>
    <row r="9" spans="3:56" s="252" customFormat="1" ht="12.75" customHeight="1">
      <c r="C9" s="251" t="s">
        <v>36</v>
      </c>
      <c r="E9" s="251"/>
      <c r="J9" s="253"/>
      <c r="K9" s="44"/>
      <c r="L9" s="44"/>
      <c r="M9" s="44"/>
      <c r="N9" s="44"/>
      <c r="O9" s="44"/>
      <c r="P9" s="44"/>
      <c r="Q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I9" s="44"/>
      <c r="AL9" s="44"/>
      <c r="AM9" s="44"/>
      <c r="AN9" s="44"/>
      <c r="AP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3:56" s="252" customFormat="1" ht="12.75" customHeight="1">
      <c r="C10" s="251"/>
      <c r="E10" s="251"/>
      <c r="J10" s="253"/>
      <c r="K10" s="44"/>
      <c r="L10" s="44"/>
      <c r="M10" s="44"/>
      <c r="N10" s="44"/>
      <c r="O10" s="44"/>
      <c r="P10" s="44"/>
      <c r="Q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I10" s="44"/>
      <c r="AL10" s="44"/>
      <c r="AM10" s="44"/>
      <c r="AN10" s="44"/>
      <c r="AP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3:56" s="252" customFormat="1" ht="12.75" customHeight="1">
      <c r="C11" s="251"/>
      <c r="E11" s="251"/>
      <c r="J11" s="253"/>
      <c r="K11" s="44"/>
      <c r="L11" s="44"/>
      <c r="M11" s="44"/>
      <c r="N11" s="44"/>
      <c r="O11" s="44"/>
      <c r="P11" s="44"/>
      <c r="Q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I11" s="44"/>
      <c r="AL11" s="44"/>
      <c r="AM11" s="44"/>
      <c r="AN11" s="44"/>
      <c r="AP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3:56" s="252" customFormat="1" ht="12.75" customHeight="1">
      <c r="C12" s="251" t="s">
        <v>67</v>
      </c>
      <c r="E12" s="254"/>
      <c r="J12" s="253"/>
      <c r="K12" s="44"/>
      <c r="L12" s="44"/>
      <c r="M12" s="44"/>
      <c r="N12" s="44"/>
      <c r="O12" s="44"/>
      <c r="P12" s="44"/>
      <c r="Q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I12" s="44"/>
      <c r="AL12" s="44"/>
      <c r="AM12" s="44"/>
      <c r="AN12" s="44"/>
      <c r="AP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3:56" s="252" customFormat="1" ht="12.75" customHeight="1">
      <c r="C13" s="251" t="s">
        <v>68</v>
      </c>
      <c r="E13" s="254"/>
      <c r="J13" s="253"/>
      <c r="K13" s="44"/>
      <c r="L13" s="44"/>
      <c r="M13" s="44"/>
      <c r="N13" s="44"/>
      <c r="O13" s="44"/>
      <c r="P13" s="44"/>
      <c r="Q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I13" s="44"/>
      <c r="AL13" s="44"/>
      <c r="AM13" s="44"/>
      <c r="AN13" s="44"/>
      <c r="AP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3:56" s="252" customFormat="1" ht="12.75" customHeight="1">
      <c r="C14" s="251" t="s">
        <v>69</v>
      </c>
      <c r="E14" s="254"/>
      <c r="J14" s="253"/>
      <c r="K14" s="44"/>
      <c r="L14" s="44"/>
      <c r="M14" s="44"/>
      <c r="N14" s="44"/>
      <c r="O14" s="44"/>
      <c r="P14" s="44"/>
      <c r="Q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I14" s="44"/>
      <c r="AL14" s="44"/>
      <c r="AM14" s="44"/>
      <c r="AN14" s="44"/>
      <c r="AP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3:56" s="252" customFormat="1" ht="12.75" customHeight="1">
      <c r="C15" s="251" t="s">
        <v>70</v>
      </c>
      <c r="E15" s="254"/>
      <c r="J15" s="253"/>
      <c r="K15" s="44"/>
      <c r="L15" s="44"/>
      <c r="M15" s="44"/>
      <c r="N15" s="44"/>
      <c r="O15" s="44"/>
      <c r="P15" s="44"/>
      <c r="Q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I15" s="44"/>
      <c r="AL15" s="44"/>
      <c r="AM15" s="44"/>
      <c r="AN15" s="44"/>
      <c r="AP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3:56" s="252" customFormat="1" ht="12.75" customHeight="1">
      <c r="C16" s="251" t="s">
        <v>71</v>
      </c>
      <c r="E16" s="254"/>
      <c r="J16" s="253"/>
      <c r="K16" s="44"/>
      <c r="L16" s="44"/>
      <c r="M16" s="44"/>
      <c r="N16" s="44"/>
      <c r="O16" s="44"/>
      <c r="P16" s="44"/>
      <c r="Q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I16" s="44"/>
      <c r="AL16" s="44"/>
      <c r="AM16" s="44"/>
      <c r="AN16" s="44"/>
      <c r="AP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4:56" s="255" customFormat="1" ht="12.75" customHeight="1">
      <c r="D17" s="364"/>
      <c r="E17" s="364"/>
      <c r="F17" s="364"/>
      <c r="G17" s="364"/>
      <c r="H17" s="364"/>
      <c r="I17" s="364"/>
      <c r="J17" s="364"/>
      <c r="K17" s="47"/>
      <c r="L17" s="47"/>
      <c r="M17" s="47"/>
      <c r="N17" s="47"/>
      <c r="O17" s="47"/>
      <c r="P17" s="47"/>
      <c r="Q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I17" s="47"/>
      <c r="AL17" s="47"/>
      <c r="AM17" s="47"/>
      <c r="AN17" s="47"/>
      <c r="AP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</row>
    <row r="18" spans="10:56" s="252" customFormat="1" ht="12.75" customHeight="1">
      <c r="J18" s="253"/>
      <c r="K18" s="44"/>
      <c r="L18" s="44"/>
      <c r="M18" s="44"/>
      <c r="N18" s="44"/>
      <c r="O18" s="44"/>
      <c r="P18" s="44"/>
      <c r="Q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I18" s="44"/>
      <c r="AL18" s="44"/>
      <c r="AM18" s="44"/>
      <c r="AN18" s="44"/>
      <c r="AP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</row>
    <row r="19" spans="3:56" s="251" customFormat="1" ht="12.75" customHeight="1">
      <c r="C19" s="256" t="s">
        <v>6</v>
      </c>
      <c r="E19" s="257">
        <f>J36</f>
        <v>0</v>
      </c>
      <c r="I19" s="258"/>
      <c r="J19" s="258"/>
      <c r="K19" s="46"/>
      <c r="L19" s="46"/>
      <c r="M19" s="46"/>
      <c r="N19" s="46"/>
      <c r="O19" s="46"/>
      <c r="P19" s="46"/>
      <c r="Q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I19" s="46"/>
      <c r="AL19" s="46"/>
      <c r="AM19" s="46"/>
      <c r="AN19" s="46"/>
      <c r="AP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</row>
    <row r="20" spans="10:56" s="252" customFormat="1" ht="12.75" customHeight="1">
      <c r="J20" s="253"/>
      <c r="K20" s="44"/>
      <c r="L20" s="44"/>
      <c r="M20" s="44"/>
      <c r="N20" s="44"/>
      <c r="O20" s="44"/>
      <c r="P20" s="44"/>
      <c r="Q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I20" s="44"/>
      <c r="AL20" s="44"/>
      <c r="AM20" s="44"/>
      <c r="AN20" s="44"/>
      <c r="AP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</row>
    <row r="21" ht="12.75" customHeight="1"/>
    <row r="22" ht="12.75" customHeight="1"/>
    <row r="23" ht="12.75" customHeight="1"/>
    <row r="24" spans="10:56" s="252" customFormat="1" ht="12.75" customHeight="1">
      <c r="J24" s="253"/>
      <c r="K24" s="44"/>
      <c r="L24" s="44"/>
      <c r="M24" s="44"/>
      <c r="N24" s="44"/>
      <c r="O24" s="44"/>
      <c r="P24" s="44"/>
      <c r="Q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I24" s="44"/>
      <c r="AL24" s="44"/>
      <c r="AM24" s="44"/>
      <c r="AN24" s="44"/>
      <c r="AP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</row>
    <row r="25" spans="2:56" s="252" customFormat="1" ht="12.75" customHeight="1">
      <c r="B25" s="363" t="s">
        <v>528</v>
      </c>
      <c r="C25" s="363"/>
      <c r="D25" s="363"/>
      <c r="E25" s="363"/>
      <c r="F25" s="363"/>
      <c r="G25" s="363"/>
      <c r="H25" s="363"/>
      <c r="I25" s="363"/>
      <c r="J25" s="363"/>
      <c r="K25" s="44"/>
      <c r="L25" s="44"/>
      <c r="M25" s="44"/>
      <c r="N25" s="44"/>
      <c r="O25" s="44"/>
      <c r="P25" s="44"/>
      <c r="Q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I25" s="44"/>
      <c r="AL25" s="44"/>
      <c r="AM25" s="44"/>
      <c r="AN25" s="44"/>
      <c r="AP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</row>
    <row r="26" spans="2:56" s="252" customFormat="1" ht="12.75" customHeight="1">
      <c r="B26" s="249"/>
      <c r="J26" s="253"/>
      <c r="K26" s="44"/>
      <c r="L26" s="44"/>
      <c r="M26" s="44"/>
      <c r="N26" s="44"/>
      <c r="O26" s="44"/>
      <c r="P26" s="44"/>
      <c r="Q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I26" s="44"/>
      <c r="AL26" s="44"/>
      <c r="AM26" s="44"/>
      <c r="AN26" s="44"/>
      <c r="AP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</row>
    <row r="27" spans="2:56" s="252" customFormat="1" ht="12.75" customHeight="1">
      <c r="B27" s="251"/>
      <c r="C27" s="251" t="s">
        <v>16</v>
      </c>
      <c r="E27" s="252" t="str">
        <f>E3</f>
        <v>Oprava a rekonstrukce sociálek a kuchyní na kolejích Palachova v Hradci Králové</v>
      </c>
      <c r="J27" s="253"/>
      <c r="K27" s="44"/>
      <c r="L27" s="44"/>
      <c r="M27" s="44"/>
      <c r="N27" s="44"/>
      <c r="O27" s="44"/>
      <c r="P27" s="44"/>
      <c r="Q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I27" s="44"/>
      <c r="AL27" s="44"/>
      <c r="AM27" s="44"/>
      <c r="AN27" s="44"/>
      <c r="AP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</row>
    <row r="28" spans="2:56" s="252" customFormat="1" ht="12.75" customHeight="1">
      <c r="B28" s="251"/>
      <c r="C28" s="251"/>
      <c r="E28" s="251"/>
      <c r="J28" s="253"/>
      <c r="K28" s="44"/>
      <c r="L28" s="44"/>
      <c r="M28" s="44"/>
      <c r="N28" s="44"/>
      <c r="O28" s="44"/>
      <c r="P28" s="44"/>
      <c r="Q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I28" s="44"/>
      <c r="AL28" s="44"/>
      <c r="AM28" s="44"/>
      <c r="AN28" s="44"/>
      <c r="AP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</row>
    <row r="29" spans="2:56" s="252" customFormat="1" ht="12.75" customHeight="1">
      <c r="B29" s="251"/>
      <c r="C29" s="251" t="s">
        <v>522</v>
      </c>
      <c r="E29" s="252" t="str">
        <f>E5</f>
        <v>Elektroinstalace – silnoproud</v>
      </c>
      <c r="J29" s="253"/>
      <c r="K29" s="44"/>
      <c r="L29" s="44"/>
      <c r="M29" s="44"/>
      <c r="N29" s="44"/>
      <c r="O29" s="44"/>
      <c r="P29" s="44"/>
      <c r="Q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I29" s="44"/>
      <c r="AL29" s="44"/>
      <c r="AM29" s="44"/>
      <c r="AN29" s="44"/>
      <c r="AP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</row>
    <row r="30" spans="2:56" s="252" customFormat="1" ht="12.75" customHeight="1">
      <c r="B30" s="251"/>
      <c r="C30" s="251" t="s">
        <v>17</v>
      </c>
      <c r="E30" s="252" t="str">
        <f>E6</f>
        <v>Koleje Jana Palacha, Hradec Králové</v>
      </c>
      <c r="J30" s="253"/>
      <c r="K30" s="44"/>
      <c r="L30" s="44"/>
      <c r="M30" s="44"/>
      <c r="N30" s="44"/>
      <c r="O30" s="44"/>
      <c r="P30" s="44"/>
      <c r="Q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I30" s="44"/>
      <c r="AL30" s="44"/>
      <c r="AM30" s="44"/>
      <c r="AN30" s="44"/>
      <c r="AP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</row>
    <row r="31" spans="2:56" s="252" customFormat="1" ht="12.75" customHeight="1">
      <c r="B31" s="251"/>
      <c r="C31" s="251" t="s">
        <v>525</v>
      </c>
      <c r="E31" s="252" t="str">
        <f>E7</f>
        <v>Jiří Flosman</v>
      </c>
      <c r="J31" s="253"/>
      <c r="K31" s="44"/>
      <c r="L31" s="44"/>
      <c r="M31" s="44"/>
      <c r="N31" s="44"/>
      <c r="O31" s="44"/>
      <c r="P31" s="44"/>
      <c r="Q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I31" s="44"/>
      <c r="AL31" s="44"/>
      <c r="AM31" s="44"/>
      <c r="AN31" s="44"/>
      <c r="AP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</row>
    <row r="32" spans="2:56" s="252" customFormat="1" ht="12.75" customHeight="1">
      <c r="B32" s="251"/>
      <c r="C32" s="251" t="s">
        <v>527</v>
      </c>
      <c r="E32" s="252" t="str">
        <f>E8</f>
        <v>Jiří Flosman</v>
      </c>
      <c r="J32" s="253"/>
      <c r="K32" s="44"/>
      <c r="L32" s="44"/>
      <c r="M32" s="44"/>
      <c r="N32" s="44"/>
      <c r="O32" s="44"/>
      <c r="P32" s="44"/>
      <c r="Q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I32" s="44"/>
      <c r="AL32" s="44"/>
      <c r="AM32" s="44"/>
      <c r="AN32" s="44"/>
      <c r="AP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</row>
    <row r="33" spans="5:56" s="252" customFormat="1" ht="12.75" customHeight="1">
      <c r="E33" s="251"/>
      <c r="J33" s="259"/>
      <c r="K33" s="44"/>
      <c r="L33" s="44"/>
      <c r="M33" s="44"/>
      <c r="N33" s="44"/>
      <c r="O33" s="44"/>
      <c r="P33" s="44"/>
      <c r="Q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I33" s="44"/>
      <c r="AL33" s="44"/>
      <c r="AM33" s="44"/>
      <c r="AN33" s="44"/>
      <c r="AP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</row>
    <row r="34" spans="5:56" s="252" customFormat="1" ht="12.75" customHeight="1">
      <c r="E34" s="251"/>
      <c r="J34" s="259"/>
      <c r="K34" s="44"/>
      <c r="L34" s="44"/>
      <c r="M34" s="44"/>
      <c r="N34" s="44"/>
      <c r="O34" s="44"/>
      <c r="P34" s="44"/>
      <c r="Q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I34" s="44"/>
      <c r="AL34" s="44"/>
      <c r="AM34" s="44"/>
      <c r="AN34" s="44"/>
      <c r="AP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</row>
    <row r="35" spans="5:56" s="252" customFormat="1" ht="12.75" customHeight="1">
      <c r="E35" s="251"/>
      <c r="J35" s="259"/>
      <c r="K35" s="44"/>
      <c r="L35" s="44"/>
      <c r="M35" s="44"/>
      <c r="N35" s="44"/>
      <c r="O35" s="44"/>
      <c r="P35" s="44"/>
      <c r="Q35" s="44"/>
      <c r="T35" s="2" t="s">
        <v>2</v>
      </c>
      <c r="U35" s="2" t="s">
        <v>3</v>
      </c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I35" s="44"/>
      <c r="AL35" s="44"/>
      <c r="AM35" s="44"/>
      <c r="AN35" s="44"/>
      <c r="AP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</row>
    <row r="36" spans="2:56" s="252" customFormat="1" ht="12.75" customHeight="1">
      <c r="B36" s="251"/>
      <c r="C36" s="256" t="s">
        <v>529</v>
      </c>
      <c r="J36" s="260">
        <f>SUM(J37:J41)</f>
        <v>0</v>
      </c>
      <c r="K36" s="44"/>
      <c r="L36" s="44"/>
      <c r="M36" s="44"/>
      <c r="N36" s="44"/>
      <c r="O36" s="44"/>
      <c r="P36" s="44"/>
      <c r="Q36" s="44"/>
      <c r="T36" s="260">
        <f aca="true" t="shared" si="0" ref="T36:U36">SUM(T37:T41)</f>
        <v>0</v>
      </c>
      <c r="U36" s="260">
        <f t="shared" si="0"/>
        <v>0</v>
      </c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I36" s="44"/>
      <c r="AK36" s="252" t="s">
        <v>530</v>
      </c>
      <c r="AL36" s="44"/>
      <c r="AM36" s="44"/>
      <c r="AN36" s="44"/>
      <c r="AP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</row>
    <row r="37" spans="2:56" s="252" customFormat="1" ht="21.15" customHeight="1">
      <c r="B37" s="251"/>
      <c r="C37" s="251" t="str">
        <f>B72</f>
        <v xml:space="preserve">Kabely silnoproud </v>
      </c>
      <c r="J37" s="258">
        <f>J72</f>
        <v>0</v>
      </c>
      <c r="K37" s="44"/>
      <c r="L37" s="44"/>
      <c r="M37" s="44"/>
      <c r="N37" s="44"/>
      <c r="O37" s="44"/>
      <c r="P37" s="44"/>
      <c r="Q37" s="44"/>
      <c r="T37" s="258">
        <f aca="true" t="shared" si="1" ref="T37:U37">T72</f>
        <v>0</v>
      </c>
      <c r="U37" s="258">
        <f t="shared" si="1"/>
        <v>0</v>
      </c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I37" s="44"/>
      <c r="AL37" s="44"/>
      <c r="AM37" s="44"/>
      <c r="AN37" s="44"/>
      <c r="AP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</row>
    <row r="38" spans="2:56" s="252" customFormat="1" ht="21.15" customHeight="1">
      <c r="B38" s="251"/>
      <c r="C38" s="251" t="str">
        <f>B77</f>
        <v>Rozvaděčová technika</v>
      </c>
      <c r="J38" s="258">
        <f>J77</f>
        <v>0</v>
      </c>
      <c r="K38" s="44"/>
      <c r="L38" s="44"/>
      <c r="M38" s="44"/>
      <c r="N38" s="44"/>
      <c r="O38" s="44"/>
      <c r="P38" s="44"/>
      <c r="Q38" s="44"/>
      <c r="T38" s="258">
        <f aca="true" t="shared" si="2" ref="T38:U38">T77</f>
        <v>0</v>
      </c>
      <c r="U38" s="258">
        <f t="shared" si="2"/>
        <v>0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I38" s="44"/>
      <c r="AL38" s="44"/>
      <c r="AM38" s="44"/>
      <c r="AN38" s="44"/>
      <c r="AP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</row>
    <row r="39" spans="3:56" s="252" customFormat="1" ht="21" customHeight="1">
      <c r="C39" s="251" t="str">
        <f>B88</f>
        <v>Elektrické přístroje silnoproud</v>
      </c>
      <c r="D39" s="251"/>
      <c r="J39" s="258">
        <f>J88</f>
        <v>0</v>
      </c>
      <c r="K39" s="44"/>
      <c r="L39" s="44"/>
      <c r="M39" s="44"/>
      <c r="N39" s="44"/>
      <c r="O39" s="44"/>
      <c r="P39" s="44"/>
      <c r="Q39" s="44"/>
      <c r="T39" s="258">
        <f aca="true" t="shared" si="3" ref="T39:U39">T88</f>
        <v>0</v>
      </c>
      <c r="U39" s="258">
        <f t="shared" si="3"/>
        <v>0</v>
      </c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I39" s="44"/>
      <c r="AL39" s="44"/>
      <c r="AM39" s="44"/>
      <c r="AN39" s="44"/>
      <c r="AP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</row>
    <row r="40" spans="3:56" s="252" customFormat="1" ht="21" customHeight="1">
      <c r="C40" s="251" t="str">
        <f>B100</f>
        <v>Osvětlení v bytech</v>
      </c>
      <c r="D40" s="251"/>
      <c r="J40" s="258">
        <f>J100</f>
        <v>0</v>
      </c>
      <c r="K40" s="44"/>
      <c r="L40" s="44"/>
      <c r="M40" s="44"/>
      <c r="N40" s="44"/>
      <c r="O40" s="44"/>
      <c r="P40" s="44"/>
      <c r="Q40" s="44"/>
      <c r="T40" s="258">
        <f aca="true" t="shared" si="4" ref="T40:U40">T100</f>
        <v>0</v>
      </c>
      <c r="U40" s="258">
        <f t="shared" si="4"/>
        <v>0</v>
      </c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I40" s="44"/>
      <c r="AL40" s="44"/>
      <c r="AM40" s="44"/>
      <c r="AN40" s="44"/>
      <c r="AP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</row>
    <row r="41" spans="3:56" s="252" customFormat="1" ht="21" customHeight="1">
      <c r="C41" s="251" t="str">
        <f>B105</f>
        <v>Montážní a inženýrská činnost</v>
      </c>
      <c r="D41" s="251"/>
      <c r="J41" s="258">
        <f>J105</f>
        <v>0</v>
      </c>
      <c r="K41" s="44"/>
      <c r="L41" s="44"/>
      <c r="M41" s="44"/>
      <c r="N41" s="44"/>
      <c r="O41" s="44"/>
      <c r="P41" s="44"/>
      <c r="Q41" s="44"/>
      <c r="T41" s="258">
        <f aca="true" t="shared" si="5" ref="T41:U41">T105</f>
        <v>0</v>
      </c>
      <c r="U41" s="258">
        <f t="shared" si="5"/>
        <v>0</v>
      </c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I41" s="44"/>
      <c r="AL41" s="44"/>
      <c r="AM41" s="44"/>
      <c r="AN41" s="44"/>
      <c r="AP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</row>
    <row r="42" spans="3:56" s="252" customFormat="1" ht="21" customHeight="1">
      <c r="C42" s="251"/>
      <c r="D42" s="251"/>
      <c r="J42" s="258"/>
      <c r="K42" s="44"/>
      <c r="L42" s="44"/>
      <c r="M42" s="44"/>
      <c r="N42" s="44"/>
      <c r="O42" s="44"/>
      <c r="P42" s="44"/>
      <c r="Q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I42" s="44"/>
      <c r="AL42" s="44"/>
      <c r="AM42" s="44"/>
      <c r="AN42" s="44"/>
      <c r="AP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</row>
    <row r="43" spans="3:56" s="252" customFormat="1" ht="21" customHeight="1">
      <c r="C43" s="251"/>
      <c r="D43" s="251"/>
      <c r="J43" s="258"/>
      <c r="K43" s="44"/>
      <c r="L43" s="44"/>
      <c r="M43" s="44"/>
      <c r="N43" s="44"/>
      <c r="O43" s="44"/>
      <c r="P43" s="44"/>
      <c r="Q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I43" s="44"/>
      <c r="AL43" s="44"/>
      <c r="AM43" s="44"/>
      <c r="AN43" s="44"/>
      <c r="AP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</row>
    <row r="44" spans="3:56" s="252" customFormat="1" ht="21" customHeight="1">
      <c r="C44" s="251"/>
      <c r="D44" s="251"/>
      <c r="J44" s="258"/>
      <c r="K44" s="44"/>
      <c r="L44" s="44"/>
      <c r="M44" s="44"/>
      <c r="N44" s="44"/>
      <c r="O44" s="44"/>
      <c r="P44" s="44"/>
      <c r="Q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I44" s="44"/>
      <c r="AL44" s="44"/>
      <c r="AM44" s="44"/>
      <c r="AN44" s="44"/>
      <c r="AP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</row>
    <row r="45" spans="3:56" s="252" customFormat="1" ht="21" customHeight="1">
      <c r="C45" s="251"/>
      <c r="D45" s="251"/>
      <c r="J45" s="258"/>
      <c r="K45" s="44"/>
      <c r="L45" s="44"/>
      <c r="M45" s="44"/>
      <c r="N45" s="44"/>
      <c r="O45" s="44"/>
      <c r="P45" s="44"/>
      <c r="Q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I45" s="44"/>
      <c r="AL45" s="44"/>
      <c r="AM45" s="44"/>
      <c r="AN45" s="44"/>
      <c r="AP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</row>
    <row r="46" spans="3:56" s="252" customFormat="1" ht="21" customHeight="1">
      <c r="C46" s="251"/>
      <c r="D46" s="251"/>
      <c r="J46" s="258"/>
      <c r="K46" s="44"/>
      <c r="L46" s="44"/>
      <c r="M46" s="44"/>
      <c r="N46" s="44"/>
      <c r="O46" s="44"/>
      <c r="P46" s="44"/>
      <c r="Q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I46" s="44"/>
      <c r="AL46" s="44"/>
      <c r="AM46" s="44"/>
      <c r="AN46" s="44"/>
      <c r="AP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</row>
    <row r="47" spans="3:56" s="252" customFormat="1" ht="21" customHeight="1">
      <c r="C47" s="251"/>
      <c r="D47" s="251"/>
      <c r="J47" s="261"/>
      <c r="K47" s="44"/>
      <c r="L47" s="44"/>
      <c r="M47" s="44"/>
      <c r="N47" s="44"/>
      <c r="O47" s="44"/>
      <c r="P47" s="44"/>
      <c r="Q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I47" s="44"/>
      <c r="AL47" s="44"/>
      <c r="AM47" s="44"/>
      <c r="AN47" s="44"/>
      <c r="AP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</row>
    <row r="49" spans="10:56" s="252" customFormat="1" ht="7.5" customHeight="1">
      <c r="J49" s="253"/>
      <c r="K49" s="44"/>
      <c r="L49" s="44"/>
      <c r="M49" s="44"/>
      <c r="N49" s="44"/>
      <c r="O49" s="44"/>
      <c r="P49" s="44"/>
      <c r="Q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I49" s="44"/>
      <c r="AL49" s="44"/>
      <c r="AM49" s="44"/>
      <c r="AN49" s="44"/>
      <c r="AP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</row>
    <row r="50" spans="2:56" s="252" customFormat="1" ht="37.5" customHeight="1">
      <c r="B50" s="363" t="s">
        <v>531</v>
      </c>
      <c r="C50" s="363"/>
      <c r="D50" s="363"/>
      <c r="E50" s="363"/>
      <c r="F50" s="363"/>
      <c r="G50" s="363"/>
      <c r="H50" s="363"/>
      <c r="I50" s="363"/>
      <c r="J50" s="363"/>
      <c r="K50" s="44"/>
      <c r="L50" s="44"/>
      <c r="M50" s="44"/>
      <c r="N50" s="44"/>
      <c r="O50" s="44"/>
      <c r="P50" s="44"/>
      <c r="Q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I50" s="44"/>
      <c r="AL50" s="44"/>
      <c r="AM50" s="44"/>
      <c r="AN50" s="44"/>
      <c r="AP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</row>
    <row r="51" spans="10:56" s="252" customFormat="1" ht="7.5" customHeight="1">
      <c r="J51" s="253"/>
      <c r="K51" s="44"/>
      <c r="L51" s="44"/>
      <c r="M51" s="44"/>
      <c r="N51" s="44"/>
      <c r="O51" s="44"/>
      <c r="P51" s="44"/>
      <c r="Q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I51" s="44"/>
      <c r="AL51" s="44"/>
      <c r="AM51" s="44"/>
      <c r="AN51" s="44"/>
      <c r="AP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</row>
    <row r="52" spans="2:56" s="252" customFormat="1" ht="15" customHeight="1">
      <c r="B52" s="251"/>
      <c r="C52" s="251" t="s">
        <v>16</v>
      </c>
      <c r="E52" s="252" t="str">
        <f>E27</f>
        <v>Oprava a rekonstrukce sociálek a kuchyní na kolejích Palachova v Hradci Králové</v>
      </c>
      <c r="J52" s="253"/>
      <c r="K52" s="44"/>
      <c r="L52" s="44"/>
      <c r="M52" s="44"/>
      <c r="N52" s="44"/>
      <c r="O52" s="44"/>
      <c r="P52" s="44"/>
      <c r="Q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I52" s="44"/>
      <c r="AL52" s="44"/>
      <c r="AM52" s="44"/>
      <c r="AN52" s="44"/>
      <c r="AP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</row>
    <row r="53" spans="2:56" s="252" customFormat="1" ht="15" customHeight="1">
      <c r="B53" s="251"/>
      <c r="C53" s="251" t="s">
        <v>522</v>
      </c>
      <c r="E53" s="252" t="str">
        <f>E29</f>
        <v>Elektroinstalace – silnoproud</v>
      </c>
      <c r="J53" s="253"/>
      <c r="K53" s="44"/>
      <c r="L53" s="44"/>
      <c r="M53" s="44"/>
      <c r="N53" s="44"/>
      <c r="O53" s="44"/>
      <c r="P53" s="44"/>
      <c r="Q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I53" s="44"/>
      <c r="AL53" s="44"/>
      <c r="AM53" s="44"/>
      <c r="AN53" s="44"/>
      <c r="AP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</row>
    <row r="54" spans="2:56" s="252" customFormat="1" ht="15" customHeight="1">
      <c r="B54" s="251"/>
      <c r="C54" s="251" t="s">
        <v>17</v>
      </c>
      <c r="E54" s="252" t="str">
        <f>E30</f>
        <v>Koleje Jana Palacha, Hradec Králové</v>
      </c>
      <c r="J54" s="253"/>
      <c r="K54" s="44"/>
      <c r="L54" s="44"/>
      <c r="M54" s="44"/>
      <c r="N54" s="44"/>
      <c r="O54" s="44"/>
      <c r="P54" s="44"/>
      <c r="Q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I54" s="44"/>
      <c r="AL54" s="44"/>
      <c r="AM54" s="44"/>
      <c r="AN54" s="44"/>
      <c r="AP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</row>
    <row r="55" spans="2:56" s="252" customFormat="1" ht="18.75" customHeight="1">
      <c r="B55" s="251"/>
      <c r="C55" s="251" t="s">
        <v>525</v>
      </c>
      <c r="E55" s="252" t="str">
        <f>E31</f>
        <v>Jiří Flosman</v>
      </c>
      <c r="J55" s="253"/>
      <c r="K55" s="44"/>
      <c r="L55" s="44"/>
      <c r="M55" s="44"/>
      <c r="N55" s="44"/>
      <c r="O55" s="44"/>
      <c r="P55" s="44"/>
      <c r="Q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I55" s="44"/>
      <c r="AL55" s="44"/>
      <c r="AM55" s="44"/>
      <c r="AN55" s="44"/>
      <c r="AP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</row>
    <row r="56" spans="2:56" s="252" customFormat="1" ht="15.75" customHeight="1">
      <c r="B56" s="251"/>
      <c r="C56" s="251" t="s">
        <v>527</v>
      </c>
      <c r="E56" s="252" t="str">
        <f>E32</f>
        <v>Jiří Flosman</v>
      </c>
      <c r="J56" s="253"/>
      <c r="K56" s="44"/>
      <c r="L56" s="44"/>
      <c r="M56" s="44"/>
      <c r="N56" s="44"/>
      <c r="O56" s="44"/>
      <c r="P56" s="44"/>
      <c r="Q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I56" s="44"/>
      <c r="AL56" s="44"/>
      <c r="AM56" s="44"/>
      <c r="AN56" s="44"/>
      <c r="AP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</row>
    <row r="57" spans="2:56" s="252" customFormat="1" ht="13.95" customHeight="1">
      <c r="B57" s="251"/>
      <c r="C57" s="251" t="s">
        <v>532</v>
      </c>
      <c r="E57" s="256"/>
      <c r="I57" s="251"/>
      <c r="J57" s="251"/>
      <c r="K57" s="44"/>
      <c r="L57" s="44"/>
      <c r="M57" s="44"/>
      <c r="N57" s="44"/>
      <c r="O57" s="44"/>
      <c r="P57" s="44"/>
      <c r="Q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I57" s="44"/>
      <c r="AL57" s="44"/>
      <c r="AM57" s="44"/>
      <c r="AN57" s="44"/>
      <c r="AP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</row>
    <row r="58" spans="2:56" s="252" customFormat="1" ht="13.95" customHeight="1">
      <c r="B58" s="251"/>
      <c r="C58" s="251"/>
      <c r="E58" s="256"/>
      <c r="I58" s="251"/>
      <c r="J58" s="251"/>
      <c r="K58" s="44"/>
      <c r="L58" s="44"/>
      <c r="M58" s="44"/>
      <c r="N58" s="44"/>
      <c r="O58" s="44"/>
      <c r="P58" s="44"/>
      <c r="Q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I58" s="44"/>
      <c r="AL58" s="44"/>
      <c r="AM58" s="44"/>
      <c r="AN58" s="44"/>
      <c r="AP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</row>
    <row r="59" spans="2:56" s="252" customFormat="1" ht="13.95" customHeight="1">
      <c r="B59" s="251"/>
      <c r="C59" s="256" t="s">
        <v>533</v>
      </c>
      <c r="E59" s="251"/>
      <c r="J59" s="259"/>
      <c r="K59" s="44"/>
      <c r="L59" s="44"/>
      <c r="M59" s="44"/>
      <c r="N59" s="44"/>
      <c r="O59" s="44"/>
      <c r="P59" s="44"/>
      <c r="Q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I59" s="44"/>
      <c r="AL59" s="44"/>
      <c r="AM59" s="44"/>
      <c r="AN59" s="44"/>
      <c r="AP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</row>
    <row r="60" spans="2:56" s="262" customFormat="1" ht="13.95" customHeight="1">
      <c r="B60" s="263"/>
      <c r="C60" s="262" t="s">
        <v>534</v>
      </c>
      <c r="J60" s="264"/>
      <c r="K60" s="50"/>
      <c r="L60" s="50"/>
      <c r="M60" s="50"/>
      <c r="N60" s="50"/>
      <c r="O60" s="50"/>
      <c r="P60" s="50"/>
      <c r="Q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I60" s="50"/>
      <c r="AL60" s="50"/>
      <c r="AM60" s="50"/>
      <c r="AN60" s="50"/>
      <c r="AP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</row>
    <row r="61" spans="2:56" s="262" customFormat="1" ht="13.95" customHeight="1">
      <c r="B61" s="263"/>
      <c r="C61" s="262" t="s">
        <v>535</v>
      </c>
      <c r="J61" s="264"/>
      <c r="K61" s="50"/>
      <c r="L61" s="50"/>
      <c r="M61" s="50"/>
      <c r="N61" s="50"/>
      <c r="O61" s="50"/>
      <c r="P61" s="50"/>
      <c r="Q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I61" s="50"/>
      <c r="AL61" s="50"/>
      <c r="AM61" s="50"/>
      <c r="AN61" s="50"/>
      <c r="AP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</row>
    <row r="62" spans="2:56" s="262" customFormat="1" ht="13.95" customHeight="1">
      <c r="B62" s="263"/>
      <c r="C62" s="262" t="s">
        <v>536</v>
      </c>
      <c r="J62" s="264"/>
      <c r="K62" s="50"/>
      <c r="L62" s="50"/>
      <c r="M62" s="50"/>
      <c r="N62" s="50"/>
      <c r="O62" s="50"/>
      <c r="P62" s="50"/>
      <c r="Q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I62" s="50"/>
      <c r="AL62" s="50"/>
      <c r="AM62" s="50"/>
      <c r="AN62" s="50"/>
      <c r="AP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</row>
    <row r="63" spans="2:56" s="262" customFormat="1" ht="13.95" customHeight="1">
      <c r="B63" s="263"/>
      <c r="C63" s="262" t="s">
        <v>537</v>
      </c>
      <c r="J63" s="264"/>
      <c r="K63" s="50"/>
      <c r="L63" s="50"/>
      <c r="M63" s="50"/>
      <c r="N63" s="50"/>
      <c r="O63" s="50"/>
      <c r="P63" s="50"/>
      <c r="Q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I63" s="50"/>
      <c r="AL63" s="50"/>
      <c r="AM63" s="50"/>
      <c r="AN63" s="50"/>
      <c r="AP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</row>
    <row r="64" spans="2:56" s="262" customFormat="1" ht="13.95" customHeight="1">
      <c r="B64" s="263"/>
      <c r="C64" s="263"/>
      <c r="J64" s="264"/>
      <c r="K64" s="50"/>
      <c r="L64" s="50"/>
      <c r="M64" s="50"/>
      <c r="N64" s="50"/>
      <c r="O64" s="50"/>
      <c r="P64" s="50"/>
      <c r="Q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I64" s="50"/>
      <c r="AL64" s="50"/>
      <c r="AM64" s="50"/>
      <c r="AN64" s="50"/>
      <c r="AP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</row>
    <row r="65" spans="2:56" s="262" customFormat="1" ht="13.95" customHeight="1">
      <c r="B65" s="263"/>
      <c r="C65" s="263" t="s">
        <v>538</v>
      </c>
      <c r="J65" s="264"/>
      <c r="K65" s="50"/>
      <c r="L65" s="50"/>
      <c r="M65" s="50"/>
      <c r="N65" s="50"/>
      <c r="O65" s="50"/>
      <c r="P65" s="50"/>
      <c r="Q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I65" s="50"/>
      <c r="AL65" s="50"/>
      <c r="AM65" s="50"/>
      <c r="AN65" s="50"/>
      <c r="AP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</row>
    <row r="66" spans="2:56" s="262" customFormat="1" ht="13.95" customHeight="1">
      <c r="B66" s="263"/>
      <c r="C66" s="263"/>
      <c r="E66" s="251"/>
      <c r="J66" s="264"/>
      <c r="K66" s="50"/>
      <c r="L66" s="50"/>
      <c r="M66" s="50"/>
      <c r="N66" s="50"/>
      <c r="O66" s="50"/>
      <c r="P66" s="50"/>
      <c r="Q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I66" s="50"/>
      <c r="AL66" s="50"/>
      <c r="AM66" s="50"/>
      <c r="AN66" s="50"/>
      <c r="AP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</row>
    <row r="67" spans="2:56" s="262" customFormat="1" ht="13.95" customHeight="1">
      <c r="B67" s="263"/>
      <c r="C67" s="263"/>
      <c r="J67" s="264"/>
      <c r="K67" s="50"/>
      <c r="L67" s="50"/>
      <c r="M67" s="50"/>
      <c r="N67" s="50"/>
      <c r="O67" s="50"/>
      <c r="P67" s="50"/>
      <c r="Q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I67" s="50"/>
      <c r="AL67" s="50"/>
      <c r="AM67" s="50"/>
      <c r="AN67" s="50"/>
      <c r="AP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</row>
    <row r="68" spans="2:56" s="262" customFormat="1" ht="27" customHeight="1">
      <c r="B68" s="263"/>
      <c r="C68" s="263"/>
      <c r="E68" s="265"/>
      <c r="J68" s="264"/>
      <c r="K68" s="50"/>
      <c r="L68" s="50"/>
      <c r="M68" s="50"/>
      <c r="N68" s="50"/>
      <c r="O68" s="50"/>
      <c r="P68" s="50"/>
      <c r="Q68" s="50"/>
      <c r="S68" s="182" t="s">
        <v>87</v>
      </c>
      <c r="T68" s="2" t="s">
        <v>2</v>
      </c>
      <c r="U68" s="2" t="s">
        <v>3</v>
      </c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I68" s="50"/>
      <c r="AL68" s="50"/>
      <c r="AM68" s="50"/>
      <c r="AN68" s="50"/>
      <c r="AP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</row>
    <row r="69" spans="2:56" s="252" customFormat="1" ht="30" customHeight="1">
      <c r="B69" s="251"/>
      <c r="C69" s="251" t="s">
        <v>529</v>
      </c>
      <c r="J69" s="266">
        <f>J72+J77+J88+J100+J105</f>
        <v>0</v>
      </c>
      <c r="K69" s="44"/>
      <c r="L69" s="44"/>
      <c r="M69" s="44"/>
      <c r="N69" s="51">
        <f>$BT$68</f>
        <v>0</v>
      </c>
      <c r="O69" s="44"/>
      <c r="P69" s="51">
        <f>$BT$68</f>
        <v>0</v>
      </c>
      <c r="Q69" s="44"/>
      <c r="S69" s="270"/>
      <c r="T69" s="258">
        <f aca="true" t="shared" si="6" ref="T69:U69">T72+T77+T88+T100+T105</f>
        <v>0</v>
      </c>
      <c r="U69" s="258">
        <f t="shared" si="6"/>
        <v>0</v>
      </c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I69" s="44"/>
      <c r="AJ69" s="252" t="s">
        <v>539</v>
      </c>
      <c r="AK69" s="252" t="s">
        <v>530</v>
      </c>
      <c r="AL69" s="44"/>
      <c r="AM69" s="44"/>
      <c r="AN69" s="44"/>
      <c r="AP69" s="44"/>
      <c r="AT69" s="44"/>
      <c r="AU69" s="44"/>
      <c r="AV69" s="44"/>
      <c r="AW69" s="44"/>
      <c r="AX69" s="44"/>
      <c r="AY69" s="44"/>
      <c r="AZ69" s="44"/>
      <c r="BA69" s="48">
        <f>$BT$68</f>
        <v>0</v>
      </c>
      <c r="BB69" s="44"/>
      <c r="BC69" s="44"/>
      <c r="BD69" s="44"/>
    </row>
    <row r="70" spans="2:56" s="252" customFormat="1" ht="30" customHeight="1">
      <c r="B70" s="251"/>
      <c r="J70" s="266"/>
      <c r="K70" s="44"/>
      <c r="L70" s="44"/>
      <c r="M70" s="44"/>
      <c r="N70" s="51"/>
      <c r="O70" s="44"/>
      <c r="P70" s="51"/>
      <c r="Q70" s="44"/>
      <c r="S70" s="270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I70" s="44"/>
      <c r="AL70" s="44"/>
      <c r="AM70" s="44"/>
      <c r="AN70" s="44"/>
      <c r="AP70" s="44"/>
      <c r="AT70" s="44"/>
      <c r="AU70" s="44"/>
      <c r="AV70" s="44"/>
      <c r="AW70" s="44"/>
      <c r="AX70" s="44"/>
      <c r="AY70" s="44"/>
      <c r="AZ70" s="44"/>
      <c r="BA70" s="48"/>
      <c r="BB70" s="44"/>
      <c r="BC70" s="44"/>
      <c r="BD70" s="44"/>
    </row>
    <row r="71" spans="2:56" s="251" customFormat="1" ht="28.2" customHeight="1">
      <c r="B71" s="251" t="s">
        <v>540</v>
      </c>
      <c r="C71" s="251" t="s">
        <v>541</v>
      </c>
      <c r="D71" s="3" t="s">
        <v>542</v>
      </c>
      <c r="E71" s="267" t="s">
        <v>543</v>
      </c>
      <c r="F71" s="267" t="s">
        <v>544</v>
      </c>
      <c r="G71" s="268" t="s">
        <v>389</v>
      </c>
      <c r="H71" s="257" t="s">
        <v>545</v>
      </c>
      <c r="I71" s="251" t="s">
        <v>546</v>
      </c>
      <c r="J71" s="269" t="s">
        <v>547</v>
      </c>
      <c r="K71" s="52" t="s">
        <v>548</v>
      </c>
      <c r="L71" s="53" t="s">
        <v>7</v>
      </c>
      <c r="M71" s="46" t="s">
        <v>549</v>
      </c>
      <c r="N71" s="46" t="s">
        <v>550</v>
      </c>
      <c r="O71" s="54" t="s">
        <v>551</v>
      </c>
      <c r="P71" s="54" t="s">
        <v>552</v>
      </c>
      <c r="Q71" s="54" t="s">
        <v>553</v>
      </c>
      <c r="S71" s="249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267"/>
      <c r="AI71" s="46"/>
      <c r="AJ71" s="267"/>
      <c r="AK71" s="267"/>
      <c r="AL71" s="46"/>
      <c r="AM71" s="46"/>
      <c r="AN71" s="46"/>
      <c r="AP71" s="46"/>
      <c r="AT71" s="46"/>
      <c r="AU71" s="48"/>
      <c r="AV71" s="48"/>
      <c r="AW71" s="48"/>
      <c r="AX71" s="48"/>
      <c r="AY71" s="48"/>
      <c r="AZ71" s="52"/>
      <c r="BA71" s="48"/>
      <c r="BB71" s="52"/>
      <c r="BC71" s="52"/>
      <c r="BD71" s="46"/>
    </row>
    <row r="72" spans="2:53" s="55" customFormat="1" ht="28.2" customHeight="1">
      <c r="B72" s="56" t="s">
        <v>554</v>
      </c>
      <c r="C72" s="56"/>
      <c r="D72" s="57"/>
      <c r="E72" s="57"/>
      <c r="F72" s="57"/>
      <c r="G72" s="57"/>
      <c r="H72" s="57"/>
      <c r="I72" s="57"/>
      <c r="J72" s="58">
        <f>SUM(J73:J76)</f>
        <v>0</v>
      </c>
      <c r="N72" s="51" t="e">
        <f>SUM(#REF!)</f>
        <v>#REF!</v>
      </c>
      <c r="P72" s="51" t="e">
        <f>SUM(#REF!)</f>
        <v>#REF!</v>
      </c>
      <c r="S72" s="176"/>
      <c r="T72" s="58">
        <f aca="true" t="shared" si="7" ref="T72:U72">SUM(T73:T76)</f>
        <v>0</v>
      </c>
      <c r="U72" s="58">
        <f t="shared" si="7"/>
        <v>0</v>
      </c>
      <c r="AH72" s="55" t="s">
        <v>88</v>
      </c>
      <c r="AJ72" s="55" t="s">
        <v>539</v>
      </c>
      <c r="AK72" s="55" t="s">
        <v>88</v>
      </c>
      <c r="AO72" s="55" t="s">
        <v>555</v>
      </c>
      <c r="BA72" s="49" t="e">
        <f>SUM(#REF!)</f>
        <v>#REF!</v>
      </c>
    </row>
    <row r="73" spans="2:56" s="271" customFormat="1" ht="20.85" customHeight="1">
      <c r="B73" s="271">
        <v>1</v>
      </c>
      <c r="C73" s="271" t="s">
        <v>556</v>
      </c>
      <c r="D73" s="272" t="s">
        <v>557</v>
      </c>
      <c r="E73" s="273"/>
      <c r="F73" s="273" t="s">
        <v>292</v>
      </c>
      <c r="G73" s="274">
        <v>1000</v>
      </c>
      <c r="H73" s="281"/>
      <c r="I73" s="281"/>
      <c r="J73" s="275">
        <f>(G73*H73)+(G73*I73)</f>
        <v>0</v>
      </c>
      <c r="K73" s="61"/>
      <c r="L73" s="65"/>
      <c r="M73" s="59"/>
      <c r="N73" s="59"/>
      <c r="O73" s="66"/>
      <c r="P73" s="66"/>
      <c r="Q73" s="66"/>
      <c r="S73" s="283" t="s">
        <v>103</v>
      </c>
      <c r="T73" s="200">
        <f aca="true" t="shared" si="8" ref="T73:T106">IF(S73="I",J73," ")</f>
        <v>0</v>
      </c>
      <c r="U73" s="200" t="str">
        <f aca="true" t="shared" si="9" ref="U73:U106">IF(S73="N",J73," ")</f>
        <v xml:space="preserve"> </v>
      </c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273"/>
      <c r="AI73" s="59"/>
      <c r="AJ73" s="273"/>
      <c r="AK73" s="273"/>
      <c r="AL73" s="59"/>
      <c r="AM73" s="59"/>
      <c r="AN73" s="59"/>
      <c r="AP73" s="59"/>
      <c r="AT73" s="59"/>
      <c r="AU73" s="64"/>
      <c r="AV73" s="64"/>
      <c r="AW73" s="64"/>
      <c r="AX73" s="64"/>
      <c r="AY73" s="64"/>
      <c r="AZ73" s="61"/>
      <c r="BA73" s="64"/>
      <c r="BB73" s="61"/>
      <c r="BC73" s="61"/>
      <c r="BD73" s="59"/>
    </row>
    <row r="74" spans="2:56" s="271" customFormat="1" ht="20.85" customHeight="1">
      <c r="B74" s="271">
        <v>2</v>
      </c>
      <c r="C74" s="271" t="s">
        <v>556</v>
      </c>
      <c r="D74" s="272" t="s">
        <v>558</v>
      </c>
      <c r="E74" s="273" t="s">
        <v>559</v>
      </c>
      <c r="F74" s="273" t="s">
        <v>292</v>
      </c>
      <c r="G74" s="274">
        <v>1160</v>
      </c>
      <c r="H74" s="281"/>
      <c r="I74" s="281"/>
      <c r="J74" s="275">
        <f>(G74*H74)+(G74*I74)</f>
        <v>0</v>
      </c>
      <c r="K74" s="61"/>
      <c r="L74" s="65"/>
      <c r="M74" s="59"/>
      <c r="N74" s="59"/>
      <c r="O74" s="66"/>
      <c r="P74" s="66"/>
      <c r="Q74" s="66"/>
      <c r="S74" s="283" t="s">
        <v>103</v>
      </c>
      <c r="T74" s="200">
        <f t="shared" si="8"/>
        <v>0</v>
      </c>
      <c r="U74" s="200" t="str">
        <f t="shared" si="9"/>
        <v xml:space="preserve"> </v>
      </c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273"/>
      <c r="AI74" s="59"/>
      <c r="AJ74" s="273"/>
      <c r="AK74" s="273"/>
      <c r="AL74" s="59"/>
      <c r="AM74" s="59"/>
      <c r="AN74" s="59"/>
      <c r="AP74" s="59"/>
      <c r="AT74" s="59"/>
      <c r="AU74" s="64"/>
      <c r="AV74" s="64"/>
      <c r="AW74" s="64"/>
      <c r="AX74" s="64"/>
      <c r="AY74" s="64"/>
      <c r="AZ74" s="61"/>
      <c r="BA74" s="64"/>
      <c r="BB74" s="61"/>
      <c r="BC74" s="61"/>
      <c r="BD74" s="59"/>
    </row>
    <row r="75" spans="2:56" s="271" customFormat="1" ht="20.85" customHeight="1">
      <c r="B75" s="271">
        <v>3</v>
      </c>
      <c r="C75" s="271" t="s">
        <v>556</v>
      </c>
      <c r="D75" s="272" t="s">
        <v>560</v>
      </c>
      <c r="E75" s="273"/>
      <c r="F75" s="273" t="s">
        <v>292</v>
      </c>
      <c r="G75" s="274">
        <v>480</v>
      </c>
      <c r="H75" s="281"/>
      <c r="I75" s="281"/>
      <c r="J75" s="275">
        <f>(G75*H75)+(G75*I75)</f>
        <v>0</v>
      </c>
      <c r="K75" s="61"/>
      <c r="L75" s="65"/>
      <c r="M75" s="59"/>
      <c r="N75" s="59"/>
      <c r="O75" s="66"/>
      <c r="P75" s="66"/>
      <c r="Q75" s="66"/>
      <c r="S75" s="283" t="s">
        <v>103</v>
      </c>
      <c r="T75" s="200">
        <f t="shared" si="8"/>
        <v>0</v>
      </c>
      <c r="U75" s="200" t="str">
        <f t="shared" si="9"/>
        <v xml:space="preserve"> </v>
      </c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273"/>
      <c r="AI75" s="59"/>
      <c r="AJ75" s="273"/>
      <c r="AK75" s="273"/>
      <c r="AL75" s="59"/>
      <c r="AM75" s="59"/>
      <c r="AN75" s="59"/>
      <c r="AP75" s="59"/>
      <c r="AT75" s="59"/>
      <c r="AU75" s="64"/>
      <c r="AV75" s="64"/>
      <c r="AW75" s="64"/>
      <c r="AX75" s="64"/>
      <c r="AY75" s="64"/>
      <c r="AZ75" s="61"/>
      <c r="BA75" s="64"/>
      <c r="BB75" s="61"/>
      <c r="BC75" s="61"/>
      <c r="BD75" s="59"/>
    </row>
    <row r="76" spans="2:56" s="271" customFormat="1" ht="20.85" customHeight="1">
      <c r="B76" s="271">
        <v>4</v>
      </c>
      <c r="C76" s="271" t="s">
        <v>556</v>
      </c>
      <c r="D76" s="272" t="s">
        <v>561</v>
      </c>
      <c r="E76" s="273"/>
      <c r="F76" s="273" t="s">
        <v>292</v>
      </c>
      <c r="G76" s="274">
        <v>320</v>
      </c>
      <c r="H76" s="281"/>
      <c r="I76" s="281"/>
      <c r="J76" s="275">
        <f>(G76*H76)+(G76*I76)</f>
        <v>0</v>
      </c>
      <c r="K76" s="61"/>
      <c r="L76" s="65"/>
      <c r="M76" s="59"/>
      <c r="N76" s="59"/>
      <c r="O76" s="66"/>
      <c r="P76" s="66"/>
      <c r="Q76" s="66"/>
      <c r="S76" s="283" t="s">
        <v>103</v>
      </c>
      <c r="T76" s="200">
        <f t="shared" si="8"/>
        <v>0</v>
      </c>
      <c r="U76" s="200" t="str">
        <f t="shared" si="9"/>
        <v xml:space="preserve"> </v>
      </c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273"/>
      <c r="AI76" s="59"/>
      <c r="AJ76" s="273"/>
      <c r="AK76" s="273"/>
      <c r="AL76" s="59"/>
      <c r="AM76" s="59"/>
      <c r="AN76" s="59"/>
      <c r="AP76" s="59"/>
      <c r="AT76" s="59"/>
      <c r="AU76" s="64"/>
      <c r="AV76" s="64"/>
      <c r="AW76" s="64"/>
      <c r="AX76" s="64"/>
      <c r="AY76" s="64"/>
      <c r="AZ76" s="61"/>
      <c r="BA76" s="64"/>
      <c r="BB76" s="61"/>
      <c r="BC76" s="61"/>
      <c r="BD76" s="59"/>
    </row>
    <row r="77" spans="2:53" s="55" customFormat="1" ht="28.2" customHeight="1">
      <c r="B77" s="56" t="s">
        <v>562</v>
      </c>
      <c r="C77" s="56"/>
      <c r="D77" s="57"/>
      <c r="E77" s="57"/>
      <c r="F77" s="57"/>
      <c r="G77" s="57"/>
      <c r="H77" s="57"/>
      <c r="I77" s="57"/>
      <c r="J77" s="58">
        <f>SUM(J78:J84)</f>
        <v>0</v>
      </c>
      <c r="N77" s="51" t="e">
        <f>SUM(#REF!)</f>
        <v>#REF!</v>
      </c>
      <c r="P77" s="51" t="e">
        <f>SUM(#REF!)</f>
        <v>#REF!</v>
      </c>
      <c r="S77" s="176"/>
      <c r="T77" s="58">
        <f>SUM(T78:T84)</f>
        <v>0</v>
      </c>
      <c r="U77" s="58">
        <f>SUM(U78:U84)</f>
        <v>0</v>
      </c>
      <c r="AH77" s="55" t="s">
        <v>88</v>
      </c>
      <c r="AJ77" s="55" t="s">
        <v>539</v>
      </c>
      <c r="AK77" s="55" t="s">
        <v>88</v>
      </c>
      <c r="AO77" s="55" t="s">
        <v>555</v>
      </c>
      <c r="BA77" s="49" t="e">
        <f>SUM(#REF!)</f>
        <v>#REF!</v>
      </c>
    </row>
    <row r="78" spans="2:56" s="276" customFormat="1" ht="21" customHeight="1">
      <c r="B78" s="277" t="s">
        <v>563</v>
      </c>
      <c r="C78" s="277"/>
      <c r="F78" s="273" t="s">
        <v>360</v>
      </c>
      <c r="G78" s="274">
        <v>8</v>
      </c>
      <c r="H78" s="281"/>
      <c r="I78" s="281"/>
      <c r="J78" s="275">
        <f>(G78*H78)+(G78*I78)</f>
        <v>0</v>
      </c>
      <c r="K78" s="55"/>
      <c r="L78" s="55"/>
      <c r="M78" s="55"/>
      <c r="N78" s="51"/>
      <c r="O78" s="55"/>
      <c r="P78" s="51"/>
      <c r="Q78" s="55"/>
      <c r="S78" s="283" t="s">
        <v>103</v>
      </c>
      <c r="T78" s="200">
        <f t="shared" si="8"/>
        <v>0</v>
      </c>
      <c r="U78" s="200" t="str">
        <f t="shared" si="9"/>
        <v xml:space="preserve"> </v>
      </c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I78" s="55"/>
      <c r="AL78" s="55"/>
      <c r="AM78" s="55"/>
      <c r="AN78" s="55"/>
      <c r="AP78" s="55"/>
      <c r="AT78" s="55"/>
      <c r="AU78" s="55"/>
      <c r="AV78" s="55"/>
      <c r="AW78" s="55"/>
      <c r="AX78" s="55"/>
      <c r="AY78" s="55"/>
      <c r="AZ78" s="55"/>
      <c r="BA78" s="49"/>
      <c r="BB78" s="55"/>
      <c r="BC78" s="55"/>
      <c r="BD78" s="55"/>
    </row>
    <row r="79" spans="2:55" s="67" customFormat="1" ht="27.6" customHeight="1">
      <c r="B79" s="59">
        <v>5</v>
      </c>
      <c r="C79" s="59" t="s">
        <v>556</v>
      </c>
      <c r="D79" s="67" t="s">
        <v>564</v>
      </c>
      <c r="E79" s="68"/>
      <c r="F79" s="68"/>
      <c r="G79" s="69"/>
      <c r="H79" s="70"/>
      <c r="I79" s="71"/>
      <c r="J79" s="72"/>
      <c r="K79" s="68"/>
      <c r="L79" s="73"/>
      <c r="O79" s="74"/>
      <c r="P79" s="74"/>
      <c r="Q79" s="74"/>
      <c r="S79" s="177"/>
      <c r="T79" s="72"/>
      <c r="U79" s="72"/>
      <c r="AH79" s="68"/>
      <c r="AJ79" s="68"/>
      <c r="AK79" s="68"/>
      <c r="AU79" s="75"/>
      <c r="AV79" s="75"/>
      <c r="AW79" s="75"/>
      <c r="AX79" s="75"/>
      <c r="AY79" s="75"/>
      <c r="AZ79" s="68"/>
      <c r="BA79" s="75"/>
      <c r="BB79" s="68"/>
      <c r="BC79" s="68"/>
    </row>
    <row r="80" spans="2:56" s="278" customFormat="1" ht="27.6" customHeight="1">
      <c r="B80" s="277" t="s">
        <v>565</v>
      </c>
      <c r="C80" s="271"/>
      <c r="E80" s="279"/>
      <c r="F80" s="273" t="s">
        <v>360</v>
      </c>
      <c r="G80" s="274">
        <v>8</v>
      </c>
      <c r="H80" s="281"/>
      <c r="I80" s="281"/>
      <c r="J80" s="275">
        <f>(G80*H80)+(G80*I80)</f>
        <v>0</v>
      </c>
      <c r="K80" s="68"/>
      <c r="L80" s="73"/>
      <c r="M80" s="67"/>
      <c r="N80" s="67"/>
      <c r="O80" s="74"/>
      <c r="P80" s="74"/>
      <c r="Q80" s="74"/>
      <c r="S80" s="283" t="s">
        <v>103</v>
      </c>
      <c r="T80" s="200">
        <f t="shared" si="8"/>
        <v>0</v>
      </c>
      <c r="U80" s="200" t="str">
        <f t="shared" si="9"/>
        <v xml:space="preserve"> </v>
      </c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279"/>
      <c r="AI80" s="67"/>
      <c r="AJ80" s="279"/>
      <c r="AK80" s="279"/>
      <c r="AL80" s="67"/>
      <c r="AM80" s="67"/>
      <c r="AN80" s="67"/>
      <c r="AP80" s="67"/>
      <c r="AT80" s="67"/>
      <c r="AU80" s="75"/>
      <c r="AV80" s="75"/>
      <c r="AW80" s="75"/>
      <c r="AX80" s="75"/>
      <c r="AY80" s="75"/>
      <c r="AZ80" s="68"/>
      <c r="BA80" s="75"/>
      <c r="BB80" s="68"/>
      <c r="BC80" s="68"/>
      <c r="BD80" s="67"/>
    </row>
    <row r="81" spans="2:55" s="67" customFormat="1" ht="27.6" customHeight="1">
      <c r="B81" s="59">
        <v>6</v>
      </c>
      <c r="C81" s="59" t="s">
        <v>556</v>
      </c>
      <c r="D81" s="67" t="s">
        <v>564</v>
      </c>
      <c r="E81" s="68"/>
      <c r="F81" s="68"/>
      <c r="G81" s="69"/>
      <c r="H81" s="70"/>
      <c r="I81" s="71"/>
      <c r="J81" s="72"/>
      <c r="K81" s="68"/>
      <c r="L81" s="73"/>
      <c r="O81" s="74"/>
      <c r="P81" s="74"/>
      <c r="Q81" s="74"/>
      <c r="S81" s="177"/>
      <c r="T81" s="72"/>
      <c r="U81" s="72"/>
      <c r="AH81" s="68"/>
      <c r="AJ81" s="68"/>
      <c r="AK81" s="68"/>
      <c r="AU81" s="75"/>
      <c r="AV81" s="75"/>
      <c r="AW81" s="75"/>
      <c r="AX81" s="75"/>
      <c r="AY81" s="75"/>
      <c r="AZ81" s="68"/>
      <c r="BA81" s="75"/>
      <c r="BB81" s="68"/>
      <c r="BC81" s="68"/>
    </row>
    <row r="82" spans="2:56" s="278" customFormat="1" ht="27.6" customHeight="1">
      <c r="B82" s="277" t="s">
        <v>566</v>
      </c>
      <c r="C82" s="271"/>
      <c r="E82" s="279"/>
      <c r="F82" s="273" t="s">
        <v>360</v>
      </c>
      <c r="G82" s="274">
        <v>8</v>
      </c>
      <c r="H82" s="281"/>
      <c r="I82" s="281"/>
      <c r="J82" s="275">
        <f>(G82*H82)+(G82*I82)</f>
        <v>0</v>
      </c>
      <c r="K82" s="68"/>
      <c r="L82" s="73"/>
      <c r="M82" s="67"/>
      <c r="N82" s="67"/>
      <c r="O82" s="74"/>
      <c r="P82" s="74"/>
      <c r="Q82" s="74"/>
      <c r="S82" s="283" t="s">
        <v>103</v>
      </c>
      <c r="T82" s="200">
        <f t="shared" si="8"/>
        <v>0</v>
      </c>
      <c r="U82" s="200" t="str">
        <f t="shared" si="9"/>
        <v xml:space="preserve"> </v>
      </c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279"/>
      <c r="AI82" s="67"/>
      <c r="AJ82" s="279"/>
      <c r="AK82" s="279"/>
      <c r="AL82" s="67"/>
      <c r="AM82" s="67"/>
      <c r="AN82" s="67"/>
      <c r="AP82" s="67"/>
      <c r="AT82" s="67"/>
      <c r="AU82" s="75"/>
      <c r="AV82" s="75"/>
      <c r="AW82" s="75"/>
      <c r="AX82" s="75"/>
      <c r="AY82" s="75"/>
      <c r="AZ82" s="68"/>
      <c r="BA82" s="75"/>
      <c r="BB82" s="68"/>
      <c r="BC82" s="68"/>
      <c r="BD82" s="67"/>
    </row>
    <row r="83" spans="2:55" s="67" customFormat="1" ht="27.6" customHeight="1">
      <c r="B83" s="59">
        <v>7</v>
      </c>
      <c r="C83" s="59" t="s">
        <v>556</v>
      </c>
      <c r="D83" s="67" t="s">
        <v>564</v>
      </c>
      <c r="E83" s="68"/>
      <c r="F83" s="68"/>
      <c r="G83" s="69"/>
      <c r="H83" s="70"/>
      <c r="I83" s="71"/>
      <c r="J83" s="72"/>
      <c r="K83" s="68"/>
      <c r="L83" s="73"/>
      <c r="O83" s="74"/>
      <c r="P83" s="74"/>
      <c r="Q83" s="74"/>
      <c r="S83" s="177"/>
      <c r="T83" s="72"/>
      <c r="U83" s="72"/>
      <c r="AH83" s="68"/>
      <c r="AJ83" s="68"/>
      <c r="AK83" s="68"/>
      <c r="AU83" s="75"/>
      <c r="AV83" s="75"/>
      <c r="AW83" s="75"/>
      <c r="AX83" s="75"/>
      <c r="AY83" s="75"/>
      <c r="AZ83" s="68"/>
      <c r="BA83" s="75"/>
      <c r="BB83" s="68"/>
      <c r="BC83" s="68"/>
    </row>
    <row r="84" spans="2:56" s="278" customFormat="1" ht="27.6" customHeight="1">
      <c r="B84" s="277" t="s">
        <v>567</v>
      </c>
      <c r="C84" s="271"/>
      <c r="D84" s="254"/>
      <c r="E84" s="279"/>
      <c r="F84" s="273" t="s">
        <v>360</v>
      </c>
      <c r="G84" s="274">
        <v>1</v>
      </c>
      <c r="H84" s="281"/>
      <c r="I84" s="281"/>
      <c r="J84" s="275">
        <f>(G84*H84)+(G84*I84)</f>
        <v>0</v>
      </c>
      <c r="K84" s="68"/>
      <c r="L84" s="73"/>
      <c r="M84" s="67"/>
      <c r="N84" s="67"/>
      <c r="O84" s="74"/>
      <c r="P84" s="74"/>
      <c r="Q84" s="74"/>
      <c r="S84" s="283" t="s">
        <v>103</v>
      </c>
      <c r="T84" s="200">
        <f t="shared" si="8"/>
        <v>0</v>
      </c>
      <c r="U84" s="200" t="str">
        <f t="shared" si="9"/>
        <v xml:space="preserve"> </v>
      </c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279"/>
      <c r="AI84" s="67"/>
      <c r="AJ84" s="279"/>
      <c r="AK84" s="279"/>
      <c r="AL84" s="67"/>
      <c r="AM84" s="67"/>
      <c r="AN84" s="67"/>
      <c r="AP84" s="67"/>
      <c r="AT84" s="67"/>
      <c r="AU84" s="75"/>
      <c r="AV84" s="75"/>
      <c r="AW84" s="75"/>
      <c r="AX84" s="75"/>
      <c r="AY84" s="75"/>
      <c r="AZ84" s="68"/>
      <c r="BA84" s="75"/>
      <c r="BB84" s="68"/>
      <c r="BC84" s="68"/>
      <c r="BD84" s="67"/>
    </row>
    <row r="85" spans="2:55" s="67" customFormat="1" ht="27.6" customHeight="1">
      <c r="B85" s="59">
        <v>8</v>
      </c>
      <c r="C85" s="59" t="s">
        <v>556</v>
      </c>
      <c r="D85" s="67" t="s">
        <v>568</v>
      </c>
      <c r="E85" s="68"/>
      <c r="F85" s="68"/>
      <c r="G85" s="69"/>
      <c r="H85" s="70"/>
      <c r="I85" s="71"/>
      <c r="J85" s="72"/>
      <c r="K85" s="68"/>
      <c r="L85" s="73"/>
      <c r="O85" s="74"/>
      <c r="P85" s="74"/>
      <c r="Q85" s="74"/>
      <c r="S85" s="177"/>
      <c r="T85" s="72"/>
      <c r="U85" s="72"/>
      <c r="AH85" s="68"/>
      <c r="AJ85" s="68"/>
      <c r="AK85" s="68"/>
      <c r="AU85" s="75"/>
      <c r="AV85" s="75"/>
      <c r="AW85" s="75"/>
      <c r="AX85" s="75"/>
      <c r="AY85" s="75"/>
      <c r="AZ85" s="68"/>
      <c r="BA85" s="75"/>
      <c r="BB85" s="68"/>
      <c r="BC85" s="68"/>
    </row>
    <row r="86" spans="2:55" s="67" customFormat="1" ht="27.6" customHeight="1">
      <c r="B86" s="59"/>
      <c r="C86" s="59"/>
      <c r="D86" s="67" t="s">
        <v>569</v>
      </c>
      <c r="E86" s="68"/>
      <c r="F86" s="68"/>
      <c r="G86" s="69"/>
      <c r="H86" s="70"/>
      <c r="I86" s="71"/>
      <c r="J86" s="72"/>
      <c r="K86" s="68"/>
      <c r="L86" s="73"/>
      <c r="O86" s="74"/>
      <c r="P86" s="74"/>
      <c r="Q86" s="74"/>
      <c r="S86" s="177"/>
      <c r="T86" s="72"/>
      <c r="U86" s="72"/>
      <c r="AH86" s="68"/>
      <c r="AJ86" s="68"/>
      <c r="AK86" s="68"/>
      <c r="AU86" s="75"/>
      <c r="AV86" s="75"/>
      <c r="AW86" s="75"/>
      <c r="AX86" s="75"/>
      <c r="AY86" s="75"/>
      <c r="AZ86" s="68"/>
      <c r="BA86" s="75"/>
      <c r="BB86" s="68"/>
      <c r="BC86" s="68"/>
    </row>
    <row r="87" spans="2:55" s="67" customFormat="1" ht="27.6" customHeight="1">
      <c r="B87" s="59"/>
      <c r="C87" s="59"/>
      <c r="D87" s="67" t="s">
        <v>570</v>
      </c>
      <c r="E87" s="68"/>
      <c r="F87" s="68"/>
      <c r="G87" s="69"/>
      <c r="H87" s="70"/>
      <c r="I87" s="71"/>
      <c r="J87" s="72"/>
      <c r="K87" s="68"/>
      <c r="L87" s="73"/>
      <c r="O87" s="74"/>
      <c r="P87" s="74"/>
      <c r="Q87" s="74"/>
      <c r="S87" s="177"/>
      <c r="T87" s="72"/>
      <c r="U87" s="72"/>
      <c r="AH87" s="68"/>
      <c r="AJ87" s="68"/>
      <c r="AK87" s="68"/>
      <c r="AU87" s="75"/>
      <c r="AV87" s="75"/>
      <c r="AW87" s="75"/>
      <c r="AX87" s="75"/>
      <c r="AY87" s="75"/>
      <c r="AZ87" s="68"/>
      <c r="BA87" s="75"/>
      <c r="BB87" s="68"/>
      <c r="BC87" s="68"/>
    </row>
    <row r="88" spans="2:53" s="55" customFormat="1" ht="28.2" customHeight="1">
      <c r="B88" s="56" t="s">
        <v>571</v>
      </c>
      <c r="C88" s="56"/>
      <c r="D88" s="57"/>
      <c r="E88" s="57"/>
      <c r="F88" s="57"/>
      <c r="G88" s="57"/>
      <c r="H88" s="57"/>
      <c r="I88" s="57"/>
      <c r="J88" s="58">
        <f>SUM(J89:J99)</f>
        <v>0</v>
      </c>
      <c r="N88" s="51" t="e">
        <f>SUM(#REF!)</f>
        <v>#REF!</v>
      </c>
      <c r="P88" s="51" t="e">
        <f>SUM(#REF!)</f>
        <v>#REF!</v>
      </c>
      <c r="S88" s="176"/>
      <c r="T88" s="58">
        <f>SUM(T89:T99)</f>
        <v>0</v>
      </c>
      <c r="U88" s="58">
        <f>SUM(U89:U99)</f>
        <v>0</v>
      </c>
      <c r="AH88" s="55" t="s">
        <v>88</v>
      </c>
      <c r="AJ88" s="55" t="s">
        <v>539</v>
      </c>
      <c r="AK88" s="55" t="s">
        <v>88</v>
      </c>
      <c r="AO88" s="55" t="s">
        <v>555</v>
      </c>
      <c r="BA88" s="49" t="e">
        <f>SUM(#REF!)</f>
        <v>#REF!</v>
      </c>
    </row>
    <row r="89" spans="2:56" s="271" customFormat="1" ht="36.6" customHeight="1">
      <c r="B89" s="271">
        <v>9</v>
      </c>
      <c r="C89" s="271" t="s">
        <v>556</v>
      </c>
      <c r="D89" s="272" t="s">
        <v>572</v>
      </c>
      <c r="E89" s="273" t="s">
        <v>573</v>
      </c>
      <c r="F89" s="273" t="s">
        <v>389</v>
      </c>
      <c r="G89" s="274">
        <v>80</v>
      </c>
      <c r="H89" s="282"/>
      <c r="I89" s="281"/>
      <c r="J89" s="280">
        <f aca="true" t="shared" si="10" ref="J89:J99">(G89*H89)+(G89*I89)</f>
        <v>0</v>
      </c>
      <c r="K89" s="61">
        <f>(G89*H89)+(G89*J89)</f>
        <v>0</v>
      </c>
      <c r="L89" s="65"/>
      <c r="M89" s="59"/>
      <c r="N89" s="59"/>
      <c r="O89" s="66"/>
      <c r="P89" s="66"/>
      <c r="Q89" s="66"/>
      <c r="S89" s="283" t="s">
        <v>103</v>
      </c>
      <c r="T89" s="200">
        <f t="shared" si="8"/>
        <v>0</v>
      </c>
      <c r="U89" s="200" t="str">
        <f t="shared" si="9"/>
        <v xml:space="preserve"> </v>
      </c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273"/>
      <c r="AI89" s="59"/>
      <c r="AJ89" s="273"/>
      <c r="AK89" s="273"/>
      <c r="AL89" s="59"/>
      <c r="AM89" s="59"/>
      <c r="AN89" s="59"/>
      <c r="AP89" s="59"/>
      <c r="AT89" s="59"/>
      <c r="AU89" s="64"/>
      <c r="AV89" s="64"/>
      <c r="AW89" s="64"/>
      <c r="AX89" s="64"/>
      <c r="AY89" s="64"/>
      <c r="AZ89" s="61"/>
      <c r="BA89" s="64"/>
      <c r="BB89" s="61"/>
      <c r="BC89" s="61"/>
      <c r="BD89" s="59"/>
    </row>
    <row r="90" spans="2:56" s="271" customFormat="1" ht="36.6" customHeight="1">
      <c r="B90" s="271">
        <v>10</v>
      </c>
      <c r="C90" s="271" t="s">
        <v>556</v>
      </c>
      <c r="D90" s="272" t="s">
        <v>574</v>
      </c>
      <c r="E90" s="273" t="s">
        <v>575</v>
      </c>
      <c r="F90" s="273" t="s">
        <v>389</v>
      </c>
      <c r="G90" s="274">
        <v>80</v>
      </c>
      <c r="H90" s="282"/>
      <c r="I90" s="281"/>
      <c r="J90" s="280">
        <f t="shared" si="10"/>
        <v>0</v>
      </c>
      <c r="K90" s="61">
        <f>(G90*H90)+(G90*J90)</f>
        <v>0</v>
      </c>
      <c r="L90" s="65"/>
      <c r="M90" s="59"/>
      <c r="N90" s="59"/>
      <c r="O90" s="66"/>
      <c r="P90" s="66"/>
      <c r="Q90" s="66"/>
      <c r="S90" s="283" t="s">
        <v>103</v>
      </c>
      <c r="T90" s="200">
        <f t="shared" si="8"/>
        <v>0</v>
      </c>
      <c r="U90" s="200" t="str">
        <f t="shared" si="9"/>
        <v xml:space="preserve"> </v>
      </c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273"/>
      <c r="AI90" s="59"/>
      <c r="AJ90" s="273"/>
      <c r="AK90" s="273"/>
      <c r="AL90" s="59"/>
      <c r="AM90" s="59"/>
      <c r="AN90" s="59"/>
      <c r="AP90" s="59"/>
      <c r="AT90" s="59"/>
      <c r="AU90" s="64"/>
      <c r="AV90" s="64"/>
      <c r="AW90" s="64"/>
      <c r="AX90" s="64"/>
      <c r="AY90" s="64"/>
      <c r="AZ90" s="61"/>
      <c r="BA90" s="64"/>
      <c r="BB90" s="61"/>
      <c r="BC90" s="61"/>
      <c r="BD90" s="59"/>
    </row>
    <row r="91" spans="2:56" s="271" customFormat="1" ht="36.6" customHeight="1">
      <c r="B91" s="271">
        <v>11</v>
      </c>
      <c r="C91" s="271" t="s">
        <v>556</v>
      </c>
      <c r="D91" s="272" t="s">
        <v>576</v>
      </c>
      <c r="E91" s="273" t="s">
        <v>577</v>
      </c>
      <c r="F91" s="273" t="s">
        <v>389</v>
      </c>
      <c r="G91" s="274">
        <v>32</v>
      </c>
      <c r="H91" s="282"/>
      <c r="I91" s="281"/>
      <c r="J91" s="280">
        <f t="shared" si="10"/>
        <v>0</v>
      </c>
      <c r="K91" s="61">
        <f>(G91*H91)+(G91*J91)</f>
        <v>0</v>
      </c>
      <c r="L91" s="65"/>
      <c r="M91" s="59"/>
      <c r="N91" s="59"/>
      <c r="O91" s="66"/>
      <c r="P91" s="66"/>
      <c r="Q91" s="66"/>
      <c r="S91" s="283" t="s">
        <v>103</v>
      </c>
      <c r="T91" s="200">
        <f t="shared" si="8"/>
        <v>0</v>
      </c>
      <c r="U91" s="200" t="str">
        <f t="shared" si="9"/>
        <v xml:space="preserve"> </v>
      </c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273"/>
      <c r="AI91" s="59"/>
      <c r="AJ91" s="273"/>
      <c r="AK91" s="273"/>
      <c r="AL91" s="59"/>
      <c r="AM91" s="59"/>
      <c r="AN91" s="59"/>
      <c r="AP91" s="59"/>
      <c r="AT91" s="59"/>
      <c r="AU91" s="64"/>
      <c r="AV91" s="64"/>
      <c r="AW91" s="64"/>
      <c r="AX91" s="64"/>
      <c r="AY91" s="64"/>
      <c r="AZ91" s="61"/>
      <c r="BA91" s="64"/>
      <c r="BB91" s="61"/>
      <c r="BC91" s="61"/>
      <c r="BD91" s="59"/>
    </row>
    <row r="92" spans="2:56" s="271" customFormat="1" ht="36.6" customHeight="1">
      <c r="B92" s="271">
        <v>12</v>
      </c>
      <c r="C92" s="271" t="s">
        <v>556</v>
      </c>
      <c r="D92" s="272" t="s">
        <v>578</v>
      </c>
      <c r="E92" s="273" t="s">
        <v>579</v>
      </c>
      <c r="F92" s="273" t="s">
        <v>389</v>
      </c>
      <c r="G92" s="274">
        <v>40</v>
      </c>
      <c r="H92" s="282"/>
      <c r="I92" s="281"/>
      <c r="J92" s="280">
        <f t="shared" si="10"/>
        <v>0</v>
      </c>
      <c r="K92" s="61"/>
      <c r="L92" s="65"/>
      <c r="M92" s="59"/>
      <c r="N92" s="59"/>
      <c r="O92" s="66"/>
      <c r="P92" s="66"/>
      <c r="Q92" s="66"/>
      <c r="S92" s="283" t="s">
        <v>103</v>
      </c>
      <c r="T92" s="200">
        <f t="shared" si="8"/>
        <v>0</v>
      </c>
      <c r="U92" s="200" t="str">
        <f t="shared" si="9"/>
        <v xml:space="preserve"> </v>
      </c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273"/>
      <c r="AI92" s="59"/>
      <c r="AJ92" s="273"/>
      <c r="AK92" s="273"/>
      <c r="AL92" s="59"/>
      <c r="AM92" s="59"/>
      <c r="AN92" s="59"/>
      <c r="AP92" s="59"/>
      <c r="AT92" s="59"/>
      <c r="AU92" s="64"/>
      <c r="AV92" s="64"/>
      <c r="AW92" s="64"/>
      <c r="AX92" s="64"/>
      <c r="AY92" s="64"/>
      <c r="AZ92" s="61"/>
      <c r="BA92" s="64"/>
      <c r="BB92" s="61"/>
      <c r="BC92" s="61"/>
      <c r="BD92" s="59"/>
    </row>
    <row r="93" spans="2:56" s="271" customFormat="1" ht="36.6" customHeight="1">
      <c r="B93" s="271">
        <v>13</v>
      </c>
      <c r="C93" s="271" t="s">
        <v>556</v>
      </c>
      <c r="D93" s="272" t="s">
        <v>580</v>
      </c>
      <c r="E93" s="273" t="s">
        <v>581</v>
      </c>
      <c r="F93" s="273" t="s">
        <v>389</v>
      </c>
      <c r="G93" s="274">
        <v>96</v>
      </c>
      <c r="H93" s="282"/>
      <c r="I93" s="281"/>
      <c r="J93" s="280">
        <f t="shared" si="10"/>
        <v>0</v>
      </c>
      <c r="K93" s="61">
        <f>(G93*H93)+(G93*J93)</f>
        <v>0</v>
      </c>
      <c r="L93" s="65"/>
      <c r="M93" s="59"/>
      <c r="N93" s="59"/>
      <c r="O93" s="66"/>
      <c r="P93" s="66"/>
      <c r="Q93" s="66"/>
      <c r="S93" s="283" t="s">
        <v>103</v>
      </c>
      <c r="T93" s="200">
        <f t="shared" si="8"/>
        <v>0</v>
      </c>
      <c r="U93" s="200" t="str">
        <f t="shared" si="9"/>
        <v xml:space="preserve"> </v>
      </c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273"/>
      <c r="AI93" s="59"/>
      <c r="AJ93" s="273"/>
      <c r="AK93" s="273"/>
      <c r="AL93" s="59"/>
      <c r="AM93" s="59"/>
      <c r="AN93" s="59"/>
      <c r="AP93" s="59"/>
      <c r="AT93" s="59"/>
      <c r="AU93" s="64"/>
      <c r="AV93" s="64"/>
      <c r="AW93" s="64"/>
      <c r="AX93" s="64"/>
      <c r="AY93" s="64"/>
      <c r="AZ93" s="61"/>
      <c r="BA93" s="64"/>
      <c r="BB93" s="61"/>
      <c r="BC93" s="61"/>
      <c r="BD93" s="59"/>
    </row>
    <row r="94" spans="2:56" s="271" customFormat="1" ht="36.6" customHeight="1">
      <c r="B94" s="271">
        <v>14</v>
      </c>
      <c r="C94" s="271" t="s">
        <v>556</v>
      </c>
      <c r="D94" s="272" t="s">
        <v>582</v>
      </c>
      <c r="E94" s="273" t="s">
        <v>583</v>
      </c>
      <c r="F94" s="273" t="s">
        <v>389</v>
      </c>
      <c r="G94" s="274">
        <v>24</v>
      </c>
      <c r="H94" s="282"/>
      <c r="I94" s="281"/>
      <c r="J94" s="280">
        <f t="shared" si="10"/>
        <v>0</v>
      </c>
      <c r="K94" s="61"/>
      <c r="L94" s="65"/>
      <c r="M94" s="59"/>
      <c r="N94" s="59"/>
      <c r="O94" s="66"/>
      <c r="P94" s="66"/>
      <c r="Q94" s="66"/>
      <c r="S94" s="283" t="s">
        <v>103</v>
      </c>
      <c r="T94" s="200">
        <f t="shared" si="8"/>
        <v>0</v>
      </c>
      <c r="U94" s="200" t="str">
        <f t="shared" si="9"/>
        <v xml:space="preserve"> </v>
      </c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273"/>
      <c r="AI94" s="59"/>
      <c r="AJ94" s="273"/>
      <c r="AK94" s="273"/>
      <c r="AL94" s="59"/>
      <c r="AM94" s="59"/>
      <c r="AN94" s="59"/>
      <c r="AP94" s="59"/>
      <c r="AT94" s="59"/>
      <c r="AU94" s="64"/>
      <c r="AV94" s="64"/>
      <c r="AW94" s="64"/>
      <c r="AX94" s="64"/>
      <c r="AY94" s="64"/>
      <c r="AZ94" s="61"/>
      <c r="BA94" s="64"/>
      <c r="BB94" s="61"/>
      <c r="BC94" s="61"/>
      <c r="BD94" s="59"/>
    </row>
    <row r="95" spans="2:56" s="271" customFormat="1" ht="36.6" customHeight="1">
      <c r="B95" s="271">
        <v>15</v>
      </c>
      <c r="C95" s="271" t="s">
        <v>556</v>
      </c>
      <c r="D95" s="272" t="s">
        <v>584</v>
      </c>
      <c r="E95" s="273"/>
      <c r="F95" s="273" t="s">
        <v>389</v>
      </c>
      <c r="G95" s="274">
        <v>144</v>
      </c>
      <c r="H95" s="282"/>
      <c r="I95" s="281"/>
      <c r="J95" s="280">
        <f t="shared" si="10"/>
        <v>0</v>
      </c>
      <c r="K95" s="61">
        <f>(G95*H95)+(G95*J95)</f>
        <v>0</v>
      </c>
      <c r="L95" s="65"/>
      <c r="M95" s="59"/>
      <c r="N95" s="59"/>
      <c r="O95" s="66"/>
      <c r="P95" s="66"/>
      <c r="Q95" s="66"/>
      <c r="S95" s="283" t="s">
        <v>103</v>
      </c>
      <c r="T95" s="200">
        <f t="shared" si="8"/>
        <v>0</v>
      </c>
      <c r="U95" s="200" t="str">
        <f t="shared" si="9"/>
        <v xml:space="preserve"> </v>
      </c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273"/>
      <c r="AI95" s="59"/>
      <c r="AJ95" s="273"/>
      <c r="AK95" s="273"/>
      <c r="AL95" s="59"/>
      <c r="AM95" s="59"/>
      <c r="AN95" s="59"/>
      <c r="AP95" s="59"/>
      <c r="AT95" s="59"/>
      <c r="AU95" s="64"/>
      <c r="AV95" s="64"/>
      <c r="AW95" s="64"/>
      <c r="AX95" s="64"/>
      <c r="AY95" s="64"/>
      <c r="AZ95" s="61"/>
      <c r="BA95" s="64"/>
      <c r="BB95" s="61"/>
      <c r="BC95" s="61"/>
      <c r="BD95" s="59"/>
    </row>
    <row r="96" spans="2:56" s="271" customFormat="1" ht="36.6" customHeight="1">
      <c r="B96" s="271">
        <v>16</v>
      </c>
      <c r="C96" s="271" t="s">
        <v>556</v>
      </c>
      <c r="D96" s="272" t="s">
        <v>585</v>
      </c>
      <c r="E96" s="273"/>
      <c r="F96" s="273" t="s">
        <v>389</v>
      </c>
      <c r="G96" s="274">
        <v>80</v>
      </c>
      <c r="H96" s="282"/>
      <c r="I96" s="281"/>
      <c r="J96" s="280">
        <f t="shared" si="10"/>
        <v>0</v>
      </c>
      <c r="K96" s="61"/>
      <c r="L96" s="65"/>
      <c r="M96" s="59"/>
      <c r="N96" s="59"/>
      <c r="O96" s="66"/>
      <c r="P96" s="66"/>
      <c r="Q96" s="66"/>
      <c r="S96" s="283" t="s">
        <v>103</v>
      </c>
      <c r="T96" s="200">
        <f t="shared" si="8"/>
        <v>0</v>
      </c>
      <c r="U96" s="200" t="str">
        <f t="shared" si="9"/>
        <v xml:space="preserve"> </v>
      </c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273"/>
      <c r="AI96" s="59"/>
      <c r="AJ96" s="273"/>
      <c r="AK96" s="273"/>
      <c r="AL96" s="59"/>
      <c r="AM96" s="59"/>
      <c r="AN96" s="59"/>
      <c r="AP96" s="59"/>
      <c r="AT96" s="59"/>
      <c r="AU96" s="64"/>
      <c r="AV96" s="64"/>
      <c r="AW96" s="64"/>
      <c r="AX96" s="64"/>
      <c r="AY96" s="64"/>
      <c r="AZ96" s="61"/>
      <c r="BA96" s="64"/>
      <c r="BB96" s="61"/>
      <c r="BC96" s="61"/>
      <c r="BD96" s="59"/>
    </row>
    <row r="97" spans="2:56" s="271" customFormat="1" ht="36.6" customHeight="1">
      <c r="B97" s="271">
        <v>17</v>
      </c>
      <c r="C97" s="271" t="s">
        <v>586</v>
      </c>
      <c r="D97" s="272" t="s">
        <v>587</v>
      </c>
      <c r="E97" s="273"/>
      <c r="F97" s="273" t="s">
        <v>360</v>
      </c>
      <c r="G97" s="274">
        <v>8</v>
      </c>
      <c r="H97" s="282"/>
      <c r="I97" s="281"/>
      <c r="J97" s="280">
        <f t="shared" si="10"/>
        <v>0</v>
      </c>
      <c r="K97" s="61">
        <f>(G97*H97)+(G97*J97)</f>
        <v>0</v>
      </c>
      <c r="L97" s="65"/>
      <c r="M97" s="59"/>
      <c r="N97" s="59"/>
      <c r="O97" s="66"/>
      <c r="P97" s="66"/>
      <c r="Q97" s="66"/>
      <c r="S97" s="283" t="s">
        <v>103</v>
      </c>
      <c r="T97" s="200">
        <f t="shared" si="8"/>
        <v>0</v>
      </c>
      <c r="U97" s="200" t="str">
        <f t="shared" si="9"/>
        <v xml:space="preserve"> </v>
      </c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273"/>
      <c r="AI97" s="59"/>
      <c r="AJ97" s="273"/>
      <c r="AK97" s="273"/>
      <c r="AL97" s="59"/>
      <c r="AM97" s="59"/>
      <c r="AN97" s="59"/>
      <c r="AP97" s="59"/>
      <c r="AT97" s="59"/>
      <c r="AU97" s="64"/>
      <c r="AV97" s="64"/>
      <c r="AW97" s="64"/>
      <c r="AX97" s="64"/>
      <c r="AY97" s="64"/>
      <c r="AZ97" s="61"/>
      <c r="BA97" s="64"/>
      <c r="BB97" s="61"/>
      <c r="BC97" s="61"/>
      <c r="BD97" s="59"/>
    </row>
    <row r="98" spans="2:56" s="271" customFormat="1" ht="36.6" customHeight="1">
      <c r="B98" s="271">
        <v>18</v>
      </c>
      <c r="C98" s="271" t="s">
        <v>586</v>
      </c>
      <c r="D98" s="272" t="s">
        <v>588</v>
      </c>
      <c r="E98" s="273"/>
      <c r="F98" s="273" t="s">
        <v>360</v>
      </c>
      <c r="G98" s="274">
        <v>8</v>
      </c>
      <c r="H98" s="282"/>
      <c r="I98" s="281"/>
      <c r="J98" s="280">
        <f t="shared" si="10"/>
        <v>0</v>
      </c>
      <c r="K98" s="61">
        <f>(G98*H98)+(G98*J98)</f>
        <v>0</v>
      </c>
      <c r="L98" s="65"/>
      <c r="M98" s="59"/>
      <c r="N98" s="59"/>
      <c r="O98" s="66"/>
      <c r="P98" s="66"/>
      <c r="Q98" s="66"/>
      <c r="S98" s="283" t="s">
        <v>103</v>
      </c>
      <c r="T98" s="200">
        <f t="shared" si="8"/>
        <v>0</v>
      </c>
      <c r="U98" s="200" t="str">
        <f t="shared" si="9"/>
        <v xml:space="preserve"> </v>
      </c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273"/>
      <c r="AI98" s="59"/>
      <c r="AJ98" s="273"/>
      <c r="AK98" s="273"/>
      <c r="AL98" s="59"/>
      <c r="AM98" s="59"/>
      <c r="AN98" s="59"/>
      <c r="AP98" s="59"/>
      <c r="AT98" s="59"/>
      <c r="AU98" s="64"/>
      <c r="AV98" s="64"/>
      <c r="AW98" s="64"/>
      <c r="AX98" s="64"/>
      <c r="AY98" s="64"/>
      <c r="AZ98" s="61"/>
      <c r="BA98" s="64"/>
      <c r="BB98" s="61"/>
      <c r="BC98" s="61"/>
      <c r="BD98" s="59"/>
    </row>
    <row r="99" spans="2:56" s="271" customFormat="1" ht="36.6" customHeight="1">
      <c r="B99" s="271">
        <v>19</v>
      </c>
      <c r="C99" s="271" t="s">
        <v>556</v>
      </c>
      <c r="D99" s="272" t="s">
        <v>589</v>
      </c>
      <c r="E99" s="273"/>
      <c r="F99" s="273" t="s">
        <v>360</v>
      </c>
      <c r="G99" s="274">
        <v>8</v>
      </c>
      <c r="H99" s="282"/>
      <c r="I99" s="281"/>
      <c r="J99" s="280">
        <f t="shared" si="10"/>
        <v>0</v>
      </c>
      <c r="K99" s="61">
        <f>(G99*H99)+(G99*J99)</f>
        <v>0</v>
      </c>
      <c r="L99" s="65"/>
      <c r="M99" s="59"/>
      <c r="N99" s="59"/>
      <c r="O99" s="66"/>
      <c r="P99" s="66"/>
      <c r="Q99" s="66"/>
      <c r="S99" s="283" t="s">
        <v>103</v>
      </c>
      <c r="T99" s="200">
        <f t="shared" si="8"/>
        <v>0</v>
      </c>
      <c r="U99" s="200" t="str">
        <f t="shared" si="9"/>
        <v xml:space="preserve"> </v>
      </c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273"/>
      <c r="AI99" s="59"/>
      <c r="AJ99" s="273"/>
      <c r="AK99" s="273"/>
      <c r="AL99" s="59"/>
      <c r="AM99" s="59"/>
      <c r="AN99" s="59"/>
      <c r="AP99" s="59"/>
      <c r="AT99" s="59"/>
      <c r="AU99" s="64"/>
      <c r="AV99" s="64"/>
      <c r="AW99" s="64"/>
      <c r="AX99" s="64"/>
      <c r="AY99" s="64"/>
      <c r="AZ99" s="61"/>
      <c r="BA99" s="64"/>
      <c r="BB99" s="61"/>
      <c r="BC99" s="61"/>
      <c r="BD99" s="59"/>
    </row>
    <row r="100" spans="2:53" s="55" customFormat="1" ht="28.2" customHeight="1">
      <c r="B100" s="56" t="s">
        <v>590</v>
      </c>
      <c r="C100" s="56"/>
      <c r="D100" s="57"/>
      <c r="E100" s="57"/>
      <c r="F100" s="57"/>
      <c r="G100" s="57"/>
      <c r="H100" s="57"/>
      <c r="I100" s="57"/>
      <c r="J100" s="58">
        <f>SUM(J101:Q104)</f>
        <v>0</v>
      </c>
      <c r="N100" s="51"/>
      <c r="P100" s="51"/>
      <c r="S100" s="176"/>
      <c r="T100" s="58">
        <f>SUM(T102:T104)</f>
        <v>0</v>
      </c>
      <c r="U100" s="58">
        <f>SUM(U102:U104)</f>
        <v>0</v>
      </c>
      <c r="BA100" s="49"/>
    </row>
    <row r="101" spans="2:55" s="59" customFormat="1" ht="15.75" customHeight="1">
      <c r="B101" s="78" t="s">
        <v>591</v>
      </c>
      <c r="D101" s="60"/>
      <c r="E101" s="61"/>
      <c r="F101" s="61"/>
      <c r="G101" s="62"/>
      <c r="H101" s="76"/>
      <c r="I101" s="63"/>
      <c r="J101" s="77"/>
      <c r="K101" s="61"/>
      <c r="L101" s="65"/>
      <c r="O101" s="66"/>
      <c r="P101" s="66"/>
      <c r="Q101" s="66"/>
      <c r="S101" s="178"/>
      <c r="T101" s="77"/>
      <c r="U101" s="77"/>
      <c r="AH101" s="61"/>
      <c r="AJ101" s="61"/>
      <c r="AK101" s="61"/>
      <c r="AU101" s="64"/>
      <c r="AV101" s="64"/>
      <c r="AW101" s="64"/>
      <c r="AX101" s="64"/>
      <c r="AY101" s="64"/>
      <c r="AZ101" s="61"/>
      <c r="BA101" s="64"/>
      <c r="BB101" s="61"/>
      <c r="BC101" s="61"/>
    </row>
    <row r="102" spans="2:56" s="271" customFormat="1" ht="36.6" customHeight="1">
      <c r="B102" s="271">
        <v>20</v>
      </c>
      <c r="C102" s="271" t="s">
        <v>556</v>
      </c>
      <c r="D102" s="272" t="s">
        <v>592</v>
      </c>
      <c r="E102" s="273" t="s">
        <v>593</v>
      </c>
      <c r="F102" s="273" t="s">
        <v>389</v>
      </c>
      <c r="G102" s="274">
        <v>72</v>
      </c>
      <c r="H102" s="282"/>
      <c r="I102" s="281"/>
      <c r="J102" s="280">
        <f>(G102*H102)+(G102*I102)</f>
        <v>0</v>
      </c>
      <c r="K102" s="61"/>
      <c r="L102" s="65"/>
      <c r="M102" s="59"/>
      <c r="N102" s="59"/>
      <c r="O102" s="66"/>
      <c r="P102" s="66"/>
      <c r="Q102" s="66"/>
      <c r="S102" s="283" t="s">
        <v>103</v>
      </c>
      <c r="T102" s="200">
        <f t="shared" si="8"/>
        <v>0</v>
      </c>
      <c r="U102" s="200" t="str">
        <f t="shared" si="9"/>
        <v xml:space="preserve"> </v>
      </c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273"/>
      <c r="AI102" s="59"/>
      <c r="AJ102" s="273"/>
      <c r="AK102" s="273"/>
      <c r="AL102" s="59"/>
      <c r="AM102" s="59"/>
      <c r="AN102" s="59"/>
      <c r="AP102" s="59"/>
      <c r="AT102" s="59"/>
      <c r="AU102" s="64"/>
      <c r="AV102" s="64"/>
      <c r="AW102" s="64"/>
      <c r="AX102" s="64"/>
      <c r="AY102" s="64"/>
      <c r="AZ102" s="61"/>
      <c r="BA102" s="64"/>
      <c r="BB102" s="61"/>
      <c r="BC102" s="61"/>
      <c r="BD102" s="59"/>
    </row>
    <row r="103" spans="2:56" s="271" customFormat="1" ht="36.6" customHeight="1">
      <c r="B103" s="271">
        <v>21</v>
      </c>
      <c r="C103" s="271" t="s">
        <v>556</v>
      </c>
      <c r="D103" s="272" t="s">
        <v>594</v>
      </c>
      <c r="E103" s="273" t="s">
        <v>593</v>
      </c>
      <c r="F103" s="273" t="s">
        <v>389</v>
      </c>
      <c r="G103" s="274">
        <v>72</v>
      </c>
      <c r="H103" s="282"/>
      <c r="I103" s="281"/>
      <c r="J103" s="280">
        <f>(G103*H103)+(G103*I103)</f>
        <v>0</v>
      </c>
      <c r="K103" s="61"/>
      <c r="L103" s="65"/>
      <c r="M103" s="59"/>
      <c r="N103" s="59"/>
      <c r="O103" s="66"/>
      <c r="P103" s="66"/>
      <c r="Q103" s="66"/>
      <c r="S103" s="283" t="s">
        <v>103</v>
      </c>
      <c r="T103" s="200">
        <f t="shared" si="8"/>
        <v>0</v>
      </c>
      <c r="U103" s="200" t="str">
        <f t="shared" si="9"/>
        <v xml:space="preserve"> </v>
      </c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273"/>
      <c r="AI103" s="59"/>
      <c r="AJ103" s="273"/>
      <c r="AK103" s="273"/>
      <c r="AL103" s="59"/>
      <c r="AM103" s="59"/>
      <c r="AN103" s="59"/>
      <c r="AP103" s="59"/>
      <c r="AT103" s="59"/>
      <c r="AU103" s="64"/>
      <c r="AV103" s="64"/>
      <c r="AW103" s="64"/>
      <c r="AX103" s="64"/>
      <c r="AY103" s="64"/>
      <c r="AZ103" s="61"/>
      <c r="BA103" s="64"/>
      <c r="BB103" s="61"/>
      <c r="BC103" s="61"/>
      <c r="BD103" s="59"/>
    </row>
    <row r="104" spans="2:56" s="271" customFormat="1" ht="36.6" customHeight="1">
      <c r="B104" s="271">
        <v>22</v>
      </c>
      <c r="C104" s="271" t="s">
        <v>556</v>
      </c>
      <c r="D104" s="272" t="s">
        <v>595</v>
      </c>
      <c r="E104" s="273" t="s">
        <v>593</v>
      </c>
      <c r="F104" s="273" t="s">
        <v>389</v>
      </c>
      <c r="G104" s="274">
        <v>24</v>
      </c>
      <c r="H104" s="282"/>
      <c r="I104" s="281"/>
      <c r="J104" s="280">
        <f>(G104*H104)+(G104*I104)</f>
        <v>0</v>
      </c>
      <c r="K104" s="61"/>
      <c r="L104" s="65"/>
      <c r="M104" s="59"/>
      <c r="N104" s="59"/>
      <c r="O104" s="66"/>
      <c r="P104" s="66"/>
      <c r="Q104" s="66"/>
      <c r="S104" s="283" t="s">
        <v>103</v>
      </c>
      <c r="T104" s="200">
        <f t="shared" si="8"/>
        <v>0</v>
      </c>
      <c r="U104" s="200" t="str">
        <f t="shared" si="9"/>
        <v xml:space="preserve"> </v>
      </c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273"/>
      <c r="AI104" s="59"/>
      <c r="AJ104" s="273"/>
      <c r="AK104" s="273"/>
      <c r="AL104" s="59"/>
      <c r="AM104" s="59"/>
      <c r="AN104" s="59"/>
      <c r="AP104" s="59"/>
      <c r="AT104" s="59"/>
      <c r="AU104" s="64"/>
      <c r="AV104" s="64"/>
      <c r="AW104" s="64"/>
      <c r="AX104" s="64"/>
      <c r="AY104" s="64"/>
      <c r="AZ104" s="61"/>
      <c r="BA104" s="64"/>
      <c r="BB104" s="61"/>
      <c r="BC104" s="61"/>
      <c r="BD104" s="59"/>
    </row>
    <row r="105" spans="2:53" s="55" customFormat="1" ht="28.2" customHeight="1">
      <c r="B105" s="56" t="s">
        <v>596</v>
      </c>
      <c r="C105" s="56"/>
      <c r="D105" s="57"/>
      <c r="E105" s="57"/>
      <c r="F105" s="57"/>
      <c r="G105" s="57"/>
      <c r="H105" s="57"/>
      <c r="I105" s="57"/>
      <c r="J105" s="58">
        <f>SUM(J106:J106)</f>
        <v>0</v>
      </c>
      <c r="N105" s="51" t="e">
        <f>SUM(#REF!)</f>
        <v>#REF!</v>
      </c>
      <c r="P105" s="51" t="e">
        <f>SUM(#REF!)</f>
        <v>#REF!</v>
      </c>
      <c r="S105" s="176"/>
      <c r="T105" s="58">
        <f>SUM(T106:T106)</f>
        <v>0</v>
      </c>
      <c r="U105" s="58">
        <f>SUM(U106:U106)</f>
        <v>0</v>
      </c>
      <c r="AH105" s="55" t="s">
        <v>88</v>
      </c>
      <c r="AJ105" s="55" t="s">
        <v>539</v>
      </c>
      <c r="AK105" s="55" t="s">
        <v>88</v>
      </c>
      <c r="AO105" s="55" t="s">
        <v>555</v>
      </c>
      <c r="BA105" s="49" t="e">
        <f>SUM(#REF!)</f>
        <v>#REF!</v>
      </c>
    </row>
    <row r="106" spans="2:56" s="271" customFormat="1" ht="22.95" customHeight="1">
      <c r="B106" s="271">
        <v>23</v>
      </c>
      <c r="C106" s="271" t="s">
        <v>597</v>
      </c>
      <c r="D106" s="272" t="s">
        <v>598</v>
      </c>
      <c r="E106" s="273"/>
      <c r="F106" s="273" t="s">
        <v>360</v>
      </c>
      <c r="G106" s="274">
        <v>1</v>
      </c>
      <c r="H106" s="282"/>
      <c r="I106" s="281"/>
      <c r="J106" s="280">
        <f>(G106*H106)+(G106*I106)</f>
        <v>0</v>
      </c>
      <c r="K106" s="61"/>
      <c r="L106" s="65"/>
      <c r="M106" s="59"/>
      <c r="N106" s="59"/>
      <c r="O106" s="66"/>
      <c r="P106" s="66"/>
      <c r="Q106" s="66"/>
      <c r="S106" s="283" t="s">
        <v>103</v>
      </c>
      <c r="T106" s="200">
        <f t="shared" si="8"/>
        <v>0</v>
      </c>
      <c r="U106" s="200" t="str">
        <f t="shared" si="9"/>
        <v xml:space="preserve"> </v>
      </c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273"/>
      <c r="AI106" s="59"/>
      <c r="AJ106" s="273"/>
      <c r="AK106" s="273"/>
      <c r="AL106" s="59"/>
      <c r="AM106" s="59"/>
      <c r="AN106" s="59"/>
      <c r="AP106" s="59"/>
      <c r="AT106" s="59"/>
      <c r="AU106" s="64"/>
      <c r="AV106" s="64"/>
      <c r="AW106" s="64"/>
      <c r="AX106" s="64"/>
      <c r="AY106" s="64"/>
      <c r="AZ106" s="61"/>
      <c r="BA106" s="64"/>
      <c r="BB106" s="61"/>
      <c r="BC106" s="61"/>
      <c r="BD106" s="59"/>
    </row>
    <row r="107" spans="1:253" s="45" customFormat="1" ht="14.2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79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  <c r="IN107" s="43"/>
      <c r="IO107" s="43"/>
      <c r="IP107" s="43"/>
      <c r="IQ107" s="43"/>
      <c r="IR107" s="43"/>
      <c r="IS107" s="43"/>
    </row>
    <row r="108" spans="1:253" s="45" customFormat="1" ht="14.2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79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  <c r="IN108" s="43"/>
      <c r="IO108" s="43"/>
      <c r="IP108" s="43"/>
      <c r="IQ108" s="43"/>
      <c r="IR108" s="43"/>
      <c r="IS108" s="43"/>
    </row>
    <row r="109" spans="1:253" s="45" customFormat="1" ht="14.2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79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  <c r="IN109" s="43"/>
      <c r="IO109" s="43"/>
      <c r="IP109" s="43"/>
      <c r="IQ109" s="43"/>
      <c r="IR109" s="43"/>
      <c r="IS109" s="43"/>
    </row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algorithmName="SHA-512" hashValue="C0NPmb5YcWOTA6caRavvFIVD9nvaAqthHmvKai31ka/L1l9LShlqOIOXypfMPDQLRVaz8zgqJ3FUwK/I9nCocw==" saltValue="VB0WnGKvyXqwCXGAyX3hCg==" spinCount="100000" sheet="1" objects="1" scenarios="1"/>
  <autoFilter ref="A71:U109"/>
  <mergeCells count="4">
    <mergeCell ref="B1:J1"/>
    <mergeCell ref="D17:J17"/>
    <mergeCell ref="B25:J25"/>
    <mergeCell ref="B50:J50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104"/>
  <sheetViews>
    <sheetView workbookViewId="0" topLeftCell="A1">
      <selection activeCell="AP15" sqref="AP15"/>
    </sheetView>
  </sheetViews>
  <sheetFormatPr defaultColWidth="9.33203125" defaultRowHeight="10.5"/>
  <cols>
    <col min="1" max="1" width="4.16015625" style="297" customWidth="1"/>
    <col min="2" max="31" width="2.66015625" style="297" customWidth="1"/>
    <col min="32" max="32" width="3.33203125" style="297" customWidth="1"/>
    <col min="33" max="33" width="31.66015625" style="297" customWidth="1"/>
    <col min="34" max="35" width="2.5" style="297" customWidth="1"/>
    <col min="36" max="36" width="8.33203125" style="297" customWidth="1"/>
    <col min="37" max="37" width="3.33203125" style="297" customWidth="1"/>
    <col min="38" max="38" width="13.33203125" style="297" customWidth="1"/>
    <col min="39" max="39" width="7.5" style="297" customWidth="1"/>
    <col min="40" max="40" width="4.16015625" style="297" customWidth="1"/>
    <col min="41" max="41" width="15.66015625" style="297" hidden="1" customWidth="1"/>
    <col min="42" max="42" width="13.66015625" style="297" customWidth="1"/>
    <col min="43" max="45" width="15.5" style="297" hidden="1" customWidth="1"/>
    <col min="46" max="46" width="17" style="297" hidden="1" customWidth="1"/>
    <col min="47" max="16384" width="9.33203125" style="297" customWidth="1"/>
  </cols>
  <sheetData>
    <row r="1" spans="2:42" ht="25.2" customHeight="1">
      <c r="B1" s="81" t="s">
        <v>14</v>
      </c>
      <c r="AP1" s="82"/>
    </row>
    <row r="2" spans="2:42" ht="12" customHeight="1">
      <c r="B2" s="83" t="s">
        <v>15</v>
      </c>
      <c r="I2" s="327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P2" s="82"/>
    </row>
    <row r="3" spans="2:42" ht="37.2" customHeight="1">
      <c r="B3" s="84" t="s">
        <v>16</v>
      </c>
      <c r="I3" s="329" t="str">
        <f>'Celková rekapitulace'!A1</f>
        <v>Oprava a rekonstrukce sociálek a kuchyní na kolejích Palachova v Hradci Králové</v>
      </c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P3" s="82"/>
    </row>
    <row r="4" spans="2:42" ht="12" customHeight="1">
      <c r="B4" s="85" t="s">
        <v>17</v>
      </c>
      <c r="I4" s="288" t="s">
        <v>599</v>
      </c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I4" s="85" t="s">
        <v>19</v>
      </c>
      <c r="AL4" s="319"/>
      <c r="AP4" s="82"/>
    </row>
    <row r="5" spans="9:42" ht="14.4" customHeight="1">
      <c r="I5" s="288" t="s">
        <v>600</v>
      </c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P5" s="82"/>
    </row>
    <row r="6" spans="2:42" ht="12" customHeight="1">
      <c r="B6" s="85" t="s">
        <v>21</v>
      </c>
      <c r="I6" s="86" t="s">
        <v>22</v>
      </c>
      <c r="AI6" s="85" t="s">
        <v>23</v>
      </c>
      <c r="AL6" s="124" t="s">
        <v>24</v>
      </c>
      <c r="AP6" s="82"/>
    </row>
    <row r="7" spans="3:42" ht="18.45" customHeight="1">
      <c r="C7" s="296" t="s">
        <v>25</v>
      </c>
      <c r="I7" s="88" t="s">
        <v>26</v>
      </c>
      <c r="AI7" s="85" t="s">
        <v>27</v>
      </c>
      <c r="AL7" s="88" t="s">
        <v>28</v>
      </c>
      <c r="AP7" s="82"/>
    </row>
    <row r="8" spans="38:42" ht="7.2" customHeight="1">
      <c r="AL8" s="88"/>
      <c r="AP8" s="82"/>
    </row>
    <row r="9" spans="2:42" ht="12" customHeight="1">
      <c r="B9" s="85" t="s">
        <v>29</v>
      </c>
      <c r="AI9" s="85" t="s">
        <v>23</v>
      </c>
      <c r="AL9" s="88" t="s">
        <v>30</v>
      </c>
      <c r="AP9" s="82"/>
    </row>
    <row r="10" spans="3:42" ht="13.8">
      <c r="C10" s="296" t="s">
        <v>25</v>
      </c>
      <c r="AI10" s="85" t="s">
        <v>27</v>
      </c>
      <c r="AL10" s="88" t="s">
        <v>30</v>
      </c>
      <c r="AP10" s="82"/>
    </row>
    <row r="11" spans="38:42" ht="7.2" customHeight="1">
      <c r="AL11" s="88"/>
      <c r="AP11" s="82"/>
    </row>
    <row r="12" spans="2:42" ht="12" customHeight="1">
      <c r="B12" s="85" t="s">
        <v>31</v>
      </c>
      <c r="I12" s="86" t="s">
        <v>32</v>
      </c>
      <c r="AI12" s="85" t="s">
        <v>23</v>
      </c>
      <c r="AL12" s="87">
        <v>10690409</v>
      </c>
      <c r="AP12" s="82"/>
    </row>
    <row r="13" spans="3:42" ht="18.45" customHeight="1">
      <c r="C13" s="296" t="s">
        <v>25</v>
      </c>
      <c r="I13" s="88" t="s">
        <v>33</v>
      </c>
      <c r="AI13" s="85" t="s">
        <v>27</v>
      </c>
      <c r="AL13" s="88" t="s">
        <v>34</v>
      </c>
      <c r="AP13" s="82"/>
    </row>
    <row r="14" ht="7.2" customHeight="1">
      <c r="AP14" s="82"/>
    </row>
    <row r="15" spans="2:42" ht="12" customHeight="1">
      <c r="B15" s="85" t="s">
        <v>35</v>
      </c>
      <c r="I15" s="89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I15" s="85" t="s">
        <v>23</v>
      </c>
      <c r="AL15" s="320"/>
      <c r="AP15" s="82"/>
    </row>
    <row r="16" spans="3:42" ht="18.45" customHeight="1">
      <c r="C16" s="296" t="s">
        <v>25</v>
      </c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I16" s="85" t="s">
        <v>27</v>
      </c>
      <c r="AL16" s="321"/>
      <c r="AP16" s="82"/>
    </row>
    <row r="17" ht="7.2" customHeight="1">
      <c r="AP17" s="82"/>
    </row>
    <row r="18" spans="2:42" ht="12" customHeight="1">
      <c r="B18" s="85" t="s">
        <v>36</v>
      </c>
      <c r="I18" s="297" t="s">
        <v>11</v>
      </c>
      <c r="AP18" s="82"/>
    </row>
    <row r="19" spans="3:42" ht="16.5" customHeight="1">
      <c r="C19" s="330" t="s">
        <v>30</v>
      </c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P19" s="82"/>
    </row>
    <row r="20" ht="7.2" customHeight="1">
      <c r="AP20" s="82"/>
    </row>
    <row r="21" spans="2:42" ht="7.2" customHeight="1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P21" s="82"/>
    </row>
    <row r="22" spans="2:42" s="92" customFormat="1" ht="25.95" customHeight="1">
      <c r="B22" s="93" t="s">
        <v>6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331">
        <f>ROUND(AE87,2)</f>
        <v>0</v>
      </c>
      <c r="AJ22" s="332"/>
      <c r="AK22" s="332"/>
      <c r="AL22" s="332"/>
      <c r="AM22" s="332"/>
      <c r="AP22" s="94"/>
    </row>
    <row r="23" s="92" customFormat="1" ht="7.2" customHeight="1">
      <c r="AP23" s="94"/>
    </row>
    <row r="24" spans="10:42" s="92" customFormat="1" ht="13.8">
      <c r="J24" s="333" t="s">
        <v>37</v>
      </c>
      <c r="K24" s="333"/>
      <c r="L24" s="333"/>
      <c r="M24" s="333"/>
      <c r="N24" s="333"/>
      <c r="U24" s="333" t="s">
        <v>38</v>
      </c>
      <c r="V24" s="333"/>
      <c r="W24" s="333"/>
      <c r="X24" s="333"/>
      <c r="Y24" s="333"/>
      <c r="Z24" s="333"/>
      <c r="AA24" s="333"/>
      <c r="AB24" s="333"/>
      <c r="AC24" s="333"/>
      <c r="AI24" s="333" t="s">
        <v>39</v>
      </c>
      <c r="AJ24" s="333"/>
      <c r="AK24" s="333"/>
      <c r="AL24" s="333"/>
      <c r="AM24" s="333"/>
      <c r="AP24" s="94"/>
    </row>
    <row r="25" spans="2:42" s="293" customFormat="1" ht="14.4" customHeight="1">
      <c r="B25" s="85" t="s">
        <v>7</v>
      </c>
      <c r="D25" s="85" t="s">
        <v>40</v>
      </c>
      <c r="J25" s="334">
        <v>0.21</v>
      </c>
      <c r="K25" s="335"/>
      <c r="L25" s="335"/>
      <c r="M25" s="335"/>
      <c r="N25" s="335"/>
      <c r="U25" s="336">
        <f>AI22</f>
        <v>0</v>
      </c>
      <c r="V25" s="335"/>
      <c r="W25" s="335"/>
      <c r="X25" s="335"/>
      <c r="Y25" s="335"/>
      <c r="Z25" s="335"/>
      <c r="AA25" s="335"/>
      <c r="AB25" s="335"/>
      <c r="AC25" s="335"/>
      <c r="AI25" s="336">
        <f>U25*0.21</f>
        <v>0</v>
      </c>
      <c r="AJ25" s="335"/>
      <c r="AK25" s="335"/>
      <c r="AL25" s="335"/>
      <c r="AM25" s="335"/>
      <c r="AP25" s="95"/>
    </row>
    <row r="26" spans="4:42" s="293" customFormat="1" ht="14.4" customHeight="1">
      <c r="D26" s="85" t="s">
        <v>41</v>
      </c>
      <c r="J26" s="334">
        <v>0.15</v>
      </c>
      <c r="K26" s="335"/>
      <c r="L26" s="335"/>
      <c r="M26" s="335"/>
      <c r="N26" s="335"/>
      <c r="U26" s="336">
        <v>0</v>
      </c>
      <c r="V26" s="335"/>
      <c r="W26" s="335"/>
      <c r="X26" s="335"/>
      <c r="Y26" s="335"/>
      <c r="Z26" s="335"/>
      <c r="AA26" s="335"/>
      <c r="AB26" s="335"/>
      <c r="AC26" s="335"/>
      <c r="AI26" s="336">
        <f>U26*0.15</f>
        <v>0</v>
      </c>
      <c r="AJ26" s="335"/>
      <c r="AK26" s="335"/>
      <c r="AL26" s="335"/>
      <c r="AM26" s="335"/>
      <c r="AP26" s="95"/>
    </row>
    <row r="27" spans="4:42" s="293" customFormat="1" ht="14.4" customHeight="1" hidden="1">
      <c r="D27" s="85" t="s">
        <v>42</v>
      </c>
      <c r="J27" s="334">
        <v>0.21</v>
      </c>
      <c r="K27" s="335"/>
      <c r="L27" s="335"/>
      <c r="M27" s="335"/>
      <c r="N27" s="335"/>
      <c r="U27" s="336" t="e">
        <f>ROUND(#REF!,2)</f>
        <v>#REF!</v>
      </c>
      <c r="V27" s="335"/>
      <c r="W27" s="335"/>
      <c r="X27" s="335"/>
      <c r="Y27" s="335"/>
      <c r="Z27" s="335"/>
      <c r="AA27" s="335"/>
      <c r="AB27" s="335"/>
      <c r="AC27" s="335"/>
      <c r="AI27" s="336">
        <v>0</v>
      </c>
      <c r="AJ27" s="335"/>
      <c r="AK27" s="335"/>
      <c r="AL27" s="335"/>
      <c r="AM27" s="335"/>
      <c r="AP27" s="95"/>
    </row>
    <row r="28" spans="4:42" s="293" customFormat="1" ht="14.4" customHeight="1" hidden="1">
      <c r="D28" s="85" t="s">
        <v>43</v>
      </c>
      <c r="J28" s="334">
        <v>0.15</v>
      </c>
      <c r="K28" s="335"/>
      <c r="L28" s="335"/>
      <c r="M28" s="335"/>
      <c r="N28" s="335"/>
      <c r="U28" s="336" t="e">
        <f>ROUND(#REF!,2)</f>
        <v>#REF!</v>
      </c>
      <c r="V28" s="335"/>
      <c r="W28" s="335"/>
      <c r="X28" s="335"/>
      <c r="Y28" s="335"/>
      <c r="Z28" s="335"/>
      <c r="AA28" s="335"/>
      <c r="AB28" s="335"/>
      <c r="AC28" s="335"/>
      <c r="AI28" s="336">
        <v>0</v>
      </c>
      <c r="AJ28" s="335"/>
      <c r="AK28" s="335"/>
      <c r="AL28" s="335"/>
      <c r="AM28" s="335"/>
      <c r="AP28" s="95"/>
    </row>
    <row r="29" spans="4:42" s="293" customFormat="1" ht="14.4" customHeight="1" hidden="1">
      <c r="D29" s="85" t="s">
        <v>44</v>
      </c>
      <c r="J29" s="334">
        <v>0</v>
      </c>
      <c r="K29" s="335"/>
      <c r="L29" s="335"/>
      <c r="M29" s="335"/>
      <c r="N29" s="335"/>
      <c r="U29" s="336" t="e">
        <f>ROUND(#REF!,2)</f>
        <v>#REF!</v>
      </c>
      <c r="V29" s="335"/>
      <c r="W29" s="335"/>
      <c r="X29" s="335"/>
      <c r="Y29" s="335"/>
      <c r="Z29" s="335"/>
      <c r="AA29" s="335"/>
      <c r="AB29" s="335"/>
      <c r="AC29" s="335"/>
      <c r="AI29" s="336">
        <v>0</v>
      </c>
      <c r="AJ29" s="335"/>
      <c r="AK29" s="335"/>
      <c r="AL29" s="335"/>
      <c r="AM29" s="335"/>
      <c r="AP29" s="95"/>
    </row>
    <row r="30" s="92" customFormat="1" ht="7.2" customHeight="1">
      <c r="AP30" s="94"/>
    </row>
    <row r="31" spans="1:42" s="92" customFormat="1" ht="25.95" customHeight="1">
      <c r="A31" s="96"/>
      <c r="B31" s="97" t="s">
        <v>45</v>
      </c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98" t="s">
        <v>46</v>
      </c>
      <c r="S31" s="294"/>
      <c r="T31" s="294"/>
      <c r="U31" s="294"/>
      <c r="V31" s="339" t="s">
        <v>47</v>
      </c>
      <c r="W31" s="340"/>
      <c r="X31" s="340"/>
      <c r="Y31" s="340"/>
      <c r="Z31" s="340"/>
      <c r="AA31" s="294"/>
      <c r="AB31" s="294"/>
      <c r="AC31" s="294"/>
      <c r="AD31" s="294"/>
      <c r="AE31" s="294"/>
      <c r="AF31" s="294"/>
      <c r="AG31" s="294"/>
      <c r="AH31" s="294"/>
      <c r="AI31" s="341">
        <f>SUM(AI22:AI29)</f>
        <v>0</v>
      </c>
      <c r="AJ31" s="340"/>
      <c r="AK31" s="340"/>
      <c r="AL31" s="340"/>
      <c r="AM31" s="342"/>
      <c r="AN31" s="96"/>
      <c r="AO31" s="96"/>
      <c r="AP31" s="94"/>
    </row>
    <row r="32" s="92" customFormat="1" ht="7.2" customHeight="1">
      <c r="AP32" s="94"/>
    </row>
    <row r="33" s="92" customFormat="1" ht="14.4" customHeight="1">
      <c r="AP33" s="94"/>
    </row>
    <row r="34" ht="14.4" customHeight="1">
      <c r="AP34" s="82"/>
    </row>
    <row r="35" ht="14.4" customHeight="1">
      <c r="AP35" s="82"/>
    </row>
    <row r="36" ht="14.4" customHeight="1">
      <c r="AP36" s="82"/>
    </row>
    <row r="37" ht="14.4" customHeight="1">
      <c r="AP37" s="82"/>
    </row>
    <row r="38" ht="14.4" customHeight="1">
      <c r="AP38" s="82"/>
    </row>
    <row r="39" ht="14.4" customHeight="1">
      <c r="AP39" s="82"/>
    </row>
    <row r="40" ht="14.4" customHeight="1">
      <c r="AP40" s="82"/>
    </row>
    <row r="41" ht="14.4" customHeight="1">
      <c r="AP41" s="82"/>
    </row>
    <row r="42" ht="14.4" customHeight="1">
      <c r="AP42" s="82"/>
    </row>
    <row r="43" ht="14.4" customHeight="1">
      <c r="AP43" s="82"/>
    </row>
    <row r="44" ht="14.4" customHeight="1">
      <c r="AP44" s="82"/>
    </row>
    <row r="45" spans="2:42" s="92" customFormat="1" ht="14.4" customHeight="1">
      <c r="B45" s="99" t="s">
        <v>48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99" t="s">
        <v>49</v>
      </c>
      <c r="AG45" s="100"/>
      <c r="AH45" s="100"/>
      <c r="AI45" s="100"/>
      <c r="AJ45" s="100"/>
      <c r="AK45" s="100"/>
      <c r="AL45" s="100"/>
      <c r="AM45" s="100"/>
      <c r="AP45" s="94"/>
    </row>
    <row r="46" ht="10.5">
      <c r="AP46" s="82"/>
    </row>
    <row r="47" ht="10.5">
      <c r="AP47" s="82"/>
    </row>
    <row r="48" ht="10.5">
      <c r="AP48" s="82"/>
    </row>
    <row r="49" ht="10.5">
      <c r="AP49" s="82"/>
    </row>
    <row r="50" ht="10.5">
      <c r="AP50" s="82"/>
    </row>
    <row r="51" ht="10.5">
      <c r="AP51" s="82"/>
    </row>
    <row r="52" ht="10.5">
      <c r="AP52" s="82"/>
    </row>
    <row r="53" ht="10.5">
      <c r="AP53" s="82"/>
    </row>
    <row r="54" ht="10.5">
      <c r="AP54" s="82"/>
    </row>
    <row r="55" ht="10.5">
      <c r="AP55" s="82"/>
    </row>
    <row r="56" spans="2:42" s="92" customFormat="1" ht="13.8">
      <c r="B56" s="101" t="s">
        <v>50</v>
      </c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101" t="s">
        <v>51</v>
      </c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101" t="s">
        <v>50</v>
      </c>
      <c r="AG56" s="298"/>
      <c r="AH56" s="298"/>
      <c r="AI56" s="298"/>
      <c r="AJ56" s="298"/>
      <c r="AK56" s="101" t="s">
        <v>51</v>
      </c>
      <c r="AL56" s="298"/>
      <c r="AM56" s="298"/>
      <c r="AP56" s="94"/>
    </row>
    <row r="57" ht="10.5">
      <c r="AP57" s="82"/>
    </row>
    <row r="58" ht="10.5">
      <c r="AP58" s="82"/>
    </row>
    <row r="59" ht="10.5">
      <c r="AP59" s="82"/>
    </row>
    <row r="60" spans="2:42" s="92" customFormat="1" ht="13.8">
      <c r="B60" s="99" t="s">
        <v>52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99" t="s">
        <v>53</v>
      </c>
      <c r="AG60" s="100"/>
      <c r="AH60" s="100"/>
      <c r="AI60" s="100"/>
      <c r="AJ60" s="100"/>
      <c r="AK60" s="100"/>
      <c r="AL60" s="100"/>
      <c r="AM60" s="100"/>
      <c r="AP60" s="94"/>
    </row>
    <row r="61" ht="10.5">
      <c r="AP61" s="82"/>
    </row>
    <row r="62" ht="10.5">
      <c r="AP62" s="82"/>
    </row>
    <row r="63" ht="10.5">
      <c r="AP63" s="82"/>
    </row>
    <row r="64" ht="10.5">
      <c r="AP64" s="82"/>
    </row>
    <row r="65" ht="10.5">
      <c r="AP65" s="82"/>
    </row>
    <row r="66" ht="10.5">
      <c r="AP66" s="82"/>
    </row>
    <row r="67" ht="10.5">
      <c r="AP67" s="82"/>
    </row>
    <row r="68" ht="10.5">
      <c r="AP68" s="82"/>
    </row>
    <row r="69" ht="10.5">
      <c r="AP69" s="82"/>
    </row>
    <row r="70" ht="10.5">
      <c r="AP70" s="82"/>
    </row>
    <row r="71" spans="2:42" s="92" customFormat="1" ht="13.8">
      <c r="B71" s="101" t="s">
        <v>50</v>
      </c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101" t="s">
        <v>51</v>
      </c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101" t="s">
        <v>50</v>
      </c>
      <c r="AG71" s="298"/>
      <c r="AH71" s="298"/>
      <c r="AI71" s="298"/>
      <c r="AJ71" s="298"/>
      <c r="AK71" s="101" t="s">
        <v>51</v>
      </c>
      <c r="AL71" s="298"/>
      <c r="AM71" s="298"/>
      <c r="AP71" s="94"/>
    </row>
    <row r="72" s="92" customFormat="1" ht="10.5">
      <c r="AP72" s="94"/>
    </row>
    <row r="73" spans="1:42" s="92" customFormat="1" ht="7.2" customHeight="1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94"/>
    </row>
    <row r="74" spans="1:42" s="92" customFormat="1" ht="7.2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94"/>
    </row>
    <row r="75" spans="1:42" s="92" customFormat="1" ht="25.2" customHeight="1">
      <c r="A75" s="81" t="s">
        <v>54</v>
      </c>
      <c r="AP75" s="94"/>
    </row>
    <row r="76" s="92" customFormat="1" ht="7.2" customHeight="1">
      <c r="AP76" s="94"/>
    </row>
    <row r="77" spans="1:42" s="292" customFormat="1" ht="12" customHeight="1">
      <c r="A77" s="85" t="s">
        <v>15</v>
      </c>
      <c r="J77" s="292">
        <f>I2</f>
        <v>0</v>
      </c>
      <c r="AP77" s="104"/>
    </row>
    <row r="78" spans="1:42" s="295" customFormat="1" ht="37.2" customHeight="1">
      <c r="A78" s="105" t="s">
        <v>16</v>
      </c>
      <c r="J78" s="337" t="str">
        <f>I3</f>
        <v>Oprava a rekonstrukce sociálek a kuchyní na kolejích Palachova v Hradci Králové</v>
      </c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8"/>
      <c r="AH78" s="338"/>
      <c r="AI78" s="338"/>
      <c r="AJ78" s="338"/>
      <c r="AK78" s="338"/>
      <c r="AL78" s="338"/>
      <c r="AM78" s="338"/>
      <c r="AP78" s="106"/>
    </row>
    <row r="79" s="92" customFormat="1" ht="7.2" customHeight="1">
      <c r="AP79" s="94"/>
    </row>
    <row r="80" spans="1:42" s="92" customFormat="1" ht="12" customHeight="1">
      <c r="A80" s="85" t="s">
        <v>17</v>
      </c>
      <c r="J80" s="107" t="str">
        <f>IF(I4="","",I4)</f>
        <v>parc. č. 2300, v k. ú. Nový Hradec Králové</v>
      </c>
      <c r="AG80" s="85" t="s">
        <v>19</v>
      </c>
      <c r="AK80" s="343" t="str">
        <f>IF(AL4="","",AL4)</f>
        <v/>
      </c>
      <c r="AL80" s="343"/>
      <c r="AP80" s="94"/>
    </row>
    <row r="81" s="92" customFormat="1" ht="7.2" customHeight="1">
      <c r="AP81" s="94"/>
    </row>
    <row r="82" spans="1:42" s="92" customFormat="1" ht="15.15" customHeight="1">
      <c r="A82" s="85" t="s">
        <v>21</v>
      </c>
      <c r="J82" s="292" t="str">
        <f>IF(C7="","",C7)</f>
        <v xml:space="preserve"> </v>
      </c>
      <c r="AG82" s="85" t="s">
        <v>31</v>
      </c>
      <c r="AK82" s="344" t="str">
        <f>IF(C13="","",C13)</f>
        <v xml:space="preserve"> </v>
      </c>
      <c r="AL82" s="345"/>
      <c r="AM82" s="345"/>
      <c r="AN82" s="345"/>
      <c r="AP82" s="94"/>
    </row>
    <row r="83" spans="1:42" s="92" customFormat="1" ht="15.15" customHeight="1">
      <c r="A83" s="85" t="s">
        <v>29</v>
      </c>
      <c r="J83" s="292" t="str">
        <f>IF(C10="","",C10)</f>
        <v xml:space="preserve"> </v>
      </c>
      <c r="AG83" s="85" t="s">
        <v>35</v>
      </c>
      <c r="AK83" s="344" t="str">
        <f>IF(C16="","",C16)</f>
        <v xml:space="preserve"> </v>
      </c>
      <c r="AL83" s="345"/>
      <c r="AM83" s="345"/>
      <c r="AN83" s="345"/>
      <c r="AP83" s="94"/>
    </row>
    <row r="84" s="92" customFormat="1" ht="10.95" customHeight="1">
      <c r="AP84" s="94"/>
    </row>
    <row r="85" spans="1:46" s="92" customFormat="1" ht="29.25" customHeight="1">
      <c r="A85" s="346" t="s">
        <v>55</v>
      </c>
      <c r="B85" s="347"/>
      <c r="C85" s="347"/>
      <c r="D85" s="347"/>
      <c r="E85" s="347"/>
      <c r="F85" s="108"/>
      <c r="G85" s="348" t="s">
        <v>56</v>
      </c>
      <c r="H85" s="347"/>
      <c r="I85" s="347"/>
      <c r="J85" s="347"/>
      <c r="K85" s="347"/>
      <c r="L85" s="347"/>
      <c r="M85" s="347"/>
      <c r="N85" s="347"/>
      <c r="O85" s="347"/>
      <c r="P85" s="347"/>
      <c r="Q85" s="347"/>
      <c r="R85" s="347"/>
      <c r="S85" s="347"/>
      <c r="T85" s="347"/>
      <c r="U85" s="347"/>
      <c r="V85" s="347"/>
      <c r="W85" s="347"/>
      <c r="X85" s="347"/>
      <c r="Y85" s="347"/>
      <c r="Z85" s="347"/>
      <c r="AA85" s="347"/>
      <c r="AB85" s="347"/>
      <c r="AC85" s="347"/>
      <c r="AD85" s="347"/>
      <c r="AE85" s="349" t="s">
        <v>57</v>
      </c>
      <c r="AF85" s="347"/>
      <c r="AG85" s="347"/>
      <c r="AH85" s="347"/>
      <c r="AI85" s="347"/>
      <c r="AJ85" s="347"/>
      <c r="AK85" s="347"/>
      <c r="AL85" s="348" t="s">
        <v>58</v>
      </c>
      <c r="AM85" s="347"/>
      <c r="AN85" s="350"/>
      <c r="AO85" s="109" t="s">
        <v>59</v>
      </c>
      <c r="AP85" s="94"/>
      <c r="AQ85" s="182" t="s">
        <v>2</v>
      </c>
      <c r="AR85" s="182" t="s">
        <v>3</v>
      </c>
      <c r="AT85" s="92" t="s">
        <v>60</v>
      </c>
    </row>
    <row r="86" s="92" customFormat="1" ht="10.95" customHeight="1">
      <c r="AP86" s="94"/>
    </row>
    <row r="87" spans="1:46" s="114" customFormat="1" ht="32.4" customHeight="1">
      <c r="A87" s="110" t="s">
        <v>61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353">
        <f>SUM(AE88:AK91)</f>
        <v>0</v>
      </c>
      <c r="AF87" s="353"/>
      <c r="AG87" s="353"/>
      <c r="AH87" s="353"/>
      <c r="AI87" s="353"/>
      <c r="AJ87" s="353"/>
      <c r="AK87" s="353"/>
      <c r="AL87" s="354">
        <f>SUM(AL88:AN91)</f>
        <v>0</v>
      </c>
      <c r="AM87" s="354"/>
      <c r="AN87" s="354"/>
      <c r="AO87" s="112" t="s">
        <v>30</v>
      </c>
      <c r="AP87" s="113"/>
      <c r="AQ87" s="168">
        <f>SUM(AQ88:AQ91)</f>
        <v>0</v>
      </c>
      <c r="AR87" s="168">
        <f>SUM(AR88:AR91)</f>
        <v>0</v>
      </c>
      <c r="AT87" s="169">
        <f>AE87-AQ87-AR87</f>
        <v>0</v>
      </c>
    </row>
    <row r="88" spans="1:46" s="120" customFormat="1" ht="16.5" customHeight="1">
      <c r="A88" s="115"/>
      <c r="B88" s="116" t="s">
        <v>62</v>
      </c>
      <c r="C88" s="116"/>
      <c r="D88" s="116"/>
      <c r="E88" s="116"/>
      <c r="F88" s="116"/>
      <c r="G88" s="291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351">
        <f>'2. Etapa D.1.1-Stavba'!H184</f>
        <v>0</v>
      </c>
      <c r="AF88" s="352"/>
      <c r="AG88" s="352"/>
      <c r="AH88" s="352"/>
      <c r="AI88" s="352"/>
      <c r="AJ88" s="352"/>
      <c r="AK88" s="352"/>
      <c r="AL88" s="351">
        <f>AE88*1.21</f>
        <v>0</v>
      </c>
      <c r="AM88" s="352"/>
      <c r="AN88" s="352"/>
      <c r="AO88" s="118" t="s">
        <v>63</v>
      </c>
      <c r="AP88" s="119"/>
      <c r="AQ88" s="170">
        <f>'2. Etapa D.1.1-Stavba'!K184</f>
        <v>0</v>
      </c>
      <c r="AR88" s="170">
        <f>'2. Etapa D.1.1-Stavba'!L184</f>
        <v>0</v>
      </c>
      <c r="AT88" s="171">
        <f aca="true" t="shared" si="0" ref="AT88:AT91">AE88-AQ88-AR88</f>
        <v>0</v>
      </c>
    </row>
    <row r="89" spans="2:46" s="92" customFormat="1" ht="30" customHeight="1">
      <c r="B89" s="115" t="s">
        <v>64</v>
      </c>
      <c r="C89" s="115"/>
      <c r="D89" s="115"/>
      <c r="E89" s="115"/>
      <c r="F89" s="115"/>
      <c r="G89" s="291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351">
        <f>'2. Etapa D.1.4.a-VZT'!F39</f>
        <v>0</v>
      </c>
      <c r="AF89" s="352"/>
      <c r="AG89" s="352"/>
      <c r="AH89" s="352"/>
      <c r="AI89" s="352"/>
      <c r="AJ89" s="352"/>
      <c r="AK89" s="352"/>
      <c r="AL89" s="351">
        <f>AE89*1.21</f>
        <v>0</v>
      </c>
      <c r="AM89" s="352"/>
      <c r="AN89" s="352"/>
      <c r="AP89" s="94"/>
      <c r="AQ89" s="170">
        <f>'2. Etapa D.1.4.a-VZT'!I39</f>
        <v>0</v>
      </c>
      <c r="AR89" s="170">
        <f>'2. Etapa D.1.4.a-VZT'!J39</f>
        <v>0</v>
      </c>
      <c r="AT89" s="172">
        <f t="shared" si="0"/>
        <v>0</v>
      </c>
    </row>
    <row r="90" spans="2:46" s="92" customFormat="1" ht="30" customHeight="1">
      <c r="B90" s="115" t="s">
        <v>65</v>
      </c>
      <c r="C90" s="115"/>
      <c r="D90" s="115"/>
      <c r="E90" s="115"/>
      <c r="F90" s="115"/>
      <c r="G90" s="291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351">
        <f>'2. Etapa D.1.4.b-Zdravotechnika'!G51</f>
        <v>0</v>
      </c>
      <c r="AF90" s="352"/>
      <c r="AG90" s="352"/>
      <c r="AH90" s="352"/>
      <c r="AI90" s="352"/>
      <c r="AJ90" s="352"/>
      <c r="AK90" s="352"/>
      <c r="AL90" s="351">
        <f>AE90*1.21</f>
        <v>0</v>
      </c>
      <c r="AM90" s="352"/>
      <c r="AN90" s="352"/>
      <c r="AP90" s="94"/>
      <c r="AQ90" s="170">
        <f>'2. Etapa D.1.4.b-Zdravotechnika'!J51</f>
        <v>0</v>
      </c>
      <c r="AR90" s="170">
        <f>'2. Etapa D.1.4.b-Zdravotechnika'!K51</f>
        <v>0</v>
      </c>
      <c r="AT90" s="172">
        <f t="shared" si="0"/>
        <v>0</v>
      </c>
    </row>
    <row r="91" spans="2:46" s="92" customFormat="1" ht="30" customHeight="1">
      <c r="B91" s="115" t="s">
        <v>66</v>
      </c>
      <c r="C91" s="115"/>
      <c r="D91" s="115"/>
      <c r="E91" s="115"/>
      <c r="F91" s="115"/>
      <c r="G91" s="291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351">
        <f>'2. Etapa D.1.4.c-elekroinstlace'!J36</f>
        <v>0</v>
      </c>
      <c r="AF91" s="352"/>
      <c r="AG91" s="352"/>
      <c r="AH91" s="352"/>
      <c r="AI91" s="352"/>
      <c r="AJ91" s="352"/>
      <c r="AK91" s="352"/>
      <c r="AL91" s="351">
        <f>AE91*1.21</f>
        <v>0</v>
      </c>
      <c r="AM91" s="352"/>
      <c r="AN91" s="352"/>
      <c r="AP91" s="94"/>
      <c r="AQ91" s="170">
        <f>'2. Etapa D.1.4.c-elekroinstlace'!T69</f>
        <v>0</v>
      </c>
      <c r="AR91" s="170">
        <f>'2. Etapa D.1.4.c-elekroinstlace'!U69</f>
        <v>0</v>
      </c>
      <c r="AT91" s="172">
        <f t="shared" si="0"/>
        <v>0</v>
      </c>
    </row>
    <row r="92" spans="1:42" s="92" customFormat="1" ht="7.2" customHeight="1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94"/>
    </row>
    <row r="94" spans="2:44" ht="13.8">
      <c r="B94" s="121" t="s">
        <v>67</v>
      </c>
      <c r="AQ94" s="173" t="e">
        <f>AQ87/AE87</f>
        <v>#DIV/0!</v>
      </c>
      <c r="AR94" s="173" t="e">
        <f>AR87/AE87</f>
        <v>#DIV/0!</v>
      </c>
    </row>
    <row r="95" ht="13.8">
      <c r="B95" s="121" t="s">
        <v>68</v>
      </c>
    </row>
    <row r="96" ht="13.8">
      <c r="B96" s="121" t="s">
        <v>69</v>
      </c>
    </row>
    <row r="97" ht="13.8">
      <c r="B97" s="121" t="s">
        <v>70</v>
      </c>
    </row>
    <row r="98" ht="13.8">
      <c r="B98" s="121" t="s">
        <v>71</v>
      </c>
    </row>
    <row r="99" ht="13.8">
      <c r="B99" s="121" t="s">
        <v>72</v>
      </c>
    </row>
    <row r="100" ht="13.8">
      <c r="B100" s="121" t="s">
        <v>73</v>
      </c>
    </row>
    <row r="101" ht="10.5">
      <c r="B101" s="122"/>
    </row>
    <row r="102" ht="13.8">
      <c r="B102" s="123" t="s">
        <v>74</v>
      </c>
    </row>
    <row r="103" ht="13.8">
      <c r="B103" s="123" t="s">
        <v>75</v>
      </c>
    </row>
    <row r="104" ht="13.8">
      <c r="B104" s="123" t="s">
        <v>76</v>
      </c>
    </row>
  </sheetData>
  <sheetProtection algorithmName="SHA-512" hashValue="rES9tw4uxDUgyRHjSc99BbwH2VSg0OwpldertnOLRSY7TaCkGM8agJ30InQJVewZ2on47Ecsl0DgChW6Q2YZlQ==" saltValue="OlRsVIntB16Ani846Byldg==" spinCount="100000" sheet="1" objects="1" scenarios="1"/>
  <mergeCells count="42">
    <mergeCell ref="I2:AM2"/>
    <mergeCell ref="I3:AM3"/>
    <mergeCell ref="C19:AL19"/>
    <mergeCell ref="AI22:AM22"/>
    <mergeCell ref="J24:N24"/>
    <mergeCell ref="U24:AC24"/>
    <mergeCell ref="AI24:AM24"/>
    <mergeCell ref="J25:N25"/>
    <mergeCell ref="U25:AC25"/>
    <mergeCell ref="AI25:AM25"/>
    <mergeCell ref="J26:N26"/>
    <mergeCell ref="U26:AC26"/>
    <mergeCell ref="AI26:AM26"/>
    <mergeCell ref="J27:N27"/>
    <mergeCell ref="U27:AC27"/>
    <mergeCell ref="AI27:AM27"/>
    <mergeCell ref="J28:N28"/>
    <mergeCell ref="U28:AC28"/>
    <mergeCell ref="AI28:AM28"/>
    <mergeCell ref="A85:E85"/>
    <mergeCell ref="G85:AD85"/>
    <mergeCell ref="AE85:AK85"/>
    <mergeCell ref="AL85:AN85"/>
    <mergeCell ref="J29:N29"/>
    <mergeCell ref="U29:AC29"/>
    <mergeCell ref="AI29:AM29"/>
    <mergeCell ref="V31:Z31"/>
    <mergeCell ref="AI31:AM31"/>
    <mergeCell ref="J78:AM78"/>
    <mergeCell ref="AE87:AK87"/>
    <mergeCell ref="AL87:AN87"/>
    <mergeCell ref="AE88:AK88"/>
    <mergeCell ref="AL88:AN88"/>
    <mergeCell ref="AK80:AL80"/>
    <mergeCell ref="AK82:AN82"/>
    <mergeCell ref="AK83:AN83"/>
    <mergeCell ref="AE91:AK91"/>
    <mergeCell ref="AL91:AN91"/>
    <mergeCell ref="AE89:AK89"/>
    <mergeCell ref="AL89:AN89"/>
    <mergeCell ref="AE90:AK90"/>
    <mergeCell ref="AL90:AN90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184"/>
  <sheetViews>
    <sheetView showGridLines="0" workbookViewId="0" topLeftCell="A1">
      <pane ySplit="5" topLeftCell="A48" activePane="bottomLeft" state="frozen"/>
      <selection pane="topLeft" activeCell="AL15" activeCellId="2" sqref="I15:AF16 AL4 AL15:AL16"/>
      <selection pane="bottomLeft" activeCell="G21" sqref="G21"/>
    </sheetView>
  </sheetViews>
  <sheetFormatPr defaultColWidth="10.5" defaultRowHeight="12" customHeight="1"/>
  <cols>
    <col min="1" max="1" width="7.33203125" style="227" customWidth="1"/>
    <col min="2" max="2" width="7.33203125" style="228" customWidth="1"/>
    <col min="3" max="3" width="15.5" style="228" customWidth="1"/>
    <col min="4" max="4" width="57.66015625" style="228" customWidth="1"/>
    <col min="5" max="5" width="6.66015625" style="183" customWidth="1"/>
    <col min="6" max="6" width="11.16015625" style="229" customWidth="1"/>
    <col min="7" max="7" width="15.5" style="230" customWidth="1"/>
    <col min="8" max="8" width="17.83203125" style="230" customWidth="1"/>
    <col min="9" max="9" width="10.5" style="185" customWidth="1"/>
    <col min="10" max="10" width="10.5" style="185" hidden="1" customWidth="1"/>
    <col min="11" max="11" width="15.16015625" style="185" hidden="1" customWidth="1"/>
    <col min="12" max="12" width="15.83203125" style="185" hidden="1" customWidth="1"/>
    <col min="13" max="16384" width="10.5" style="185" customWidth="1"/>
  </cols>
  <sheetData>
    <row r="1" spans="1:8" s="184" customFormat="1" ht="24" customHeight="1">
      <c r="A1" s="42" t="s">
        <v>77</v>
      </c>
      <c r="B1" s="3"/>
      <c r="C1" s="4"/>
      <c r="D1" s="5"/>
      <c r="E1" s="183"/>
      <c r="F1" s="5" t="s">
        <v>78</v>
      </c>
      <c r="G1" s="5"/>
      <c r="H1" s="5" t="s">
        <v>79</v>
      </c>
    </row>
    <row r="2" spans="1:8" ht="6.75" customHeight="1">
      <c r="A2" s="1"/>
      <c r="B2" s="1"/>
      <c r="C2" s="1"/>
      <c r="D2" s="1"/>
      <c r="E2" s="80"/>
      <c r="F2" s="1"/>
      <c r="G2" s="1"/>
      <c r="H2" s="1"/>
    </row>
    <row r="3" spans="1:12" ht="24.75" customHeight="1">
      <c r="A3" s="2" t="s">
        <v>80</v>
      </c>
      <c r="B3" s="2" t="s">
        <v>81</v>
      </c>
      <c r="C3" s="2" t="s">
        <v>82</v>
      </c>
      <c r="D3" s="2" t="s">
        <v>56</v>
      </c>
      <c r="E3" s="2" t="s">
        <v>83</v>
      </c>
      <c r="F3" s="2" t="s">
        <v>84</v>
      </c>
      <c r="G3" s="2" t="s">
        <v>85</v>
      </c>
      <c r="H3" s="2" t="s">
        <v>86</v>
      </c>
      <c r="J3" s="182" t="s">
        <v>87</v>
      </c>
      <c r="K3" s="2" t="s">
        <v>2</v>
      </c>
      <c r="L3" s="2" t="s">
        <v>3</v>
      </c>
    </row>
    <row r="4" spans="1:8" ht="12.75" customHeight="1">
      <c r="A4" s="2" t="s">
        <v>88</v>
      </c>
      <c r="B4" s="2" t="s">
        <v>89</v>
      </c>
      <c r="C4" s="2" t="s">
        <v>90</v>
      </c>
      <c r="D4" s="2" t="s">
        <v>91</v>
      </c>
      <c r="E4" s="2" t="s">
        <v>92</v>
      </c>
      <c r="F4" s="2" t="s">
        <v>93</v>
      </c>
      <c r="G4" s="2" t="s">
        <v>94</v>
      </c>
      <c r="H4" s="2" t="s">
        <v>95</v>
      </c>
    </row>
    <row r="5" spans="1:8" ht="6" customHeight="1">
      <c r="A5" s="1"/>
      <c r="B5" s="1"/>
      <c r="C5" s="1"/>
      <c r="D5" s="1"/>
      <c r="E5" s="80"/>
      <c r="F5" s="1"/>
      <c r="G5" s="1"/>
      <c r="H5" s="1"/>
    </row>
    <row r="6" spans="1:12" ht="30.75" customHeight="1">
      <c r="A6" s="186"/>
      <c r="B6" s="187"/>
      <c r="C6" s="187" t="s">
        <v>96</v>
      </c>
      <c r="D6" s="187" t="s">
        <v>97</v>
      </c>
      <c r="E6" s="188"/>
      <c r="F6" s="189"/>
      <c r="G6" s="190"/>
      <c r="H6" s="186">
        <f>SUBTOTAL(9,H7:H55)</f>
        <v>0</v>
      </c>
      <c r="K6" s="186">
        <f>SUBTOTAL(9,K7:K55)</f>
        <v>0</v>
      </c>
      <c r="L6" s="186">
        <f>SUBTOTAL(9,L7:L55)</f>
        <v>0</v>
      </c>
    </row>
    <row r="7" spans="1:12" ht="28.5" customHeight="1">
      <c r="A7" s="191"/>
      <c r="B7" s="192"/>
      <c r="C7" s="192" t="s">
        <v>90</v>
      </c>
      <c r="D7" s="192" t="s">
        <v>98</v>
      </c>
      <c r="E7" s="193"/>
      <c r="F7" s="194"/>
      <c r="G7" s="195"/>
      <c r="H7" s="191">
        <f>SUBTOTAL(9,H8)</f>
        <v>0</v>
      </c>
      <c r="K7" s="191">
        <f>SUBTOTAL(9,K8)</f>
        <v>0</v>
      </c>
      <c r="L7" s="191">
        <f>SUBTOTAL(9,L8)</f>
        <v>0</v>
      </c>
    </row>
    <row r="8" spans="1:12" ht="24" customHeight="1">
      <c r="A8" s="196">
        <v>1</v>
      </c>
      <c r="B8" s="197" t="s">
        <v>99</v>
      </c>
      <c r="C8" s="197" t="s">
        <v>100</v>
      </c>
      <c r="D8" s="197" t="s">
        <v>101</v>
      </c>
      <c r="E8" s="198" t="s">
        <v>102</v>
      </c>
      <c r="F8" s="199">
        <f>F9</f>
        <v>44.578799999999994</v>
      </c>
      <c r="G8" s="231"/>
      <c r="H8" s="200">
        <f>F8*G8</f>
        <v>0</v>
      </c>
      <c r="J8" s="201" t="str">
        <f>'1. Etapa D.1.1-Stavba'!J8</f>
        <v>I</v>
      </c>
      <c r="K8" s="200">
        <f>IF(J8="I",H8," ")</f>
        <v>0</v>
      </c>
      <c r="L8" s="200" t="str">
        <f>IF(J8="N",H8," ")</f>
        <v xml:space="preserve"> </v>
      </c>
    </row>
    <row r="9" spans="1:8" ht="13.5" customHeight="1">
      <c r="A9" s="202"/>
      <c r="B9" s="203"/>
      <c r="C9" s="203"/>
      <c r="D9" s="203" t="s">
        <v>104</v>
      </c>
      <c r="E9" s="204"/>
      <c r="F9" s="205">
        <f>0.915*2.03*24</f>
        <v>44.578799999999994</v>
      </c>
      <c r="G9" s="206"/>
      <c r="H9" s="206"/>
    </row>
    <row r="10" spans="1:12" ht="28.5" customHeight="1">
      <c r="A10" s="191"/>
      <c r="B10" s="192"/>
      <c r="C10" s="192" t="s">
        <v>93</v>
      </c>
      <c r="D10" s="192" t="s">
        <v>105</v>
      </c>
      <c r="E10" s="193"/>
      <c r="F10" s="194"/>
      <c r="G10" s="195"/>
      <c r="H10" s="191">
        <f>SUBTOTAL(9,H11:H35)</f>
        <v>0</v>
      </c>
      <c r="K10" s="191">
        <f>SUBTOTAL(9,K11:K35)</f>
        <v>0</v>
      </c>
      <c r="L10" s="191">
        <f>SUBTOTAL(9,L11:L35)</f>
        <v>0</v>
      </c>
    </row>
    <row r="11" spans="1:12" ht="24" customHeight="1">
      <c r="A11" s="196">
        <v>2</v>
      </c>
      <c r="B11" s="197" t="s">
        <v>106</v>
      </c>
      <c r="C11" s="197" t="s">
        <v>107</v>
      </c>
      <c r="D11" s="197" t="s">
        <v>108</v>
      </c>
      <c r="E11" s="198" t="s">
        <v>102</v>
      </c>
      <c r="F11" s="199">
        <f>F12</f>
        <v>404.88000000000005</v>
      </c>
      <c r="G11" s="231"/>
      <c r="H11" s="200">
        <f>F11*G11</f>
        <v>0</v>
      </c>
      <c r="J11" s="201" t="str">
        <f>'1. Etapa D.1.1-Stavba'!J11</f>
        <v>N</v>
      </c>
      <c r="K11" s="200" t="str">
        <f aca="true" t="shared" si="0" ref="K11:K12">IF(J11="I",H11," ")</f>
        <v xml:space="preserve"> </v>
      </c>
      <c r="L11" s="200">
        <f aca="true" t="shared" si="1" ref="L11:L12">IF(J11="N",H11," ")</f>
        <v>0</v>
      </c>
    </row>
    <row r="12" spans="1:12" ht="24" customHeight="1">
      <c r="A12" s="196">
        <v>3</v>
      </c>
      <c r="B12" s="197" t="s">
        <v>99</v>
      </c>
      <c r="C12" s="197" t="s">
        <v>110</v>
      </c>
      <c r="D12" s="197" t="s">
        <v>111</v>
      </c>
      <c r="E12" s="198" t="s">
        <v>102</v>
      </c>
      <c r="F12" s="199">
        <f>F14+F15</f>
        <v>404.88000000000005</v>
      </c>
      <c r="G12" s="231"/>
      <c r="H12" s="200">
        <f>F12*G12</f>
        <v>0</v>
      </c>
      <c r="J12" s="201" t="str">
        <f>'1. Etapa D.1.1-Stavba'!J12</f>
        <v>N</v>
      </c>
      <c r="K12" s="200" t="str">
        <f t="shared" si="0"/>
        <v xml:space="preserve"> </v>
      </c>
      <c r="L12" s="200">
        <f t="shared" si="1"/>
        <v>0</v>
      </c>
    </row>
    <row r="13" spans="1:12" ht="13.5" customHeight="1">
      <c r="A13" s="207"/>
      <c r="B13" s="208"/>
      <c r="C13" s="208"/>
      <c r="D13" s="208" t="s">
        <v>112</v>
      </c>
      <c r="E13" s="209"/>
      <c r="F13" s="210"/>
      <c r="G13" s="211"/>
      <c r="H13" s="211"/>
      <c r="K13" s="211"/>
      <c r="L13" s="211"/>
    </row>
    <row r="14" spans="1:8" ht="13.5" customHeight="1">
      <c r="A14" s="202"/>
      <c r="B14" s="203"/>
      <c r="C14" s="203"/>
      <c r="D14" s="203" t="s">
        <v>113</v>
      </c>
      <c r="E14" s="204"/>
      <c r="F14" s="205">
        <f>16*(6.24+11.14)</f>
        <v>278.08000000000004</v>
      </c>
      <c r="G14" s="206"/>
      <c r="H14" s="206"/>
    </row>
    <row r="15" spans="1:8" ht="13.5" customHeight="1">
      <c r="A15" s="202"/>
      <c r="B15" s="203"/>
      <c r="C15" s="203"/>
      <c r="D15" s="203" t="s">
        <v>114</v>
      </c>
      <c r="E15" s="204"/>
      <c r="F15" s="205">
        <v>126.8</v>
      </c>
      <c r="G15" s="206"/>
      <c r="H15" s="206"/>
    </row>
    <row r="16" spans="1:12" ht="24" customHeight="1">
      <c r="A16" s="196">
        <v>4</v>
      </c>
      <c r="B16" s="197" t="s">
        <v>106</v>
      </c>
      <c r="C16" s="197" t="s">
        <v>115</v>
      </c>
      <c r="D16" s="197" t="s">
        <v>116</v>
      </c>
      <c r="E16" s="198" t="s">
        <v>102</v>
      </c>
      <c r="F16" s="199">
        <f>F18</f>
        <v>44.578799999999994</v>
      </c>
      <c r="G16" s="231"/>
      <c r="H16" s="200">
        <f>F16*G16</f>
        <v>0</v>
      </c>
      <c r="J16" s="201" t="str">
        <f>'1. Etapa D.1.1-Stavba'!J16</f>
        <v>I</v>
      </c>
      <c r="K16" s="200">
        <f>IF(J16="I",H16," ")</f>
        <v>0</v>
      </c>
      <c r="L16" s="200" t="str">
        <f>IF(J16="N",H16," ")</f>
        <v xml:space="preserve"> </v>
      </c>
    </row>
    <row r="17" spans="1:12" ht="13.5" customHeight="1">
      <c r="A17" s="207"/>
      <c r="B17" s="208"/>
      <c r="C17" s="208"/>
      <c r="D17" s="208" t="s">
        <v>117</v>
      </c>
      <c r="E17" s="209"/>
      <c r="F17" s="210"/>
      <c r="G17" s="211"/>
      <c r="H17" s="211"/>
      <c r="K17" s="211"/>
      <c r="L17" s="211"/>
    </row>
    <row r="18" spans="1:8" ht="13.5" customHeight="1">
      <c r="A18" s="202"/>
      <c r="B18" s="203"/>
      <c r="C18" s="203"/>
      <c r="D18" s="203" t="s">
        <v>118</v>
      </c>
      <c r="E18" s="204"/>
      <c r="F18" s="205">
        <f>0.915*2.03*24</f>
        <v>44.578799999999994</v>
      </c>
      <c r="G18" s="206"/>
      <c r="H18" s="206"/>
    </row>
    <row r="19" spans="1:12" ht="20.4">
      <c r="A19" s="196">
        <v>5</v>
      </c>
      <c r="B19" s="197" t="s">
        <v>106</v>
      </c>
      <c r="C19" s="197" t="s">
        <v>119</v>
      </c>
      <c r="D19" s="197" t="s">
        <v>120</v>
      </c>
      <c r="E19" s="198" t="s">
        <v>102</v>
      </c>
      <c r="F19" s="199">
        <f>SUM(F20:F27)</f>
        <v>1055.472</v>
      </c>
      <c r="G19" s="231"/>
      <c r="H19" s="200">
        <f>F19*G19</f>
        <v>0</v>
      </c>
      <c r="J19" s="201" t="str">
        <f>'1. Etapa D.1.1-Stavba'!J19</f>
        <v>N</v>
      </c>
      <c r="K19" s="200" t="str">
        <f>IF(J19="I",H19," ")</f>
        <v xml:space="preserve"> </v>
      </c>
      <c r="L19" s="200">
        <f>IF(J19="N",H19," ")</f>
        <v>0</v>
      </c>
    </row>
    <row r="20" spans="1:12" ht="13.5" customHeight="1">
      <c r="A20" s="207"/>
      <c r="B20" s="208"/>
      <c r="C20" s="208"/>
      <c r="D20" s="208" t="s">
        <v>121</v>
      </c>
      <c r="E20" s="209"/>
      <c r="F20" s="210"/>
      <c r="G20" s="211"/>
      <c r="H20" s="211"/>
      <c r="K20" s="211"/>
      <c r="L20" s="211"/>
    </row>
    <row r="21" spans="1:8" ht="13.5" customHeight="1">
      <c r="A21" s="202"/>
      <c r="B21" s="203"/>
      <c r="C21" s="203"/>
      <c r="D21" s="203" t="s">
        <v>122</v>
      </c>
      <c r="E21" s="204"/>
      <c r="F21" s="205">
        <f>16*(2*1.27+2*3.45+2*1.16+4.72+1.75)*2.8</f>
        <v>816.704</v>
      </c>
      <c r="G21" s="206"/>
      <c r="H21" s="206"/>
    </row>
    <row r="22" spans="1:8" ht="13.5" customHeight="1">
      <c r="A22" s="202"/>
      <c r="B22" s="203"/>
      <c r="C22" s="203"/>
      <c r="D22" s="203" t="s">
        <v>123</v>
      </c>
      <c r="E22" s="204"/>
      <c r="F22" s="205">
        <v>427.84</v>
      </c>
      <c r="G22" s="206"/>
      <c r="H22" s="206"/>
    </row>
    <row r="23" spans="1:8" ht="13.5" customHeight="1">
      <c r="A23" s="202"/>
      <c r="B23" s="203"/>
      <c r="C23" s="203"/>
      <c r="D23" s="203" t="s">
        <v>124</v>
      </c>
      <c r="E23" s="204"/>
      <c r="F23" s="205">
        <f>-24*0.915*2.03</f>
        <v>-44.578799999999994</v>
      </c>
      <c r="G23" s="206"/>
      <c r="H23" s="206"/>
    </row>
    <row r="24" spans="1:8" ht="13.5" customHeight="1">
      <c r="A24" s="202"/>
      <c r="B24" s="203"/>
      <c r="C24" s="203"/>
      <c r="D24" s="203" t="s">
        <v>125</v>
      </c>
      <c r="E24" s="204"/>
      <c r="F24" s="205">
        <f>-24*2.1*1.5</f>
        <v>-75.60000000000001</v>
      </c>
      <c r="G24" s="206"/>
      <c r="H24" s="206"/>
    </row>
    <row r="25" spans="1:8" ht="13.5" customHeight="1">
      <c r="A25" s="202"/>
      <c r="B25" s="203"/>
      <c r="C25" s="203"/>
      <c r="D25" s="203" t="s">
        <v>126</v>
      </c>
      <c r="E25" s="204"/>
      <c r="F25" s="205">
        <f>-24*3*0.8*1.97</f>
        <v>-113.472</v>
      </c>
      <c r="G25" s="206"/>
      <c r="H25" s="206"/>
    </row>
    <row r="26" spans="1:12" ht="13.5" customHeight="1">
      <c r="A26" s="207"/>
      <c r="B26" s="208"/>
      <c r="C26" s="208"/>
      <c r="D26" s="208" t="s">
        <v>117</v>
      </c>
      <c r="E26" s="209"/>
      <c r="F26" s="210"/>
      <c r="G26" s="211"/>
      <c r="H26" s="211"/>
      <c r="K26" s="211"/>
      <c r="L26" s="211"/>
    </row>
    <row r="27" spans="1:8" ht="13.5" customHeight="1">
      <c r="A27" s="202"/>
      <c r="B27" s="203"/>
      <c r="C27" s="203"/>
      <c r="D27" s="203" t="s">
        <v>118</v>
      </c>
      <c r="E27" s="204"/>
      <c r="F27" s="205">
        <f>24*0.915*2.03</f>
        <v>44.578799999999994</v>
      </c>
      <c r="G27" s="206"/>
      <c r="H27" s="206"/>
    </row>
    <row r="28" spans="1:12" ht="24" customHeight="1">
      <c r="A28" s="196">
        <v>6</v>
      </c>
      <c r="B28" s="197" t="s">
        <v>99</v>
      </c>
      <c r="C28" s="197" t="s">
        <v>127</v>
      </c>
      <c r="D28" s="197" t="s">
        <v>128</v>
      </c>
      <c r="E28" s="198" t="s">
        <v>102</v>
      </c>
      <c r="F28" s="199">
        <f>SUM(F29:F34)</f>
        <v>1010.8932</v>
      </c>
      <c r="G28" s="231"/>
      <c r="H28" s="200">
        <f>F28*G28</f>
        <v>0</v>
      </c>
      <c r="J28" s="201" t="str">
        <f>'1. Etapa D.1.1-Stavba'!J28</f>
        <v>N</v>
      </c>
      <c r="K28" s="200" t="str">
        <f>IF(J28="I",H28," ")</f>
        <v xml:space="preserve"> </v>
      </c>
      <c r="L28" s="200">
        <f>IF(J28="N",H28," ")</f>
        <v>0</v>
      </c>
    </row>
    <row r="29" spans="1:12" ht="13.5" customHeight="1">
      <c r="A29" s="207"/>
      <c r="B29" s="208"/>
      <c r="C29" s="208"/>
      <c r="D29" s="208" t="s">
        <v>121</v>
      </c>
      <c r="E29" s="209"/>
      <c r="F29" s="210"/>
      <c r="G29" s="211"/>
      <c r="H29" s="211"/>
      <c r="K29" s="211"/>
      <c r="L29" s="211"/>
    </row>
    <row r="30" spans="1:8" ht="13.5" customHeight="1">
      <c r="A30" s="202"/>
      <c r="B30" s="203"/>
      <c r="C30" s="203"/>
      <c r="D30" s="203" t="s">
        <v>122</v>
      </c>
      <c r="E30" s="204"/>
      <c r="F30" s="205">
        <f>16*(2*1.27+2*3.45+2*1.16+4.72+1.75)*2.8</f>
        <v>816.704</v>
      </c>
      <c r="G30" s="206"/>
      <c r="H30" s="206"/>
    </row>
    <row r="31" spans="1:8" ht="13.5" customHeight="1">
      <c r="A31" s="202"/>
      <c r="B31" s="203"/>
      <c r="C31" s="203"/>
      <c r="D31" s="203" t="s">
        <v>123</v>
      </c>
      <c r="E31" s="204"/>
      <c r="F31" s="205">
        <v>427.84</v>
      </c>
      <c r="G31" s="206"/>
      <c r="H31" s="206"/>
    </row>
    <row r="32" spans="1:8" ht="13.5" customHeight="1">
      <c r="A32" s="202"/>
      <c r="B32" s="203"/>
      <c r="C32" s="203"/>
      <c r="D32" s="203" t="s">
        <v>124</v>
      </c>
      <c r="E32" s="204"/>
      <c r="F32" s="205">
        <f>-24*0.915*2.03</f>
        <v>-44.578799999999994</v>
      </c>
      <c r="G32" s="206"/>
      <c r="H32" s="206"/>
    </row>
    <row r="33" spans="1:8" ht="13.5" customHeight="1">
      <c r="A33" s="202"/>
      <c r="B33" s="203"/>
      <c r="C33" s="203"/>
      <c r="D33" s="203" t="s">
        <v>125</v>
      </c>
      <c r="E33" s="204"/>
      <c r="F33" s="205">
        <f>-24*2.1*1.5</f>
        <v>-75.60000000000001</v>
      </c>
      <c r="G33" s="206"/>
      <c r="H33" s="206"/>
    </row>
    <row r="34" spans="1:8" ht="13.5" customHeight="1">
      <c r="A34" s="202"/>
      <c r="B34" s="203"/>
      <c r="C34" s="203"/>
      <c r="D34" s="203" t="s">
        <v>126</v>
      </c>
      <c r="E34" s="204"/>
      <c r="F34" s="205">
        <f>-24*3*0.8*1.97</f>
        <v>-113.472</v>
      </c>
      <c r="G34" s="206"/>
      <c r="H34" s="206"/>
    </row>
    <row r="35" spans="1:12" ht="13.5" customHeight="1">
      <c r="A35" s="196">
        <v>7</v>
      </c>
      <c r="B35" s="197" t="s">
        <v>106</v>
      </c>
      <c r="C35" s="197" t="s">
        <v>129</v>
      </c>
      <c r="D35" s="197" t="s">
        <v>130</v>
      </c>
      <c r="E35" s="198" t="s">
        <v>102</v>
      </c>
      <c r="F35" s="199">
        <f>SUM(F36)</f>
        <v>75.64800000000001</v>
      </c>
      <c r="G35" s="231"/>
      <c r="H35" s="200">
        <f>F35*G35</f>
        <v>0</v>
      </c>
      <c r="J35" s="201" t="str">
        <f>'1. Etapa D.1.1-Stavba'!J35</f>
        <v>N</v>
      </c>
      <c r="K35" s="200" t="str">
        <f>IF(J35="I",H35," ")</f>
        <v xml:space="preserve"> </v>
      </c>
      <c r="L35" s="200">
        <f>IF(J35="N",H35," ")</f>
        <v>0</v>
      </c>
    </row>
    <row r="36" spans="1:8" ht="13.5" customHeight="1">
      <c r="A36" s="202"/>
      <c r="B36" s="203"/>
      <c r="C36" s="203"/>
      <c r="D36" s="203" t="s">
        <v>131</v>
      </c>
      <c r="E36" s="204"/>
      <c r="F36" s="205">
        <f>24*2*0.8*1.97</f>
        <v>75.64800000000001</v>
      </c>
      <c r="G36" s="206"/>
      <c r="H36" s="206"/>
    </row>
    <row r="37" spans="1:12" ht="28.5" customHeight="1">
      <c r="A37" s="191"/>
      <c r="B37" s="192"/>
      <c r="C37" s="192" t="s">
        <v>132</v>
      </c>
      <c r="D37" s="192" t="s">
        <v>133</v>
      </c>
      <c r="E37" s="193"/>
      <c r="F37" s="194"/>
      <c r="G37" s="195"/>
      <c r="H37" s="191">
        <f>SUBTOTAL(9,H38:H44)</f>
        <v>0</v>
      </c>
      <c r="K37" s="191">
        <f>SUBTOTAL(9,K38:K44)</f>
        <v>0</v>
      </c>
      <c r="L37" s="191">
        <f>SUBTOTAL(9,L38:L44)</f>
        <v>0</v>
      </c>
    </row>
    <row r="38" spans="1:12" ht="24" customHeight="1">
      <c r="A38" s="196">
        <v>8</v>
      </c>
      <c r="B38" s="197" t="s">
        <v>106</v>
      </c>
      <c r="C38" s="197" t="s">
        <v>134</v>
      </c>
      <c r="D38" s="197" t="s">
        <v>135</v>
      </c>
      <c r="E38" s="198" t="s">
        <v>102</v>
      </c>
      <c r="F38" s="199">
        <f>F39</f>
        <v>498.79999999999995</v>
      </c>
      <c r="G38" s="231"/>
      <c r="H38" s="200">
        <f>F38*G38</f>
        <v>0</v>
      </c>
      <c r="J38" s="201" t="str">
        <f>'1. Etapa D.1.1-Stavba'!J38</f>
        <v>N</v>
      </c>
      <c r="K38" s="200" t="str">
        <f>IF(J38="I",H38," ")</f>
        <v xml:space="preserve"> </v>
      </c>
      <c r="L38" s="200">
        <f>IF(J38="N",H38," ")</f>
        <v>0</v>
      </c>
    </row>
    <row r="39" spans="1:8" ht="13.5" customHeight="1">
      <c r="A39" s="202"/>
      <c r="B39" s="203"/>
      <c r="C39" s="203"/>
      <c r="D39" s="203" t="s">
        <v>136</v>
      </c>
      <c r="E39" s="204"/>
      <c r="F39" s="205">
        <f>16*(6.24+11.14+2.93+1.24)+8*(7.96+7.89+2.16+1.24)</f>
        <v>498.79999999999995</v>
      </c>
      <c r="G39" s="206"/>
      <c r="H39" s="206"/>
    </row>
    <row r="40" spans="1:12" ht="13.5" customHeight="1">
      <c r="A40" s="196">
        <v>9</v>
      </c>
      <c r="B40" s="197" t="s">
        <v>137</v>
      </c>
      <c r="C40" s="197" t="s">
        <v>138</v>
      </c>
      <c r="D40" s="197" t="s">
        <v>139</v>
      </c>
      <c r="E40" s="198" t="s">
        <v>102</v>
      </c>
      <c r="F40" s="199">
        <f>SUM(F41:F43)</f>
        <v>88.44000000000001</v>
      </c>
      <c r="G40" s="231"/>
      <c r="H40" s="200">
        <f>F40*G40</f>
        <v>0</v>
      </c>
      <c r="J40" s="201" t="str">
        <f>'1. Etapa D.1.1-Stavba'!J40</f>
        <v>N</v>
      </c>
      <c r="K40" s="200" t="str">
        <f>IF(J40="I",H40," ")</f>
        <v xml:space="preserve"> </v>
      </c>
      <c r="L40" s="200">
        <f>IF(J40="N",H40," ")</f>
        <v>0</v>
      </c>
    </row>
    <row r="41" spans="1:8" ht="13.5" customHeight="1">
      <c r="A41" s="202"/>
      <c r="B41" s="203"/>
      <c r="C41" s="203"/>
      <c r="D41" s="203" t="s">
        <v>140</v>
      </c>
      <c r="E41" s="204"/>
      <c r="F41" s="205">
        <f>(16*1.82+8*(1.25+0.395))*2.8</f>
        <v>118.384</v>
      </c>
      <c r="G41" s="206"/>
      <c r="H41" s="206"/>
    </row>
    <row r="42" spans="1:8" ht="13.5" customHeight="1">
      <c r="A42" s="202"/>
      <c r="B42" s="203"/>
      <c r="C42" s="203"/>
      <c r="D42" s="203" t="s">
        <v>141</v>
      </c>
      <c r="E42" s="204"/>
      <c r="F42" s="205">
        <f>-16*0.6*1.97</f>
        <v>-18.912</v>
      </c>
      <c r="G42" s="206"/>
      <c r="H42" s="206"/>
    </row>
    <row r="43" spans="1:8" ht="13.5" customHeight="1">
      <c r="A43" s="202"/>
      <c r="B43" s="203"/>
      <c r="C43" s="203"/>
      <c r="D43" s="203" t="s">
        <v>142</v>
      </c>
      <c r="E43" s="204"/>
      <c r="F43" s="205">
        <v>-11.032</v>
      </c>
      <c r="G43" s="206"/>
      <c r="H43" s="206"/>
    </row>
    <row r="44" spans="1:12" ht="13.5" customHeight="1">
      <c r="A44" s="196">
        <v>10</v>
      </c>
      <c r="B44" s="197" t="s">
        <v>137</v>
      </c>
      <c r="C44" s="197" t="s">
        <v>143</v>
      </c>
      <c r="D44" s="197" t="s">
        <v>144</v>
      </c>
      <c r="E44" s="198" t="s">
        <v>102</v>
      </c>
      <c r="F44" s="199">
        <f>SUM(F46:F47)</f>
        <v>29.944</v>
      </c>
      <c r="G44" s="231"/>
      <c r="H44" s="200">
        <f>F44*G44</f>
        <v>0</v>
      </c>
      <c r="J44" s="201" t="str">
        <f>'1. Etapa D.1.1-Stavba'!J44</f>
        <v>N</v>
      </c>
      <c r="K44" s="200" t="str">
        <f>IF(J44="I",H44," ")</f>
        <v xml:space="preserve"> </v>
      </c>
      <c r="L44" s="200">
        <f>IF(J44="N",H44," ")</f>
        <v>0</v>
      </c>
    </row>
    <row r="45" spans="1:8" ht="13.5" customHeight="1">
      <c r="A45" s="202"/>
      <c r="B45" s="203"/>
      <c r="C45" s="203"/>
      <c r="D45" s="203" t="s">
        <v>145</v>
      </c>
      <c r="E45" s="204"/>
      <c r="F45" s="205">
        <f>24*0.8*1.97</f>
        <v>37.824000000000005</v>
      </c>
      <c r="G45" s="206"/>
      <c r="H45" s="206"/>
    </row>
    <row r="46" spans="1:8" ht="13.5" customHeight="1">
      <c r="A46" s="202"/>
      <c r="B46" s="203"/>
      <c r="C46" s="203"/>
      <c r="D46" s="203" t="s">
        <v>146</v>
      </c>
      <c r="E46" s="204"/>
      <c r="F46" s="205">
        <v>11.032</v>
      </c>
      <c r="G46" s="206"/>
      <c r="H46" s="206"/>
    </row>
    <row r="47" spans="1:8" ht="13.5" customHeight="1">
      <c r="A47" s="202"/>
      <c r="B47" s="203"/>
      <c r="C47" s="203"/>
      <c r="D47" s="203" t="s">
        <v>147</v>
      </c>
      <c r="E47" s="204"/>
      <c r="F47" s="205">
        <f>16*0.6*1.97</f>
        <v>18.912</v>
      </c>
      <c r="G47" s="206"/>
      <c r="H47" s="206"/>
    </row>
    <row r="48" spans="1:12" ht="28.5" customHeight="1">
      <c r="A48" s="191"/>
      <c r="B48" s="192"/>
      <c r="C48" s="192" t="s">
        <v>148</v>
      </c>
      <c r="D48" s="192" t="s">
        <v>149</v>
      </c>
      <c r="E48" s="193"/>
      <c r="F48" s="194"/>
      <c r="G48" s="195"/>
      <c r="H48" s="191">
        <f>SUBTOTAL(9,H49:H53)</f>
        <v>0</v>
      </c>
      <c r="K48" s="191">
        <f>SUBTOTAL(9,K49:K53)</f>
        <v>0</v>
      </c>
      <c r="L48" s="191">
        <f>SUBTOTAL(9,L49:L53)</f>
        <v>0</v>
      </c>
    </row>
    <row r="49" spans="1:12" ht="24" customHeight="1">
      <c r="A49" s="196">
        <v>11</v>
      </c>
      <c r="B49" s="197" t="s">
        <v>137</v>
      </c>
      <c r="C49" s="197" t="s">
        <v>150</v>
      </c>
      <c r="D49" s="197" t="s">
        <v>151</v>
      </c>
      <c r="E49" s="198" t="s">
        <v>152</v>
      </c>
      <c r="F49" s="199">
        <v>49.332</v>
      </c>
      <c r="G49" s="231"/>
      <c r="H49" s="200">
        <f>F49*G49</f>
        <v>0</v>
      </c>
      <c r="J49" s="201" t="str">
        <f>'1. Etapa D.1.1-Stavba'!J49</f>
        <v>N</v>
      </c>
      <c r="K49" s="200" t="str">
        <f aca="true" t="shared" si="2" ref="K49:K51">IF(J49="I",H49," ")</f>
        <v xml:space="preserve"> </v>
      </c>
      <c r="L49" s="200">
        <f aca="true" t="shared" si="3" ref="L49:L51">IF(J49="N",H49," ")</f>
        <v>0</v>
      </c>
    </row>
    <row r="50" spans="1:12" ht="24" customHeight="1">
      <c r="A50" s="196">
        <v>12</v>
      </c>
      <c r="B50" s="197" t="s">
        <v>137</v>
      </c>
      <c r="C50" s="197" t="s">
        <v>153</v>
      </c>
      <c r="D50" s="197" t="s">
        <v>154</v>
      </c>
      <c r="E50" s="198" t="s">
        <v>152</v>
      </c>
      <c r="F50" s="199">
        <v>49.332</v>
      </c>
      <c r="G50" s="231"/>
      <c r="H50" s="200">
        <f>F50*G50</f>
        <v>0</v>
      </c>
      <c r="J50" s="201" t="str">
        <f>'1. Etapa D.1.1-Stavba'!J50</f>
        <v>N</v>
      </c>
      <c r="K50" s="200" t="str">
        <f t="shared" si="2"/>
        <v xml:space="preserve"> </v>
      </c>
      <c r="L50" s="200">
        <f t="shared" si="3"/>
        <v>0</v>
      </c>
    </row>
    <row r="51" spans="1:12" ht="24" customHeight="1">
      <c r="A51" s="196">
        <v>13</v>
      </c>
      <c r="B51" s="197" t="s">
        <v>137</v>
      </c>
      <c r="C51" s="197" t="s">
        <v>155</v>
      </c>
      <c r="D51" s="197" t="s">
        <v>156</v>
      </c>
      <c r="E51" s="198" t="s">
        <v>152</v>
      </c>
      <c r="F51" s="199">
        <f>F52</f>
        <v>937.308</v>
      </c>
      <c r="G51" s="231"/>
      <c r="H51" s="200">
        <f>F51*G51</f>
        <v>0</v>
      </c>
      <c r="J51" s="201" t="str">
        <f>'1. Etapa D.1.1-Stavba'!J51</f>
        <v>N</v>
      </c>
      <c r="K51" s="200" t="str">
        <f t="shared" si="2"/>
        <v xml:space="preserve"> </v>
      </c>
      <c r="L51" s="200">
        <f t="shared" si="3"/>
        <v>0</v>
      </c>
    </row>
    <row r="52" spans="1:8" ht="13.5" customHeight="1">
      <c r="A52" s="202"/>
      <c r="B52" s="203"/>
      <c r="C52" s="203"/>
      <c r="D52" s="203" t="s">
        <v>157</v>
      </c>
      <c r="E52" s="204"/>
      <c r="F52" s="205">
        <f>49.332*19</f>
        <v>937.308</v>
      </c>
      <c r="G52" s="206"/>
      <c r="H52" s="206"/>
    </row>
    <row r="53" spans="1:12" ht="24" customHeight="1">
      <c r="A53" s="196">
        <v>14</v>
      </c>
      <c r="B53" s="197" t="s">
        <v>137</v>
      </c>
      <c r="C53" s="197" t="s">
        <v>158</v>
      </c>
      <c r="D53" s="197" t="s">
        <v>159</v>
      </c>
      <c r="E53" s="198" t="s">
        <v>152</v>
      </c>
      <c r="F53" s="199">
        <v>49.332</v>
      </c>
      <c r="G53" s="231"/>
      <c r="H53" s="200">
        <f>F53*G53</f>
        <v>0</v>
      </c>
      <c r="J53" s="201" t="str">
        <f>'1. Etapa D.1.1-Stavba'!J53</f>
        <v>N</v>
      </c>
      <c r="K53" s="200" t="str">
        <f>IF(J53="I",H53," ")</f>
        <v xml:space="preserve"> </v>
      </c>
      <c r="L53" s="200">
        <f>IF(J53="N",H53," ")</f>
        <v>0</v>
      </c>
    </row>
    <row r="54" spans="1:12" ht="28.5" customHeight="1">
      <c r="A54" s="191"/>
      <c r="B54" s="192"/>
      <c r="C54" s="192" t="s">
        <v>160</v>
      </c>
      <c r="D54" s="192" t="s">
        <v>161</v>
      </c>
      <c r="E54" s="193"/>
      <c r="F54" s="194"/>
      <c r="G54" s="195"/>
      <c r="H54" s="191">
        <f>SUBTOTAL(9,H55)</f>
        <v>0</v>
      </c>
      <c r="K54" s="191">
        <f>SUBTOTAL(9,K55)</f>
        <v>0</v>
      </c>
      <c r="L54" s="191">
        <f>SUBTOTAL(9,L55)</f>
        <v>0</v>
      </c>
    </row>
    <row r="55" spans="1:12" ht="13.5" customHeight="1">
      <c r="A55" s="196">
        <v>15</v>
      </c>
      <c r="B55" s="197" t="s">
        <v>106</v>
      </c>
      <c r="C55" s="197" t="s">
        <v>162</v>
      </c>
      <c r="D55" s="197" t="s">
        <v>163</v>
      </c>
      <c r="E55" s="198" t="s">
        <v>152</v>
      </c>
      <c r="F55" s="199">
        <v>31.236</v>
      </c>
      <c r="G55" s="231"/>
      <c r="H55" s="200">
        <f>F55*G55</f>
        <v>0</v>
      </c>
      <c r="J55" s="201" t="str">
        <f>'1. Etapa D.1.1-Stavba'!J55</f>
        <v>N</v>
      </c>
      <c r="K55" s="200" t="str">
        <f>IF(J55="I",H55," ")</f>
        <v xml:space="preserve"> </v>
      </c>
      <c r="L55" s="200">
        <f>IF(J55="N",H55," ")</f>
        <v>0</v>
      </c>
    </row>
    <row r="56" spans="1:12" ht="30.75" customHeight="1">
      <c r="A56" s="186"/>
      <c r="B56" s="187"/>
      <c r="C56" s="187" t="s">
        <v>164</v>
      </c>
      <c r="D56" s="187" t="s">
        <v>165</v>
      </c>
      <c r="E56" s="188"/>
      <c r="F56" s="189"/>
      <c r="G56" s="190"/>
      <c r="H56" s="186">
        <f>SUBTOTAL(9,H57:H161)</f>
        <v>0</v>
      </c>
      <c r="K56" s="186">
        <f>SUBTOTAL(9,K57:K161)</f>
        <v>0</v>
      </c>
      <c r="L56" s="186">
        <f>SUBTOTAL(9,L57:L161)</f>
        <v>0</v>
      </c>
    </row>
    <row r="57" spans="1:12" ht="28.5" customHeight="1">
      <c r="A57" s="191"/>
      <c r="B57" s="192"/>
      <c r="C57" s="192" t="s">
        <v>166</v>
      </c>
      <c r="D57" s="192" t="s">
        <v>167</v>
      </c>
      <c r="E57" s="193"/>
      <c r="F57" s="194"/>
      <c r="G57" s="195"/>
      <c r="H57" s="191">
        <f>SUBTOTAL(9,H58:H64)</f>
        <v>0</v>
      </c>
      <c r="K57" s="191">
        <f>SUBTOTAL(9,K58:K64)</f>
        <v>0</v>
      </c>
      <c r="L57" s="191">
        <f>SUBTOTAL(9,L58:L64)</f>
        <v>0</v>
      </c>
    </row>
    <row r="58" spans="1:12" ht="24" customHeight="1">
      <c r="A58" s="196">
        <v>16</v>
      </c>
      <c r="B58" s="197" t="s">
        <v>168</v>
      </c>
      <c r="C58" s="197" t="s">
        <v>169</v>
      </c>
      <c r="D58" s="197" t="s">
        <v>170</v>
      </c>
      <c r="E58" s="198" t="s">
        <v>171</v>
      </c>
      <c r="F58" s="199">
        <v>24</v>
      </c>
      <c r="G58" s="231"/>
      <c r="H58" s="200">
        <f aca="true" t="shared" si="4" ref="H58:H64">F58*G58</f>
        <v>0</v>
      </c>
      <c r="J58" s="201" t="str">
        <f>'1. Etapa D.1.1-Stavba'!J58</f>
        <v>N</v>
      </c>
      <c r="K58" s="200" t="str">
        <f aca="true" t="shared" si="5" ref="K58:K64">IF(J58="I",H58," ")</f>
        <v xml:space="preserve"> </v>
      </c>
      <c r="L58" s="200">
        <f aca="true" t="shared" si="6" ref="L58:L64">IF(J58="N",H58," ")</f>
        <v>0</v>
      </c>
    </row>
    <row r="59" spans="1:12" ht="24" customHeight="1">
      <c r="A59" s="196">
        <v>17</v>
      </c>
      <c r="B59" s="197" t="s">
        <v>168</v>
      </c>
      <c r="C59" s="197" t="s">
        <v>172</v>
      </c>
      <c r="D59" s="197" t="s">
        <v>173</v>
      </c>
      <c r="E59" s="198" t="s">
        <v>171</v>
      </c>
      <c r="F59" s="199">
        <v>24</v>
      </c>
      <c r="G59" s="231"/>
      <c r="H59" s="200">
        <f t="shared" si="4"/>
        <v>0</v>
      </c>
      <c r="J59" s="201" t="str">
        <f>'1. Etapa D.1.1-Stavba'!J59</f>
        <v>N</v>
      </c>
      <c r="K59" s="200" t="str">
        <f t="shared" si="5"/>
        <v xml:space="preserve"> </v>
      </c>
      <c r="L59" s="200">
        <f t="shared" si="6"/>
        <v>0</v>
      </c>
    </row>
    <row r="60" spans="1:12" ht="24" customHeight="1">
      <c r="A60" s="196">
        <v>18</v>
      </c>
      <c r="B60" s="197" t="s">
        <v>168</v>
      </c>
      <c r="C60" s="197" t="s">
        <v>174</v>
      </c>
      <c r="D60" s="197" t="s">
        <v>175</v>
      </c>
      <c r="E60" s="198" t="s">
        <v>171</v>
      </c>
      <c r="F60" s="199">
        <v>24</v>
      </c>
      <c r="G60" s="231"/>
      <c r="H60" s="200">
        <f t="shared" si="4"/>
        <v>0</v>
      </c>
      <c r="J60" s="201" t="str">
        <f>'1. Etapa D.1.1-Stavba'!J60</f>
        <v>N</v>
      </c>
      <c r="K60" s="200" t="str">
        <f t="shared" si="5"/>
        <v xml:space="preserve"> </v>
      </c>
      <c r="L60" s="200">
        <f t="shared" si="6"/>
        <v>0</v>
      </c>
    </row>
    <row r="61" spans="1:12" ht="24" customHeight="1">
      <c r="A61" s="196">
        <v>19</v>
      </c>
      <c r="B61" s="197" t="s">
        <v>168</v>
      </c>
      <c r="C61" s="197" t="s">
        <v>176</v>
      </c>
      <c r="D61" s="197" t="s">
        <v>177</v>
      </c>
      <c r="E61" s="198" t="s">
        <v>171</v>
      </c>
      <c r="F61" s="199">
        <v>24</v>
      </c>
      <c r="G61" s="231"/>
      <c r="H61" s="200">
        <f t="shared" si="4"/>
        <v>0</v>
      </c>
      <c r="J61" s="201" t="str">
        <f>'1. Etapa D.1.1-Stavba'!J61</f>
        <v>N</v>
      </c>
      <c r="K61" s="200" t="str">
        <f t="shared" si="5"/>
        <v xml:space="preserve"> </v>
      </c>
      <c r="L61" s="200">
        <f t="shared" si="6"/>
        <v>0</v>
      </c>
    </row>
    <row r="62" spans="1:12" ht="24" customHeight="1">
      <c r="A62" s="196">
        <v>20</v>
      </c>
      <c r="B62" s="197" t="s">
        <v>168</v>
      </c>
      <c r="C62" s="197" t="s">
        <v>178</v>
      </c>
      <c r="D62" s="197" t="s">
        <v>179</v>
      </c>
      <c r="E62" s="198" t="s">
        <v>171</v>
      </c>
      <c r="F62" s="199">
        <v>48</v>
      </c>
      <c r="G62" s="231"/>
      <c r="H62" s="200">
        <f t="shared" si="4"/>
        <v>0</v>
      </c>
      <c r="J62" s="201" t="str">
        <f>'1. Etapa D.1.1-Stavba'!J62</f>
        <v>N</v>
      </c>
      <c r="K62" s="200" t="str">
        <f t="shared" si="5"/>
        <v xml:space="preserve"> </v>
      </c>
      <c r="L62" s="200">
        <f t="shared" si="6"/>
        <v>0</v>
      </c>
    </row>
    <row r="63" spans="1:12" ht="24" customHeight="1">
      <c r="A63" s="196">
        <v>21</v>
      </c>
      <c r="B63" s="197" t="s">
        <v>168</v>
      </c>
      <c r="C63" s="197" t="s">
        <v>180</v>
      </c>
      <c r="D63" s="197" t="s">
        <v>181</v>
      </c>
      <c r="E63" s="198" t="s">
        <v>171</v>
      </c>
      <c r="F63" s="199">
        <v>24</v>
      </c>
      <c r="G63" s="231"/>
      <c r="H63" s="200">
        <f t="shared" si="4"/>
        <v>0</v>
      </c>
      <c r="J63" s="201" t="str">
        <f>'1. Etapa D.1.1-Stavba'!J63</f>
        <v>N</v>
      </c>
      <c r="K63" s="200" t="str">
        <f t="shared" si="5"/>
        <v xml:space="preserve"> </v>
      </c>
      <c r="L63" s="200">
        <f t="shared" si="6"/>
        <v>0</v>
      </c>
    </row>
    <row r="64" spans="1:12" ht="13.5" customHeight="1">
      <c r="A64" s="196">
        <v>22</v>
      </c>
      <c r="B64" s="197" t="s">
        <v>168</v>
      </c>
      <c r="C64" s="197" t="s">
        <v>182</v>
      </c>
      <c r="D64" s="197" t="s">
        <v>183</v>
      </c>
      <c r="E64" s="198" t="s">
        <v>184</v>
      </c>
      <c r="F64" s="199">
        <v>72</v>
      </c>
      <c r="G64" s="231"/>
      <c r="H64" s="200">
        <f t="shared" si="4"/>
        <v>0</v>
      </c>
      <c r="J64" s="201" t="str">
        <f>'1. Etapa D.1.1-Stavba'!J64</f>
        <v>N</v>
      </c>
      <c r="K64" s="200" t="str">
        <f t="shared" si="5"/>
        <v xml:space="preserve"> </v>
      </c>
      <c r="L64" s="200">
        <f t="shared" si="6"/>
        <v>0</v>
      </c>
    </row>
    <row r="65" spans="1:12" ht="28.5" customHeight="1">
      <c r="A65" s="191"/>
      <c r="B65" s="192"/>
      <c r="C65" s="192" t="s">
        <v>185</v>
      </c>
      <c r="D65" s="192" t="s">
        <v>186</v>
      </c>
      <c r="E65" s="193"/>
      <c r="F65" s="194"/>
      <c r="G65" s="195"/>
      <c r="H65" s="191">
        <f>SUBTOTAL(9,H66)</f>
        <v>0</v>
      </c>
      <c r="K65" s="191">
        <f>SUBTOTAL(9,K66)</f>
        <v>0</v>
      </c>
      <c r="L65" s="191">
        <f>SUBTOTAL(9,L66)</f>
        <v>0</v>
      </c>
    </row>
    <row r="66" spans="1:12" ht="13.5" customHeight="1">
      <c r="A66" s="196">
        <v>23</v>
      </c>
      <c r="B66" s="197" t="s">
        <v>185</v>
      </c>
      <c r="C66" s="197" t="s">
        <v>187</v>
      </c>
      <c r="D66" s="197" t="s">
        <v>188</v>
      </c>
      <c r="E66" s="198" t="s">
        <v>184</v>
      </c>
      <c r="F66" s="199">
        <v>24</v>
      </c>
      <c r="G66" s="231"/>
      <c r="H66" s="200">
        <f>F66*G66</f>
        <v>0</v>
      </c>
      <c r="J66" s="201" t="str">
        <f>'1. Etapa D.1.1-Stavba'!J66</f>
        <v>N</v>
      </c>
      <c r="K66" s="200" t="str">
        <f>IF(J66="I",H66," ")</f>
        <v xml:space="preserve"> </v>
      </c>
      <c r="L66" s="200">
        <f>IF(J66="N",H66," ")</f>
        <v>0</v>
      </c>
    </row>
    <row r="67" spans="1:12" ht="28.5" customHeight="1">
      <c r="A67" s="191"/>
      <c r="B67" s="192"/>
      <c r="C67" s="192" t="s">
        <v>189</v>
      </c>
      <c r="D67" s="192" t="s">
        <v>190</v>
      </c>
      <c r="E67" s="193"/>
      <c r="F67" s="194"/>
      <c r="G67" s="195"/>
      <c r="H67" s="191">
        <f>SUBTOTAL(9,H68:H89)</f>
        <v>0</v>
      </c>
      <c r="K67" s="191">
        <f>SUBTOTAL(9,K68:K89)</f>
        <v>0</v>
      </c>
      <c r="L67" s="191">
        <f>SUBTOTAL(9,L68:L89)</f>
        <v>0</v>
      </c>
    </row>
    <row r="68" spans="1:12" ht="24" customHeight="1">
      <c r="A68" s="196">
        <v>24</v>
      </c>
      <c r="B68" s="197" t="s">
        <v>189</v>
      </c>
      <c r="C68" s="197" t="s">
        <v>191</v>
      </c>
      <c r="D68" s="197" t="s">
        <v>192</v>
      </c>
      <c r="E68" s="198" t="s">
        <v>102</v>
      </c>
      <c r="F68" s="199">
        <f>SUM(F70:F71)</f>
        <v>93.92</v>
      </c>
      <c r="G68" s="231"/>
      <c r="H68" s="200">
        <f>F68*G68</f>
        <v>0</v>
      </c>
      <c r="J68" s="201" t="str">
        <f>'1. Etapa D.1.1-Stavba'!J68</f>
        <v>I</v>
      </c>
      <c r="K68" s="200">
        <f>IF(J68="I",H68," ")</f>
        <v>0</v>
      </c>
      <c r="L68" s="200" t="str">
        <f>IF(J68="N",H68," ")</f>
        <v xml:space="preserve"> </v>
      </c>
    </row>
    <row r="69" spans="1:12" ht="13.5" customHeight="1">
      <c r="A69" s="207"/>
      <c r="B69" s="208"/>
      <c r="C69" s="208"/>
      <c r="D69" s="208" t="s">
        <v>193</v>
      </c>
      <c r="E69" s="209"/>
      <c r="F69" s="210"/>
      <c r="G69" s="211"/>
      <c r="H69" s="211"/>
      <c r="K69" s="211"/>
      <c r="L69" s="211"/>
    </row>
    <row r="70" spans="1:8" ht="13.5" customHeight="1">
      <c r="A70" s="202"/>
      <c r="B70" s="203"/>
      <c r="C70" s="203"/>
      <c r="D70" s="203" t="s">
        <v>194</v>
      </c>
      <c r="E70" s="204"/>
      <c r="F70" s="205">
        <f>16*(2.93+1.24)</f>
        <v>66.72</v>
      </c>
      <c r="G70" s="206"/>
      <c r="H70" s="206"/>
    </row>
    <row r="71" spans="1:8" ht="13.5" customHeight="1">
      <c r="A71" s="202"/>
      <c r="B71" s="203"/>
      <c r="C71" s="203"/>
      <c r="D71" s="203" t="s">
        <v>195</v>
      </c>
      <c r="E71" s="204"/>
      <c r="F71" s="205">
        <v>27.2</v>
      </c>
      <c r="G71" s="206"/>
      <c r="H71" s="206"/>
    </row>
    <row r="72" spans="1:12" ht="13.5" customHeight="1">
      <c r="A72" s="196">
        <v>25</v>
      </c>
      <c r="B72" s="197" t="s">
        <v>189</v>
      </c>
      <c r="C72" s="197" t="s">
        <v>196</v>
      </c>
      <c r="D72" s="197" t="s">
        <v>197</v>
      </c>
      <c r="E72" s="198" t="s">
        <v>184</v>
      </c>
      <c r="F72" s="199">
        <v>72</v>
      </c>
      <c r="G72" s="231"/>
      <c r="H72" s="200">
        <f>F72*G72</f>
        <v>0</v>
      </c>
      <c r="J72" s="201" t="str">
        <f>'1. Etapa D.1.1-Stavba'!J72</f>
        <v>N</v>
      </c>
      <c r="K72" s="200" t="str">
        <f aca="true" t="shared" si="7" ref="K72:K75">IF(J72="I",H72," ")</f>
        <v xml:space="preserve"> </v>
      </c>
      <c r="L72" s="200">
        <f aca="true" t="shared" si="8" ref="L72:L75">IF(J72="N",H72," ")</f>
        <v>0</v>
      </c>
    </row>
    <row r="73" spans="1:12" ht="24" customHeight="1">
      <c r="A73" s="212">
        <v>26</v>
      </c>
      <c r="B73" s="213" t="s">
        <v>198</v>
      </c>
      <c r="C73" s="213" t="s">
        <v>199</v>
      </c>
      <c r="D73" s="213" t="s">
        <v>200</v>
      </c>
      <c r="E73" s="214" t="s">
        <v>184</v>
      </c>
      <c r="F73" s="215">
        <v>48</v>
      </c>
      <c r="G73" s="232"/>
      <c r="H73" s="216">
        <f>F73*G73</f>
        <v>0</v>
      </c>
      <c r="J73" s="201" t="str">
        <f>'1. Etapa D.1.1-Stavba'!J73</f>
        <v>N</v>
      </c>
      <c r="K73" s="200" t="str">
        <f t="shared" si="7"/>
        <v xml:space="preserve"> </v>
      </c>
      <c r="L73" s="200">
        <f t="shared" si="8"/>
        <v>0</v>
      </c>
    </row>
    <row r="74" spans="1:12" ht="24" customHeight="1">
      <c r="A74" s="212">
        <v>27</v>
      </c>
      <c r="B74" s="213" t="s">
        <v>198</v>
      </c>
      <c r="C74" s="213" t="s">
        <v>201</v>
      </c>
      <c r="D74" s="213" t="s">
        <v>202</v>
      </c>
      <c r="E74" s="214" t="s">
        <v>184</v>
      </c>
      <c r="F74" s="215">
        <v>24</v>
      </c>
      <c r="G74" s="232"/>
      <c r="H74" s="216">
        <f>F74*G74</f>
        <v>0</v>
      </c>
      <c r="J74" s="201" t="str">
        <f>'1. Etapa D.1.1-Stavba'!J74</f>
        <v>N</v>
      </c>
      <c r="K74" s="200" t="str">
        <f t="shared" si="7"/>
        <v xml:space="preserve"> </v>
      </c>
      <c r="L74" s="200">
        <f t="shared" si="8"/>
        <v>0</v>
      </c>
    </row>
    <row r="75" spans="1:12" ht="24" customHeight="1">
      <c r="A75" s="196">
        <v>28</v>
      </c>
      <c r="B75" s="197" t="s">
        <v>189</v>
      </c>
      <c r="C75" s="197" t="s">
        <v>203</v>
      </c>
      <c r="D75" s="197" t="s">
        <v>204</v>
      </c>
      <c r="E75" s="198" t="s">
        <v>102</v>
      </c>
      <c r="F75" s="199">
        <f>SUM(F76:F79)</f>
        <v>226.608</v>
      </c>
      <c r="G75" s="231"/>
      <c r="H75" s="200">
        <f>F75*G75</f>
        <v>0</v>
      </c>
      <c r="J75" s="201" t="str">
        <f>'1. Etapa D.1.1-Stavba'!J75</f>
        <v>N</v>
      </c>
      <c r="K75" s="200" t="str">
        <f t="shared" si="7"/>
        <v xml:space="preserve"> </v>
      </c>
      <c r="L75" s="200">
        <f t="shared" si="8"/>
        <v>0</v>
      </c>
    </row>
    <row r="76" spans="1:8" ht="13.5" customHeight="1">
      <c r="A76" s="202"/>
      <c r="B76" s="203"/>
      <c r="C76" s="203"/>
      <c r="D76" s="203" t="s">
        <v>205</v>
      </c>
      <c r="E76" s="204"/>
      <c r="F76" s="205">
        <f>16*(1.725+1.3+1.78)*2.8</f>
        <v>215.264</v>
      </c>
      <c r="G76" s="206"/>
      <c r="H76" s="206"/>
    </row>
    <row r="77" spans="1:8" ht="13.5" customHeight="1">
      <c r="A77" s="202"/>
      <c r="B77" s="203"/>
      <c r="C77" s="203"/>
      <c r="D77" s="203" t="s">
        <v>206</v>
      </c>
      <c r="E77" s="204"/>
      <c r="F77" s="205">
        <v>115.36</v>
      </c>
      <c r="G77" s="206"/>
      <c r="H77" s="206"/>
    </row>
    <row r="78" spans="1:8" ht="13.5" customHeight="1">
      <c r="A78" s="202"/>
      <c r="B78" s="203"/>
      <c r="C78" s="203"/>
      <c r="D78" s="203" t="s">
        <v>207</v>
      </c>
      <c r="E78" s="204"/>
      <c r="F78" s="205">
        <f>-0.7*1.97*48</f>
        <v>-66.19200000000001</v>
      </c>
      <c r="G78" s="206"/>
      <c r="H78" s="206"/>
    </row>
    <row r="79" spans="1:8" ht="13.5" customHeight="1">
      <c r="A79" s="202"/>
      <c r="B79" s="203"/>
      <c r="C79" s="203"/>
      <c r="D79" s="203" t="s">
        <v>208</v>
      </c>
      <c r="E79" s="204"/>
      <c r="F79" s="205">
        <f>-0.8*1.97*24</f>
        <v>-37.824</v>
      </c>
      <c r="G79" s="206"/>
      <c r="H79" s="206"/>
    </row>
    <row r="80" spans="1:12" ht="24" customHeight="1">
      <c r="A80" s="196">
        <v>29</v>
      </c>
      <c r="B80" s="197" t="s">
        <v>189</v>
      </c>
      <c r="C80" s="197" t="s">
        <v>209</v>
      </c>
      <c r="D80" s="197" t="s">
        <v>210</v>
      </c>
      <c r="E80" s="198" t="s">
        <v>102</v>
      </c>
      <c r="F80" s="199">
        <f>SUM(F81:F82)</f>
        <v>217.728</v>
      </c>
      <c r="G80" s="231"/>
      <c r="H80" s="200">
        <f>F80*G80</f>
        <v>0</v>
      </c>
      <c r="J80" s="201" t="str">
        <f>'1. Etapa D.1.1-Stavba'!J80</f>
        <v>N</v>
      </c>
      <c r="K80" s="200" t="str">
        <f>IF(J80="I",H80," ")</f>
        <v xml:space="preserve"> </v>
      </c>
      <c r="L80" s="200">
        <f>IF(J80="N",H80," ")</f>
        <v>0</v>
      </c>
    </row>
    <row r="81" spans="1:8" ht="13.5" customHeight="1">
      <c r="A81" s="202"/>
      <c r="B81" s="203"/>
      <c r="C81" s="203"/>
      <c r="D81" s="203" t="s">
        <v>211</v>
      </c>
      <c r="E81" s="204"/>
      <c r="F81" s="205">
        <f>16*(1.8+1.3)*2.8</f>
        <v>138.88</v>
      </c>
      <c r="G81" s="206"/>
      <c r="H81" s="206"/>
    </row>
    <row r="82" spans="1:8" ht="13.5" customHeight="1">
      <c r="A82" s="202"/>
      <c r="B82" s="203"/>
      <c r="C82" s="203"/>
      <c r="D82" s="203" t="s">
        <v>212</v>
      </c>
      <c r="E82" s="204"/>
      <c r="F82" s="205">
        <v>78.848</v>
      </c>
      <c r="G82" s="206"/>
      <c r="H82" s="206"/>
    </row>
    <row r="83" spans="1:12" ht="24" customHeight="1">
      <c r="A83" s="196">
        <v>30</v>
      </c>
      <c r="B83" s="197" t="s">
        <v>189</v>
      </c>
      <c r="C83" s="197" t="s">
        <v>213</v>
      </c>
      <c r="D83" s="197" t="s">
        <v>214</v>
      </c>
      <c r="E83" s="198" t="s">
        <v>102</v>
      </c>
      <c r="F83" s="199">
        <f>SUM(F84:F85)</f>
        <v>162.176</v>
      </c>
      <c r="G83" s="231"/>
      <c r="H83" s="200">
        <f>F83*G83</f>
        <v>0</v>
      </c>
      <c r="J83" s="201" t="str">
        <f>'1. Etapa D.1.1-Stavba'!J83</f>
        <v>N</v>
      </c>
      <c r="K83" s="200" t="str">
        <f>IF(J83="I",H83," ")</f>
        <v xml:space="preserve"> </v>
      </c>
      <c r="L83" s="200">
        <f>IF(J83="N",H83," ")</f>
        <v>0</v>
      </c>
    </row>
    <row r="84" spans="1:8" ht="13.5" customHeight="1">
      <c r="A84" s="202"/>
      <c r="B84" s="203"/>
      <c r="C84" s="203"/>
      <c r="D84" s="203" t="s">
        <v>215</v>
      </c>
      <c r="E84" s="204"/>
      <c r="F84" s="205">
        <f>16*2*(1+0.36)*2.8</f>
        <v>121.85599999999998</v>
      </c>
      <c r="G84" s="206"/>
      <c r="H84" s="206"/>
    </row>
    <row r="85" spans="1:8" ht="13.5" customHeight="1">
      <c r="A85" s="202"/>
      <c r="B85" s="203"/>
      <c r="C85" s="203"/>
      <c r="D85" s="203" t="s">
        <v>216</v>
      </c>
      <c r="E85" s="204"/>
      <c r="F85" s="205">
        <v>40.32</v>
      </c>
      <c r="G85" s="206"/>
      <c r="H85" s="206"/>
    </row>
    <row r="86" spans="1:12" ht="24" customHeight="1">
      <c r="A86" s="196">
        <v>31</v>
      </c>
      <c r="B86" s="197" t="s">
        <v>189</v>
      </c>
      <c r="C86" s="197" t="s">
        <v>217</v>
      </c>
      <c r="D86" s="197" t="s">
        <v>218</v>
      </c>
      <c r="E86" s="198" t="s">
        <v>102</v>
      </c>
      <c r="F86" s="199">
        <f>SUM(F87:F88)</f>
        <v>601.888</v>
      </c>
      <c r="G86" s="231"/>
      <c r="H86" s="200">
        <f>F86*G86</f>
        <v>0</v>
      </c>
      <c r="J86" s="201" t="str">
        <f>'1. Etapa D.1.1-Stavba'!J86</f>
        <v>N</v>
      </c>
      <c r="K86" s="200" t="str">
        <f>IF(J86="I",H86," ")</f>
        <v xml:space="preserve"> </v>
      </c>
      <c r="L86" s="200">
        <f>IF(J86="N",H86," ")</f>
        <v>0</v>
      </c>
    </row>
    <row r="87" spans="1:8" ht="13.5" customHeight="1">
      <c r="A87" s="202"/>
      <c r="B87" s="203"/>
      <c r="C87" s="203"/>
      <c r="D87" s="203" t="s">
        <v>219</v>
      </c>
      <c r="E87" s="204"/>
      <c r="F87" s="205">
        <f>16*(3*1.6+2.5+0.825)*2.8</f>
        <v>364</v>
      </c>
      <c r="G87" s="206"/>
      <c r="H87" s="206"/>
    </row>
    <row r="88" spans="1:8" ht="13.5" customHeight="1">
      <c r="A88" s="202"/>
      <c r="B88" s="203"/>
      <c r="C88" s="203"/>
      <c r="D88" s="203" t="s">
        <v>220</v>
      </c>
      <c r="E88" s="204"/>
      <c r="F88" s="205">
        <v>237.888</v>
      </c>
      <c r="G88" s="206"/>
      <c r="H88" s="206"/>
    </row>
    <row r="89" spans="1:12" ht="24" customHeight="1">
      <c r="A89" s="196">
        <v>32</v>
      </c>
      <c r="B89" s="197" t="s">
        <v>189</v>
      </c>
      <c r="C89" s="197" t="s">
        <v>221</v>
      </c>
      <c r="D89" s="197" t="s">
        <v>222</v>
      </c>
      <c r="E89" s="198" t="s">
        <v>152</v>
      </c>
      <c r="F89" s="199">
        <v>20.68486956521739</v>
      </c>
      <c r="G89" s="231"/>
      <c r="H89" s="200">
        <f>F89*G89</f>
        <v>0</v>
      </c>
      <c r="J89" s="201" t="str">
        <f>'1. Etapa D.1.1-Stavba'!J89</f>
        <v>N</v>
      </c>
      <c r="K89" s="200" t="str">
        <f>IF(J89="I",H89," ")</f>
        <v xml:space="preserve"> </v>
      </c>
      <c r="L89" s="200">
        <f>IF(J89="N",H89," ")</f>
        <v>0</v>
      </c>
    </row>
    <row r="90" spans="1:12" ht="28.5" customHeight="1">
      <c r="A90" s="191"/>
      <c r="B90" s="192"/>
      <c r="C90" s="192" t="s">
        <v>223</v>
      </c>
      <c r="D90" s="192" t="s">
        <v>224</v>
      </c>
      <c r="E90" s="193"/>
      <c r="F90" s="194"/>
      <c r="G90" s="195"/>
      <c r="H90" s="191">
        <f>SUBTOTAL(9,H91:H102)</f>
        <v>0</v>
      </c>
      <c r="K90" s="191">
        <f>SUBTOTAL(9,K91:K102)</f>
        <v>0</v>
      </c>
      <c r="L90" s="191">
        <f>SUBTOTAL(9,L91:L102)</f>
        <v>0</v>
      </c>
    </row>
    <row r="91" spans="1:12" ht="24" customHeight="1">
      <c r="A91" s="196">
        <v>33</v>
      </c>
      <c r="B91" s="197" t="s">
        <v>223</v>
      </c>
      <c r="C91" s="197" t="s">
        <v>225</v>
      </c>
      <c r="D91" s="197" t="s">
        <v>226</v>
      </c>
      <c r="E91" s="198" t="s">
        <v>184</v>
      </c>
      <c r="F91" s="199">
        <v>72</v>
      </c>
      <c r="G91" s="231"/>
      <c r="H91" s="200">
        <f aca="true" t="shared" si="9" ref="H91:H102">F91*G91</f>
        <v>0</v>
      </c>
      <c r="J91" s="201" t="str">
        <f>'1. Etapa D.1.1-Stavba'!J91</f>
        <v>N</v>
      </c>
      <c r="K91" s="200" t="str">
        <f aca="true" t="shared" si="10" ref="K91:K102">IF(J91="I",H91," ")</f>
        <v xml:space="preserve"> </v>
      </c>
      <c r="L91" s="200">
        <f aca="true" t="shared" si="11" ref="L91:L102">IF(J91="N",H91," ")</f>
        <v>0</v>
      </c>
    </row>
    <row r="92" spans="1:12" ht="24" customHeight="1">
      <c r="A92" s="212">
        <v>34</v>
      </c>
      <c r="B92" s="213" t="s">
        <v>227</v>
      </c>
      <c r="C92" s="213" t="s">
        <v>228</v>
      </c>
      <c r="D92" s="213" t="s">
        <v>229</v>
      </c>
      <c r="E92" s="214" t="s">
        <v>184</v>
      </c>
      <c r="F92" s="215">
        <v>48</v>
      </c>
      <c r="G92" s="232"/>
      <c r="H92" s="216">
        <f t="shared" si="9"/>
        <v>0</v>
      </c>
      <c r="J92" s="201" t="str">
        <f>'1. Etapa D.1.1-Stavba'!J92</f>
        <v>N</v>
      </c>
      <c r="K92" s="200" t="str">
        <f t="shared" si="10"/>
        <v xml:space="preserve"> </v>
      </c>
      <c r="L92" s="200">
        <f t="shared" si="11"/>
        <v>0</v>
      </c>
    </row>
    <row r="93" spans="1:12" ht="24" customHeight="1">
      <c r="A93" s="212">
        <v>35</v>
      </c>
      <c r="B93" s="213" t="s">
        <v>227</v>
      </c>
      <c r="C93" s="213" t="s">
        <v>230</v>
      </c>
      <c r="D93" s="213" t="s">
        <v>231</v>
      </c>
      <c r="E93" s="214" t="s">
        <v>184</v>
      </c>
      <c r="F93" s="215">
        <v>24</v>
      </c>
      <c r="G93" s="232"/>
      <c r="H93" s="216">
        <f t="shared" si="9"/>
        <v>0</v>
      </c>
      <c r="J93" s="201" t="str">
        <f>'1. Etapa D.1.1-Stavba'!J93</f>
        <v>N</v>
      </c>
      <c r="K93" s="200" t="str">
        <f t="shared" si="10"/>
        <v xml:space="preserve"> </v>
      </c>
      <c r="L93" s="200">
        <f t="shared" si="11"/>
        <v>0</v>
      </c>
    </row>
    <row r="94" spans="1:12" ht="13.5" customHeight="1">
      <c r="A94" s="196">
        <v>36</v>
      </c>
      <c r="B94" s="197" t="s">
        <v>223</v>
      </c>
      <c r="C94" s="197" t="s">
        <v>232</v>
      </c>
      <c r="D94" s="197" t="s">
        <v>233</v>
      </c>
      <c r="E94" s="198" t="s">
        <v>184</v>
      </c>
      <c r="F94" s="199">
        <v>24</v>
      </c>
      <c r="G94" s="231"/>
      <c r="H94" s="200">
        <f t="shared" si="9"/>
        <v>0</v>
      </c>
      <c r="J94" s="201" t="str">
        <f>'1. Etapa D.1.1-Stavba'!J94</f>
        <v>N</v>
      </c>
      <c r="K94" s="200" t="str">
        <f t="shared" si="10"/>
        <v xml:space="preserve"> </v>
      </c>
      <c r="L94" s="200">
        <f t="shared" si="11"/>
        <v>0</v>
      </c>
    </row>
    <row r="95" spans="1:12" ht="13.5" customHeight="1">
      <c r="A95" s="212">
        <v>37</v>
      </c>
      <c r="B95" s="213" t="s">
        <v>234</v>
      </c>
      <c r="C95" s="213" t="s">
        <v>235</v>
      </c>
      <c r="D95" s="213" t="s">
        <v>236</v>
      </c>
      <c r="E95" s="214" t="s">
        <v>184</v>
      </c>
      <c r="F95" s="215">
        <v>24</v>
      </c>
      <c r="G95" s="232"/>
      <c r="H95" s="216">
        <f t="shared" si="9"/>
        <v>0</v>
      </c>
      <c r="J95" s="201" t="str">
        <f>'1. Etapa D.1.1-Stavba'!J95</f>
        <v>N</v>
      </c>
      <c r="K95" s="200" t="str">
        <f t="shared" si="10"/>
        <v xml:space="preserve"> </v>
      </c>
      <c r="L95" s="200">
        <f t="shared" si="11"/>
        <v>0</v>
      </c>
    </row>
    <row r="96" spans="1:12" ht="13.5" customHeight="1">
      <c r="A96" s="196">
        <v>38</v>
      </c>
      <c r="B96" s="197" t="s">
        <v>223</v>
      </c>
      <c r="C96" s="197" t="s">
        <v>237</v>
      </c>
      <c r="D96" s="197" t="s">
        <v>238</v>
      </c>
      <c r="E96" s="198" t="s">
        <v>184</v>
      </c>
      <c r="F96" s="199">
        <v>48</v>
      </c>
      <c r="G96" s="231"/>
      <c r="H96" s="200">
        <f t="shared" si="9"/>
        <v>0</v>
      </c>
      <c r="J96" s="201" t="str">
        <f>'1. Etapa D.1.1-Stavba'!J96</f>
        <v>N</v>
      </c>
      <c r="K96" s="200" t="str">
        <f t="shared" si="10"/>
        <v xml:space="preserve"> </v>
      </c>
      <c r="L96" s="200">
        <f t="shared" si="11"/>
        <v>0</v>
      </c>
    </row>
    <row r="97" spans="1:12" ht="13.5" customHeight="1">
      <c r="A97" s="212">
        <v>39</v>
      </c>
      <c r="B97" s="213" t="s">
        <v>234</v>
      </c>
      <c r="C97" s="213" t="s">
        <v>239</v>
      </c>
      <c r="D97" s="213" t="s">
        <v>240</v>
      </c>
      <c r="E97" s="214" t="s">
        <v>184</v>
      </c>
      <c r="F97" s="215">
        <v>48</v>
      </c>
      <c r="G97" s="232"/>
      <c r="H97" s="216">
        <f t="shared" si="9"/>
        <v>0</v>
      </c>
      <c r="J97" s="201" t="str">
        <f>'1. Etapa D.1.1-Stavba'!J97</f>
        <v>N</v>
      </c>
      <c r="K97" s="200" t="str">
        <f t="shared" si="10"/>
        <v xml:space="preserve"> </v>
      </c>
      <c r="L97" s="200">
        <f t="shared" si="11"/>
        <v>0</v>
      </c>
    </row>
    <row r="98" spans="1:12" ht="13.5" customHeight="1">
      <c r="A98" s="196">
        <v>40</v>
      </c>
      <c r="B98" s="197" t="s">
        <v>223</v>
      </c>
      <c r="C98" s="197" t="s">
        <v>241</v>
      </c>
      <c r="D98" s="197" t="s">
        <v>242</v>
      </c>
      <c r="E98" s="198" t="s">
        <v>184</v>
      </c>
      <c r="F98" s="199">
        <v>48</v>
      </c>
      <c r="G98" s="231"/>
      <c r="H98" s="200">
        <f t="shared" si="9"/>
        <v>0</v>
      </c>
      <c r="J98" s="201" t="str">
        <f>'1. Etapa D.1.1-Stavba'!J98</f>
        <v>N</v>
      </c>
      <c r="K98" s="200" t="str">
        <f t="shared" si="10"/>
        <v xml:space="preserve"> </v>
      </c>
      <c r="L98" s="200">
        <f t="shared" si="11"/>
        <v>0</v>
      </c>
    </row>
    <row r="99" spans="1:12" ht="24" customHeight="1">
      <c r="A99" s="196">
        <v>41</v>
      </c>
      <c r="B99" s="197" t="s">
        <v>223</v>
      </c>
      <c r="C99" s="197" t="s">
        <v>243</v>
      </c>
      <c r="D99" s="197" t="s">
        <v>244</v>
      </c>
      <c r="E99" s="198" t="s">
        <v>184</v>
      </c>
      <c r="F99" s="199">
        <v>24</v>
      </c>
      <c r="G99" s="231"/>
      <c r="H99" s="200">
        <f t="shared" si="9"/>
        <v>0</v>
      </c>
      <c r="J99" s="201" t="str">
        <f>'1. Etapa D.1.1-Stavba'!J99</f>
        <v>N</v>
      </c>
      <c r="K99" s="200" t="str">
        <f t="shared" si="10"/>
        <v xml:space="preserve"> </v>
      </c>
      <c r="L99" s="200">
        <f t="shared" si="11"/>
        <v>0</v>
      </c>
    </row>
    <row r="100" spans="1:12" ht="13.5" customHeight="1">
      <c r="A100" s="196">
        <v>42</v>
      </c>
      <c r="B100" s="197" t="s">
        <v>223</v>
      </c>
      <c r="C100" s="197" t="s">
        <v>245</v>
      </c>
      <c r="D100" s="197" t="s">
        <v>246</v>
      </c>
      <c r="E100" s="198" t="s">
        <v>184</v>
      </c>
      <c r="F100" s="199">
        <v>1</v>
      </c>
      <c r="G100" s="231"/>
      <c r="H100" s="200">
        <f t="shared" si="9"/>
        <v>0</v>
      </c>
      <c r="J100" s="201" t="str">
        <f>'1. Etapa D.1.1-Stavba'!J100</f>
        <v>N</v>
      </c>
      <c r="K100" s="200" t="str">
        <f t="shared" si="10"/>
        <v xml:space="preserve"> </v>
      </c>
      <c r="L100" s="200">
        <f t="shared" si="11"/>
        <v>0</v>
      </c>
    </row>
    <row r="101" spans="1:12" ht="13.5" customHeight="1">
      <c r="A101" s="196">
        <v>43</v>
      </c>
      <c r="B101" s="197" t="s">
        <v>247</v>
      </c>
      <c r="C101" s="197" t="s">
        <v>248</v>
      </c>
      <c r="D101" s="197" t="s">
        <v>249</v>
      </c>
      <c r="E101" s="198" t="s">
        <v>184</v>
      </c>
      <c r="F101" s="199">
        <v>24</v>
      </c>
      <c r="G101" s="231"/>
      <c r="H101" s="200">
        <f t="shared" si="9"/>
        <v>0</v>
      </c>
      <c r="J101" s="201" t="str">
        <f>'1. Etapa D.1.1-Stavba'!J101</f>
        <v>N</v>
      </c>
      <c r="K101" s="200" t="str">
        <f t="shared" si="10"/>
        <v xml:space="preserve"> </v>
      </c>
      <c r="L101" s="200">
        <f t="shared" si="11"/>
        <v>0</v>
      </c>
    </row>
    <row r="102" spans="1:12" ht="20.4">
      <c r="A102" s="196">
        <v>44</v>
      </c>
      <c r="B102" s="197" t="s">
        <v>223</v>
      </c>
      <c r="C102" s="197" t="s">
        <v>250</v>
      </c>
      <c r="D102" s="197" t="s">
        <v>251</v>
      </c>
      <c r="E102" s="198" t="s">
        <v>152</v>
      </c>
      <c r="F102" s="199">
        <v>1.2386086956521738</v>
      </c>
      <c r="G102" s="231"/>
      <c r="H102" s="200">
        <f t="shared" si="9"/>
        <v>0</v>
      </c>
      <c r="J102" s="201" t="str">
        <f>'1. Etapa D.1.1-Stavba'!J102</f>
        <v>N</v>
      </c>
      <c r="K102" s="200" t="str">
        <f t="shared" si="10"/>
        <v xml:space="preserve"> </v>
      </c>
      <c r="L102" s="200">
        <f t="shared" si="11"/>
        <v>0</v>
      </c>
    </row>
    <row r="103" spans="1:12" ht="28.5" customHeight="1">
      <c r="A103" s="191"/>
      <c r="B103" s="192"/>
      <c r="C103" s="192" t="s">
        <v>252</v>
      </c>
      <c r="D103" s="192" t="s">
        <v>253</v>
      </c>
      <c r="E103" s="193"/>
      <c r="F103" s="194"/>
      <c r="G103" s="195"/>
      <c r="H103" s="191">
        <f>SUBTOTAL(9,H104:H114)</f>
        <v>0</v>
      </c>
      <c r="K103" s="191">
        <f>SUBTOTAL(9,K104:K114)</f>
        <v>0</v>
      </c>
      <c r="L103" s="191">
        <f>SUBTOTAL(9,L104:L114)</f>
        <v>0</v>
      </c>
    </row>
    <row r="104" spans="1:12" ht="13.5" customHeight="1">
      <c r="A104" s="196">
        <v>45</v>
      </c>
      <c r="B104" s="197" t="s">
        <v>252</v>
      </c>
      <c r="C104" s="197" t="s">
        <v>254</v>
      </c>
      <c r="D104" s="197" t="s">
        <v>255</v>
      </c>
      <c r="E104" s="198" t="s">
        <v>102</v>
      </c>
      <c r="F104" s="199">
        <v>93.92</v>
      </c>
      <c r="G104" s="231"/>
      <c r="H104" s="200">
        <f>F104*G104</f>
        <v>0</v>
      </c>
      <c r="J104" s="201" t="str">
        <f>'1. Etapa D.1.1-Stavba'!J104</f>
        <v>N</v>
      </c>
      <c r="K104" s="200" t="str">
        <f aca="true" t="shared" si="12" ref="K104:K105">IF(J104="I",H104," ")</f>
        <v xml:space="preserve"> </v>
      </c>
      <c r="L104" s="200">
        <f aca="true" t="shared" si="13" ref="L104:L105">IF(J104="N",H104," ")</f>
        <v>0</v>
      </c>
    </row>
    <row r="105" spans="1:12" ht="13.5" customHeight="1">
      <c r="A105" s="196">
        <v>46</v>
      </c>
      <c r="B105" s="197" t="s">
        <v>252</v>
      </c>
      <c r="C105" s="197" t="s">
        <v>256</v>
      </c>
      <c r="D105" s="197" t="s">
        <v>257</v>
      </c>
      <c r="E105" s="198" t="s">
        <v>102</v>
      </c>
      <c r="F105" s="199">
        <f>F106</f>
        <v>84.96000000000001</v>
      </c>
      <c r="G105" s="231"/>
      <c r="H105" s="200">
        <f>F105*G105</f>
        <v>0</v>
      </c>
      <c r="J105" s="201" t="str">
        <f>'1. Etapa D.1.1-Stavba'!J105</f>
        <v>N</v>
      </c>
      <c r="K105" s="200" t="str">
        <f t="shared" si="12"/>
        <v xml:space="preserve"> </v>
      </c>
      <c r="L105" s="200">
        <f t="shared" si="13"/>
        <v>0</v>
      </c>
    </row>
    <row r="106" spans="1:8" ht="13.5" customHeight="1">
      <c r="A106" s="202"/>
      <c r="B106" s="203"/>
      <c r="C106" s="203"/>
      <c r="D106" s="203" t="s">
        <v>258</v>
      </c>
      <c r="E106" s="204"/>
      <c r="F106" s="205">
        <f>24*(2.56+0.98)</f>
        <v>84.96000000000001</v>
      </c>
      <c r="G106" s="206"/>
      <c r="H106" s="206"/>
    </row>
    <row r="107" spans="1:12" ht="24" customHeight="1">
      <c r="A107" s="196">
        <v>47</v>
      </c>
      <c r="B107" s="197" t="s">
        <v>259</v>
      </c>
      <c r="C107" s="197" t="s">
        <v>260</v>
      </c>
      <c r="D107" s="197" t="s">
        <v>261</v>
      </c>
      <c r="E107" s="198" t="s">
        <v>102</v>
      </c>
      <c r="F107" s="199">
        <v>93.92</v>
      </c>
      <c r="G107" s="231"/>
      <c r="H107" s="200">
        <f>F107*G107</f>
        <v>0</v>
      </c>
      <c r="J107" s="201" t="str">
        <f>'1. Etapa D.1.1-Stavba'!J107</f>
        <v>I</v>
      </c>
      <c r="K107" s="200">
        <f aca="true" t="shared" si="14" ref="K107:K108">IF(J107="I",H107," ")</f>
        <v>0</v>
      </c>
      <c r="L107" s="200" t="str">
        <f aca="true" t="shared" si="15" ref="L107:L108">IF(J107="N",H107," ")</f>
        <v xml:space="preserve"> </v>
      </c>
    </row>
    <row r="108" spans="1:12" ht="24" customHeight="1">
      <c r="A108" s="196">
        <v>48</v>
      </c>
      <c r="B108" s="197" t="s">
        <v>252</v>
      </c>
      <c r="C108" s="197" t="s">
        <v>262</v>
      </c>
      <c r="D108" s="197" t="s">
        <v>263</v>
      </c>
      <c r="E108" s="198" t="s">
        <v>102</v>
      </c>
      <c r="F108" s="199">
        <f>SUM(F109:F110)</f>
        <v>93.92</v>
      </c>
      <c r="G108" s="231"/>
      <c r="H108" s="200">
        <f>F108*G108</f>
        <v>0</v>
      </c>
      <c r="J108" s="201" t="str">
        <f>'1. Etapa D.1.1-Stavba'!J108</f>
        <v>N</v>
      </c>
      <c r="K108" s="200" t="str">
        <f t="shared" si="14"/>
        <v xml:space="preserve"> </v>
      </c>
      <c r="L108" s="200">
        <f t="shared" si="15"/>
        <v>0</v>
      </c>
    </row>
    <row r="109" spans="1:8" ht="13.5" customHeight="1">
      <c r="A109" s="202"/>
      <c r="B109" s="203"/>
      <c r="C109" s="203"/>
      <c r="D109" s="203" t="s">
        <v>194</v>
      </c>
      <c r="E109" s="204"/>
      <c r="F109" s="205">
        <f>16*(2.93+1.24)</f>
        <v>66.72</v>
      </c>
      <c r="G109" s="206"/>
      <c r="H109" s="206"/>
    </row>
    <row r="110" spans="1:8" ht="13.5" customHeight="1">
      <c r="A110" s="202"/>
      <c r="B110" s="203"/>
      <c r="C110" s="203"/>
      <c r="D110" s="203" t="s">
        <v>195</v>
      </c>
      <c r="E110" s="204"/>
      <c r="F110" s="205">
        <v>27.2</v>
      </c>
      <c r="G110" s="206"/>
      <c r="H110" s="206"/>
    </row>
    <row r="111" spans="1:12" ht="24" customHeight="1">
      <c r="A111" s="212">
        <v>49</v>
      </c>
      <c r="B111" s="213" t="s">
        <v>264</v>
      </c>
      <c r="C111" s="213" t="s">
        <v>265</v>
      </c>
      <c r="D111" s="213" t="s">
        <v>266</v>
      </c>
      <c r="E111" s="214" t="s">
        <v>102</v>
      </c>
      <c r="F111" s="215">
        <f>F112</f>
        <v>103.31200000000001</v>
      </c>
      <c r="G111" s="232"/>
      <c r="H111" s="216">
        <f>F111*G111</f>
        <v>0</v>
      </c>
      <c r="J111" s="201" t="str">
        <f>'1. Etapa D.1.1-Stavba'!J111</f>
        <v>N</v>
      </c>
      <c r="K111" s="200" t="str">
        <f>IF(J111="I",H111," ")</f>
        <v xml:space="preserve"> </v>
      </c>
      <c r="L111" s="200">
        <f>IF(J111="N",H111," ")</f>
        <v>0</v>
      </c>
    </row>
    <row r="112" spans="1:8" ht="13.5" customHeight="1">
      <c r="A112" s="217"/>
      <c r="B112" s="218"/>
      <c r="C112" s="218"/>
      <c r="D112" s="218" t="s">
        <v>267</v>
      </c>
      <c r="E112" s="219"/>
      <c r="F112" s="220">
        <f>93.92*1.1</f>
        <v>103.31200000000001</v>
      </c>
      <c r="G112" s="221"/>
      <c r="H112" s="221"/>
    </row>
    <row r="113" spans="1:12" ht="13.5" customHeight="1">
      <c r="A113" s="196">
        <v>50</v>
      </c>
      <c r="B113" s="197" t="s">
        <v>252</v>
      </c>
      <c r="C113" s="197" t="s">
        <v>268</v>
      </c>
      <c r="D113" s="197" t="s">
        <v>269</v>
      </c>
      <c r="E113" s="198" t="s">
        <v>102</v>
      </c>
      <c r="F113" s="199">
        <v>93.92</v>
      </c>
      <c r="G113" s="231"/>
      <c r="H113" s="200">
        <f>F113*G113</f>
        <v>0</v>
      </c>
      <c r="J113" s="201" t="str">
        <f>'1. Etapa D.1.1-Stavba'!J113</f>
        <v>N</v>
      </c>
      <c r="K113" s="200" t="str">
        <f aca="true" t="shared" si="16" ref="K113:K114">IF(J113="I",H113," ")</f>
        <v xml:space="preserve"> </v>
      </c>
      <c r="L113" s="200">
        <f aca="true" t="shared" si="17" ref="L113:L114">IF(J113="N",H113," ")</f>
        <v>0</v>
      </c>
    </row>
    <row r="114" spans="1:12" ht="24" customHeight="1">
      <c r="A114" s="196">
        <v>51</v>
      </c>
      <c r="B114" s="197" t="s">
        <v>252</v>
      </c>
      <c r="C114" s="197" t="s">
        <v>270</v>
      </c>
      <c r="D114" s="197" t="s">
        <v>271</v>
      </c>
      <c r="E114" s="198" t="s">
        <v>152</v>
      </c>
      <c r="F114" s="199">
        <v>2.921739130434782</v>
      </c>
      <c r="G114" s="231"/>
      <c r="H114" s="200">
        <f>F114*G114</f>
        <v>0</v>
      </c>
      <c r="J114" s="201" t="str">
        <f>'1. Etapa D.1.1-Stavba'!J114</f>
        <v>N</v>
      </c>
      <c r="K114" s="200" t="str">
        <f t="shared" si="16"/>
        <v xml:space="preserve"> </v>
      </c>
      <c r="L114" s="200">
        <f t="shared" si="17"/>
        <v>0</v>
      </c>
    </row>
    <row r="115" spans="1:12" ht="28.5" customHeight="1">
      <c r="A115" s="191"/>
      <c r="B115" s="192"/>
      <c r="C115" s="192" t="s">
        <v>259</v>
      </c>
      <c r="D115" s="192" t="s">
        <v>272</v>
      </c>
      <c r="E115" s="193"/>
      <c r="F115" s="194"/>
      <c r="G115" s="195"/>
      <c r="H115" s="191">
        <f>SUBTOTAL(9,H116:H134)</f>
        <v>0</v>
      </c>
      <c r="K115" s="191">
        <f>SUBTOTAL(9,K116:K134)</f>
        <v>0</v>
      </c>
      <c r="L115" s="191">
        <f>SUBTOTAL(9,L116:L134)</f>
        <v>0</v>
      </c>
    </row>
    <row r="116" spans="1:12" ht="13.5" customHeight="1">
      <c r="A116" s="196">
        <v>52</v>
      </c>
      <c r="B116" s="197" t="s">
        <v>259</v>
      </c>
      <c r="C116" s="197" t="s">
        <v>273</v>
      </c>
      <c r="D116" s="197" t="s">
        <v>274</v>
      </c>
      <c r="E116" s="198" t="s">
        <v>102</v>
      </c>
      <c r="F116" s="199">
        <v>404.88000000000005</v>
      </c>
      <c r="G116" s="231"/>
      <c r="H116" s="200">
        <f>F116*G116</f>
        <v>0</v>
      </c>
      <c r="J116" s="201" t="str">
        <f>'1. Etapa D.1.1-Stavba'!J116</f>
        <v>N</v>
      </c>
      <c r="K116" s="200" t="str">
        <f aca="true" t="shared" si="18" ref="K116:K120">IF(J116="I",H116," ")</f>
        <v xml:space="preserve"> </v>
      </c>
      <c r="L116" s="200">
        <f aca="true" t="shared" si="19" ref="L116:L120">IF(J116="N",H116," ")</f>
        <v>0</v>
      </c>
    </row>
    <row r="117" spans="1:12" ht="13.5" customHeight="1">
      <c r="A117" s="196">
        <v>53</v>
      </c>
      <c r="B117" s="197" t="s">
        <v>259</v>
      </c>
      <c r="C117" s="197" t="s">
        <v>275</v>
      </c>
      <c r="D117" s="197" t="s">
        <v>276</v>
      </c>
      <c r="E117" s="198" t="s">
        <v>102</v>
      </c>
      <c r="F117" s="199">
        <v>404.88000000000005</v>
      </c>
      <c r="G117" s="231"/>
      <c r="H117" s="200">
        <f>F117*G117</f>
        <v>0</v>
      </c>
      <c r="J117" s="201" t="str">
        <f>'1. Etapa D.1.1-Stavba'!J117</f>
        <v>N</v>
      </c>
      <c r="K117" s="200" t="str">
        <f t="shared" si="18"/>
        <v xml:space="preserve"> </v>
      </c>
      <c r="L117" s="200">
        <f t="shared" si="19"/>
        <v>0</v>
      </c>
    </row>
    <row r="118" spans="1:12" ht="13.5" customHeight="1">
      <c r="A118" s="196">
        <v>54</v>
      </c>
      <c r="B118" s="197" t="s">
        <v>259</v>
      </c>
      <c r="C118" s="197" t="s">
        <v>277</v>
      </c>
      <c r="D118" s="197" t="s">
        <v>278</v>
      </c>
      <c r="E118" s="198" t="s">
        <v>102</v>
      </c>
      <c r="F118" s="199">
        <v>404.88000000000005</v>
      </c>
      <c r="G118" s="231"/>
      <c r="H118" s="200">
        <f>F118*G118</f>
        <v>0</v>
      </c>
      <c r="J118" s="201" t="str">
        <f>'1. Etapa D.1.1-Stavba'!J118</f>
        <v>N</v>
      </c>
      <c r="K118" s="200" t="str">
        <f t="shared" si="18"/>
        <v xml:space="preserve"> </v>
      </c>
      <c r="L118" s="200">
        <f t="shared" si="19"/>
        <v>0</v>
      </c>
    </row>
    <row r="119" spans="1:12" ht="24" customHeight="1">
      <c r="A119" s="196">
        <v>55</v>
      </c>
      <c r="B119" s="197" t="s">
        <v>259</v>
      </c>
      <c r="C119" s="197" t="s">
        <v>279</v>
      </c>
      <c r="D119" s="197" t="s">
        <v>280</v>
      </c>
      <c r="E119" s="198" t="s">
        <v>102</v>
      </c>
      <c r="F119" s="199">
        <v>404.88000000000005</v>
      </c>
      <c r="G119" s="231"/>
      <c r="H119" s="200">
        <f>F119*G119</f>
        <v>0</v>
      </c>
      <c r="J119" s="201" t="str">
        <f>'1. Etapa D.1.1-Stavba'!J119</f>
        <v>I</v>
      </c>
      <c r="K119" s="200">
        <f t="shared" si="18"/>
        <v>0</v>
      </c>
      <c r="L119" s="200" t="str">
        <f t="shared" si="19"/>
        <v xml:space="preserve"> </v>
      </c>
    </row>
    <row r="120" spans="1:12" ht="13.5" customHeight="1">
      <c r="A120" s="196">
        <v>56</v>
      </c>
      <c r="B120" s="197" t="s">
        <v>259</v>
      </c>
      <c r="C120" s="197" t="s">
        <v>281</v>
      </c>
      <c r="D120" s="197" t="s">
        <v>282</v>
      </c>
      <c r="E120" s="198" t="s">
        <v>102</v>
      </c>
      <c r="F120" s="199">
        <f>F121</f>
        <v>424.15999999999997</v>
      </c>
      <c r="G120" s="231"/>
      <c r="H120" s="200">
        <f>F120*G120</f>
        <v>0</v>
      </c>
      <c r="J120" s="201" t="str">
        <f>'1. Etapa D.1.1-Stavba'!J120</f>
        <v>N</v>
      </c>
      <c r="K120" s="200" t="str">
        <f t="shared" si="18"/>
        <v xml:space="preserve"> </v>
      </c>
      <c r="L120" s="200">
        <f t="shared" si="19"/>
        <v>0</v>
      </c>
    </row>
    <row r="121" spans="1:8" ht="13.5" customHeight="1">
      <c r="A121" s="202"/>
      <c r="B121" s="203"/>
      <c r="C121" s="203"/>
      <c r="D121" s="203" t="s">
        <v>283</v>
      </c>
      <c r="E121" s="204"/>
      <c r="F121" s="205">
        <f>16*(6.24+12.26)+8*(7.96+8.06)</f>
        <v>424.15999999999997</v>
      </c>
      <c r="G121" s="206"/>
      <c r="H121" s="206"/>
    </row>
    <row r="122" spans="1:12" ht="13.5" customHeight="1">
      <c r="A122" s="196">
        <v>57</v>
      </c>
      <c r="B122" s="197" t="s">
        <v>259</v>
      </c>
      <c r="C122" s="197" t="s">
        <v>284</v>
      </c>
      <c r="D122" s="197" t="s">
        <v>285</v>
      </c>
      <c r="E122" s="198" t="s">
        <v>102</v>
      </c>
      <c r="F122" s="199">
        <f>SUM(F123:F124)</f>
        <v>404.88000000000005</v>
      </c>
      <c r="G122" s="231"/>
      <c r="H122" s="200">
        <f>F122*G122</f>
        <v>0</v>
      </c>
      <c r="J122" s="201" t="str">
        <f>'1. Etapa D.1.1-Stavba'!J122</f>
        <v>N</v>
      </c>
      <c r="K122" s="200" t="str">
        <f>IF(J122="I",H122," ")</f>
        <v xml:space="preserve"> </v>
      </c>
      <c r="L122" s="200">
        <f>IF(J122="N",H122," ")</f>
        <v>0</v>
      </c>
    </row>
    <row r="123" spans="1:8" ht="13.5" customHeight="1">
      <c r="A123" s="202"/>
      <c r="B123" s="203"/>
      <c r="C123" s="203"/>
      <c r="D123" s="203" t="s">
        <v>113</v>
      </c>
      <c r="E123" s="204"/>
      <c r="F123" s="205">
        <f>16*(6.24+11.14)</f>
        <v>278.08000000000004</v>
      </c>
      <c r="G123" s="206"/>
      <c r="H123" s="206"/>
    </row>
    <row r="124" spans="1:8" ht="13.5" customHeight="1">
      <c r="A124" s="202"/>
      <c r="B124" s="203"/>
      <c r="C124" s="203"/>
      <c r="D124" s="203" t="s">
        <v>114</v>
      </c>
      <c r="E124" s="204"/>
      <c r="F124" s="205">
        <v>126.8</v>
      </c>
      <c r="G124" s="206"/>
      <c r="H124" s="206"/>
    </row>
    <row r="125" spans="1:12" ht="24" customHeight="1">
      <c r="A125" s="212">
        <v>58</v>
      </c>
      <c r="B125" s="213" t="s">
        <v>286</v>
      </c>
      <c r="C125" s="213" t="s">
        <v>287</v>
      </c>
      <c r="D125" s="213" t="s">
        <v>288</v>
      </c>
      <c r="E125" s="214" t="s">
        <v>102</v>
      </c>
      <c r="F125" s="215">
        <f>F126</f>
        <v>445.36800000000005</v>
      </c>
      <c r="G125" s="232"/>
      <c r="H125" s="216">
        <f>F125*G125</f>
        <v>0</v>
      </c>
      <c r="J125" s="201" t="str">
        <f>'1. Etapa D.1.1-Stavba'!J125</f>
        <v>N</v>
      </c>
      <c r="K125" s="200" t="str">
        <f>IF(J125="I",H125," ")</f>
        <v xml:space="preserve"> </v>
      </c>
      <c r="L125" s="200">
        <f>IF(J125="N",H125," ")</f>
        <v>0</v>
      </c>
    </row>
    <row r="126" spans="1:8" ht="13.5" customHeight="1">
      <c r="A126" s="217"/>
      <c r="B126" s="218"/>
      <c r="C126" s="218"/>
      <c r="D126" s="218" t="s">
        <v>289</v>
      </c>
      <c r="E126" s="219"/>
      <c r="F126" s="220">
        <f>404.88*1.1</f>
        <v>445.36800000000005</v>
      </c>
      <c r="G126" s="221"/>
      <c r="H126" s="221"/>
    </row>
    <row r="127" spans="1:12" ht="13.5" customHeight="1">
      <c r="A127" s="196">
        <v>59</v>
      </c>
      <c r="B127" s="197" t="s">
        <v>259</v>
      </c>
      <c r="C127" s="197" t="s">
        <v>290</v>
      </c>
      <c r="D127" s="197" t="s">
        <v>291</v>
      </c>
      <c r="E127" s="198" t="s">
        <v>292</v>
      </c>
      <c r="F127" s="199">
        <f>F128+F129+F130+F131</f>
        <v>195.60000000000005</v>
      </c>
      <c r="G127" s="231"/>
      <c r="H127" s="200">
        <f>F127*G127</f>
        <v>0</v>
      </c>
      <c r="J127" s="201" t="str">
        <f>'1. Etapa D.1.1-Stavba'!J127</f>
        <v>N</v>
      </c>
      <c r="K127" s="200" t="str">
        <f>IF(J127="I",H127," ")</f>
        <v xml:space="preserve"> </v>
      </c>
      <c r="L127" s="200">
        <f>IF(J127="N",H127," ")</f>
        <v>0</v>
      </c>
    </row>
    <row r="128" spans="1:8" ht="13.5" customHeight="1">
      <c r="A128" s="202"/>
      <c r="B128" s="203"/>
      <c r="C128" s="203"/>
      <c r="D128" s="203" t="s">
        <v>293</v>
      </c>
      <c r="E128" s="204"/>
      <c r="F128" s="205">
        <f>16*(2*3.45+2.43+4.72)</f>
        <v>224.8</v>
      </c>
      <c r="G128" s="206"/>
      <c r="H128" s="206"/>
    </row>
    <row r="129" spans="1:8" ht="13.5" customHeight="1">
      <c r="A129" s="202"/>
      <c r="B129" s="203"/>
      <c r="C129" s="203"/>
      <c r="D129" s="203" t="s">
        <v>294</v>
      </c>
      <c r="E129" s="204"/>
      <c r="F129" s="205">
        <v>100.4</v>
      </c>
      <c r="G129" s="206"/>
      <c r="H129" s="206"/>
    </row>
    <row r="130" spans="1:8" ht="13.5" customHeight="1">
      <c r="A130" s="202"/>
      <c r="B130" s="203"/>
      <c r="C130" s="203"/>
      <c r="D130" s="203" t="s">
        <v>295</v>
      </c>
      <c r="E130" s="204"/>
      <c r="F130" s="205">
        <f>-24*5*0.8</f>
        <v>-96</v>
      </c>
      <c r="G130" s="206"/>
      <c r="H130" s="206"/>
    </row>
    <row r="131" spans="1:8" ht="13.5" customHeight="1">
      <c r="A131" s="202"/>
      <c r="B131" s="203"/>
      <c r="C131" s="203"/>
      <c r="D131" s="203" t="s">
        <v>296</v>
      </c>
      <c r="E131" s="204"/>
      <c r="F131" s="205">
        <f>-24*2*0.7</f>
        <v>-33.599999999999994</v>
      </c>
      <c r="G131" s="206"/>
      <c r="H131" s="206"/>
    </row>
    <row r="132" spans="1:12" ht="13.5" customHeight="1">
      <c r="A132" s="212">
        <v>60</v>
      </c>
      <c r="B132" s="213" t="s">
        <v>297</v>
      </c>
      <c r="C132" s="213" t="s">
        <v>298</v>
      </c>
      <c r="D132" s="213" t="s">
        <v>299</v>
      </c>
      <c r="E132" s="214" t="s">
        <v>292</v>
      </c>
      <c r="F132" s="215">
        <f>F133</f>
        <v>199.512</v>
      </c>
      <c r="G132" s="232"/>
      <c r="H132" s="216">
        <f>F132*G132</f>
        <v>0</v>
      </c>
      <c r="J132" s="201" t="str">
        <f>'1. Etapa D.1.1-Stavba'!J132</f>
        <v>N</v>
      </c>
      <c r="K132" s="200" t="str">
        <f>IF(J132="I",H132," ")</f>
        <v xml:space="preserve"> </v>
      </c>
      <c r="L132" s="200">
        <f>IF(J132="N",H132," ")</f>
        <v>0</v>
      </c>
    </row>
    <row r="133" spans="1:8" ht="13.5" customHeight="1">
      <c r="A133" s="217"/>
      <c r="B133" s="218"/>
      <c r="C133" s="218"/>
      <c r="D133" s="218" t="s">
        <v>300</v>
      </c>
      <c r="E133" s="219"/>
      <c r="F133" s="220">
        <f>195.6*1.02</f>
        <v>199.512</v>
      </c>
      <c r="G133" s="221"/>
      <c r="H133" s="221"/>
    </row>
    <row r="134" spans="1:12" ht="24" customHeight="1">
      <c r="A134" s="196">
        <v>61</v>
      </c>
      <c r="B134" s="197" t="s">
        <v>259</v>
      </c>
      <c r="C134" s="197" t="s">
        <v>301</v>
      </c>
      <c r="D134" s="197" t="s">
        <v>302</v>
      </c>
      <c r="E134" s="198" t="s">
        <v>152</v>
      </c>
      <c r="F134" s="199">
        <v>5.890434782608695</v>
      </c>
      <c r="G134" s="231"/>
      <c r="H134" s="200">
        <f>F134*G134</f>
        <v>0</v>
      </c>
      <c r="J134" s="201" t="str">
        <f>'1. Etapa D.1.1-Stavba'!J134</f>
        <v>N</v>
      </c>
      <c r="K134" s="200" t="str">
        <f>IF(J134="I",H134," ")</f>
        <v xml:space="preserve"> </v>
      </c>
      <c r="L134" s="200">
        <f>IF(J134="N",H134," ")</f>
        <v>0</v>
      </c>
    </row>
    <row r="135" spans="1:12" ht="28.5" customHeight="1">
      <c r="A135" s="191"/>
      <c r="B135" s="192"/>
      <c r="C135" s="192" t="s">
        <v>303</v>
      </c>
      <c r="D135" s="192" t="s">
        <v>304</v>
      </c>
      <c r="E135" s="193"/>
      <c r="F135" s="194"/>
      <c r="G135" s="195"/>
      <c r="H135" s="191">
        <f>SUBTOTAL(9,H136:H158)</f>
        <v>0</v>
      </c>
      <c r="K135" s="191">
        <f>SUBTOTAL(9,K136:K158)</f>
        <v>0</v>
      </c>
      <c r="L135" s="191">
        <f>SUBTOTAL(9,L136:L158)</f>
        <v>0</v>
      </c>
    </row>
    <row r="136" spans="1:12" ht="13.5" customHeight="1">
      <c r="A136" s="196">
        <v>62</v>
      </c>
      <c r="B136" s="197" t="s">
        <v>303</v>
      </c>
      <c r="C136" s="197" t="s">
        <v>305</v>
      </c>
      <c r="D136" s="197" t="s">
        <v>306</v>
      </c>
      <c r="E136" s="198" t="s">
        <v>102</v>
      </c>
      <c r="F136" s="199">
        <v>438.40479999999997</v>
      </c>
      <c r="G136" s="231"/>
      <c r="H136" s="200">
        <f>F136*G136</f>
        <v>0</v>
      </c>
      <c r="J136" s="201" t="str">
        <f>'1. Etapa D.1.1-Stavba'!J136</f>
        <v>N</v>
      </c>
      <c r="K136" s="200" t="str">
        <f aca="true" t="shared" si="20" ref="K136:K137">IF(J136="I",H136," ")</f>
        <v xml:space="preserve"> </v>
      </c>
      <c r="L136" s="200">
        <f aca="true" t="shared" si="21" ref="L136:L137">IF(J136="N",H136," ")</f>
        <v>0</v>
      </c>
    </row>
    <row r="137" spans="1:12" ht="13.5" customHeight="1">
      <c r="A137" s="196">
        <v>63</v>
      </c>
      <c r="B137" s="197" t="s">
        <v>303</v>
      </c>
      <c r="C137" s="197" t="s">
        <v>307</v>
      </c>
      <c r="D137" s="197" t="s">
        <v>308</v>
      </c>
      <c r="E137" s="198" t="s">
        <v>102</v>
      </c>
      <c r="F137" s="199">
        <f>SUM(F138:F139)</f>
        <v>123.94560000000001</v>
      </c>
      <c r="G137" s="231"/>
      <c r="H137" s="200">
        <f>F137*G137</f>
        <v>0</v>
      </c>
      <c r="J137" s="201" t="str">
        <f>'1. Etapa D.1.1-Stavba'!J137</f>
        <v>N</v>
      </c>
      <c r="K137" s="200" t="str">
        <f t="shared" si="20"/>
        <v xml:space="preserve"> </v>
      </c>
      <c r="L137" s="200">
        <f t="shared" si="21"/>
        <v>0</v>
      </c>
    </row>
    <row r="138" spans="1:8" ht="13.5" customHeight="1">
      <c r="A138" s="202"/>
      <c r="B138" s="203"/>
      <c r="C138" s="203"/>
      <c r="D138" s="203" t="s">
        <v>309</v>
      </c>
      <c r="E138" s="204"/>
      <c r="F138" s="205">
        <f>24*2*1*1.85</f>
        <v>88.80000000000001</v>
      </c>
      <c r="G138" s="206"/>
      <c r="H138" s="206"/>
    </row>
    <row r="139" spans="1:8" ht="13.5" customHeight="1">
      <c r="A139" s="202"/>
      <c r="B139" s="203"/>
      <c r="C139" s="203"/>
      <c r="D139" s="203" t="s">
        <v>310</v>
      </c>
      <c r="E139" s="204"/>
      <c r="F139" s="205">
        <f>234.304*0.15</f>
        <v>35.1456</v>
      </c>
      <c r="G139" s="206"/>
      <c r="H139" s="206"/>
    </row>
    <row r="140" spans="1:12" ht="13.5" customHeight="1">
      <c r="A140" s="196">
        <v>64</v>
      </c>
      <c r="B140" s="197" t="s">
        <v>303</v>
      </c>
      <c r="C140" s="197" t="s">
        <v>311</v>
      </c>
      <c r="D140" s="197" t="s">
        <v>312</v>
      </c>
      <c r="E140" s="198" t="s">
        <v>292</v>
      </c>
      <c r="F140" s="199">
        <f>SUM(F141:F146)</f>
        <v>234.30400000000003</v>
      </c>
      <c r="G140" s="231"/>
      <c r="H140" s="200">
        <f>F140*G140</f>
        <v>0</v>
      </c>
      <c r="J140" s="201" t="str">
        <f>'1. Etapa D.1.1-Stavba'!J140</f>
        <v>N</v>
      </c>
      <c r="K140" s="200" t="str">
        <f>IF(J140="I",H140," ")</f>
        <v xml:space="preserve"> </v>
      </c>
      <c r="L140" s="200">
        <f>IF(J140="N",H140," ")</f>
        <v>0</v>
      </c>
    </row>
    <row r="141" spans="1:8" ht="13.5" customHeight="1">
      <c r="A141" s="202"/>
      <c r="B141" s="203"/>
      <c r="C141" s="203"/>
      <c r="D141" s="203" t="s">
        <v>313</v>
      </c>
      <c r="E141" s="204"/>
      <c r="F141" s="205">
        <f>16*2*(1.625+1.8)</f>
        <v>109.6</v>
      </c>
      <c r="G141" s="206"/>
      <c r="H141" s="206"/>
    </row>
    <row r="142" spans="1:8" ht="13.5" customHeight="1">
      <c r="A142" s="202"/>
      <c r="B142" s="203"/>
      <c r="C142" s="203"/>
      <c r="D142" s="203" t="s">
        <v>314</v>
      </c>
      <c r="E142" s="204"/>
      <c r="F142" s="205">
        <v>49.12</v>
      </c>
      <c r="G142" s="206"/>
      <c r="H142" s="206"/>
    </row>
    <row r="143" spans="1:8" ht="13.5" customHeight="1">
      <c r="A143" s="202"/>
      <c r="B143" s="203"/>
      <c r="C143" s="203"/>
      <c r="D143" s="203" t="s">
        <v>315</v>
      </c>
      <c r="E143" s="204"/>
      <c r="F143" s="205">
        <f>-24*0.7</f>
        <v>-16.799999999999997</v>
      </c>
      <c r="G143" s="206"/>
      <c r="H143" s="206"/>
    </row>
    <row r="144" spans="1:8" ht="13.5" customHeight="1">
      <c r="A144" s="202"/>
      <c r="B144" s="203"/>
      <c r="C144" s="203"/>
      <c r="D144" s="203" t="s">
        <v>316</v>
      </c>
      <c r="E144" s="204"/>
      <c r="F144" s="205">
        <f>16*2*(1.237+1)</f>
        <v>71.584</v>
      </c>
      <c r="G144" s="206"/>
      <c r="H144" s="206"/>
    </row>
    <row r="145" spans="1:8" ht="13.5" customHeight="1">
      <c r="A145" s="202"/>
      <c r="B145" s="203"/>
      <c r="C145" s="203"/>
      <c r="D145" s="203" t="s">
        <v>317</v>
      </c>
      <c r="E145" s="204"/>
      <c r="F145" s="205">
        <v>37.6</v>
      </c>
      <c r="G145" s="206"/>
      <c r="H145" s="206"/>
    </row>
    <row r="146" spans="1:8" ht="13.5" customHeight="1">
      <c r="A146" s="202"/>
      <c r="B146" s="203"/>
      <c r="C146" s="203"/>
      <c r="D146" s="203" t="s">
        <v>318</v>
      </c>
      <c r="E146" s="204"/>
      <c r="F146" s="205">
        <f>-24*0.7</f>
        <v>-16.799999999999997</v>
      </c>
      <c r="G146" s="206"/>
      <c r="H146" s="206"/>
    </row>
    <row r="147" spans="1:12" ht="24" customHeight="1">
      <c r="A147" s="196">
        <v>65</v>
      </c>
      <c r="B147" s="197" t="s">
        <v>303</v>
      </c>
      <c r="C147" s="197" t="s">
        <v>319</v>
      </c>
      <c r="D147" s="197" t="s">
        <v>320</v>
      </c>
      <c r="E147" s="198" t="s">
        <v>102</v>
      </c>
      <c r="F147" s="199">
        <f>F148+F149+F150+F151+F152+F153+F155</f>
        <v>438.40479999999997</v>
      </c>
      <c r="G147" s="231"/>
      <c r="H147" s="200">
        <f>F147*G147</f>
        <v>0</v>
      </c>
      <c r="J147" s="201" t="str">
        <f>'1. Etapa D.1.1-Stavba'!J147</f>
        <v>N</v>
      </c>
      <c r="K147" s="200" t="str">
        <f>IF(J147="I",H147," ")</f>
        <v xml:space="preserve"> </v>
      </c>
      <c r="L147" s="200">
        <f>IF(J147="N",H147," ")</f>
        <v>0</v>
      </c>
    </row>
    <row r="148" spans="1:8" ht="13.5" customHeight="1">
      <c r="A148" s="202"/>
      <c r="B148" s="203"/>
      <c r="C148" s="203"/>
      <c r="D148" s="203" t="s">
        <v>321</v>
      </c>
      <c r="E148" s="204"/>
      <c r="F148" s="205">
        <f>16*2*(1.625+1.8)*2</f>
        <v>219.2</v>
      </c>
      <c r="G148" s="206"/>
      <c r="H148" s="206"/>
    </row>
    <row r="149" spans="1:8" ht="13.5" customHeight="1">
      <c r="A149" s="202"/>
      <c r="B149" s="203"/>
      <c r="C149" s="203"/>
      <c r="D149" s="203" t="s">
        <v>322</v>
      </c>
      <c r="E149" s="204"/>
      <c r="F149" s="205">
        <v>98.24</v>
      </c>
      <c r="G149" s="206"/>
      <c r="H149" s="206"/>
    </row>
    <row r="150" spans="1:8" ht="13.5" customHeight="1">
      <c r="A150" s="202"/>
      <c r="B150" s="203"/>
      <c r="C150" s="203"/>
      <c r="D150" s="203" t="s">
        <v>323</v>
      </c>
      <c r="E150" s="204"/>
      <c r="F150" s="205">
        <f>-24*0.7*1.97</f>
        <v>-33.096</v>
      </c>
      <c r="G150" s="206"/>
      <c r="H150" s="206"/>
    </row>
    <row r="151" spans="1:8" ht="13.5" customHeight="1">
      <c r="A151" s="202"/>
      <c r="B151" s="203"/>
      <c r="C151" s="203"/>
      <c r="D151" s="203" t="s">
        <v>324</v>
      </c>
      <c r="E151" s="204"/>
      <c r="F151" s="205">
        <f>16*2*(1.237+1)*1.2</f>
        <v>85.9008</v>
      </c>
      <c r="G151" s="206"/>
      <c r="H151" s="206"/>
    </row>
    <row r="152" spans="1:8" ht="13.5" customHeight="1">
      <c r="A152" s="202"/>
      <c r="B152" s="203"/>
      <c r="C152" s="203"/>
      <c r="D152" s="203" t="s">
        <v>325</v>
      </c>
      <c r="E152" s="204"/>
      <c r="F152" s="205">
        <v>45.12</v>
      </c>
      <c r="G152" s="206"/>
      <c r="H152" s="206"/>
    </row>
    <row r="153" spans="1:8" ht="13.5" customHeight="1">
      <c r="A153" s="202"/>
      <c r="B153" s="203"/>
      <c r="C153" s="203"/>
      <c r="D153" s="203" t="s">
        <v>326</v>
      </c>
      <c r="E153" s="204"/>
      <c r="F153" s="205">
        <f>-24*0.7*1.2</f>
        <v>-20.159999999999997</v>
      </c>
      <c r="G153" s="206"/>
      <c r="H153" s="206"/>
    </row>
    <row r="154" spans="1:12" ht="13.5" customHeight="1">
      <c r="A154" s="207"/>
      <c r="B154" s="208"/>
      <c r="C154" s="208"/>
      <c r="D154" s="208" t="s">
        <v>327</v>
      </c>
      <c r="E154" s="209"/>
      <c r="F154" s="210"/>
      <c r="G154" s="211"/>
      <c r="H154" s="211"/>
      <c r="K154" s="211"/>
      <c r="L154" s="211"/>
    </row>
    <row r="155" spans="1:8" ht="13.5" customHeight="1">
      <c r="A155" s="202"/>
      <c r="B155" s="203"/>
      <c r="C155" s="203"/>
      <c r="D155" s="203" t="s">
        <v>328</v>
      </c>
      <c r="E155" s="204"/>
      <c r="F155" s="205">
        <f>24*3*0.6</f>
        <v>43.199999999999996</v>
      </c>
      <c r="G155" s="206"/>
      <c r="H155" s="206"/>
    </row>
    <row r="156" spans="1:12" ht="13.5" customHeight="1">
      <c r="A156" s="212">
        <v>66</v>
      </c>
      <c r="B156" s="213" t="s">
        <v>264</v>
      </c>
      <c r="C156" s="213" t="s">
        <v>329</v>
      </c>
      <c r="D156" s="213" t="s">
        <v>330</v>
      </c>
      <c r="E156" s="214" t="s">
        <v>102</v>
      </c>
      <c r="F156" s="215">
        <f>F157</f>
        <v>482.2455</v>
      </c>
      <c r="G156" s="232"/>
      <c r="H156" s="216">
        <f>F156*G156</f>
        <v>0</v>
      </c>
      <c r="J156" s="201" t="str">
        <f>'1. Etapa D.1.1-Stavba'!J156</f>
        <v>N</v>
      </c>
      <c r="K156" s="200" t="str">
        <f>IF(J156="I",H156," ")</f>
        <v xml:space="preserve"> </v>
      </c>
      <c r="L156" s="200">
        <f>IF(J156="N",H156," ")</f>
        <v>0</v>
      </c>
    </row>
    <row r="157" spans="1:8" ht="13.5" customHeight="1">
      <c r="A157" s="217"/>
      <c r="B157" s="218"/>
      <c r="C157" s="218"/>
      <c r="D157" s="218" t="s">
        <v>331</v>
      </c>
      <c r="E157" s="219"/>
      <c r="F157" s="220">
        <f>438.405*1.1</f>
        <v>482.2455</v>
      </c>
      <c r="G157" s="221"/>
      <c r="H157" s="221"/>
    </row>
    <row r="158" spans="1:12" ht="24" customHeight="1">
      <c r="A158" s="196">
        <v>67</v>
      </c>
      <c r="B158" s="197" t="s">
        <v>303</v>
      </c>
      <c r="C158" s="197" t="s">
        <v>332</v>
      </c>
      <c r="D158" s="197" t="s">
        <v>333</v>
      </c>
      <c r="E158" s="198" t="s">
        <v>152</v>
      </c>
      <c r="F158" s="199">
        <v>8.69217391304348</v>
      </c>
      <c r="G158" s="231"/>
      <c r="H158" s="200">
        <f>F158*G158</f>
        <v>0</v>
      </c>
      <c r="J158" s="201" t="str">
        <f>'1. Etapa D.1.1-Stavba'!J158</f>
        <v>N</v>
      </c>
      <c r="K158" s="200" t="str">
        <f>IF(J158="I",H158," ")</f>
        <v xml:space="preserve"> </v>
      </c>
      <c r="L158" s="200">
        <f>IF(J158="N",H158," ")</f>
        <v>0</v>
      </c>
    </row>
    <row r="159" spans="1:12" ht="28.5" customHeight="1">
      <c r="A159" s="191"/>
      <c r="B159" s="192"/>
      <c r="C159" s="192" t="s">
        <v>334</v>
      </c>
      <c r="D159" s="192" t="s">
        <v>335</v>
      </c>
      <c r="E159" s="193"/>
      <c r="F159" s="194"/>
      <c r="G159" s="195"/>
      <c r="H159" s="191">
        <f>SUBTOTAL(9,H160:H161)</f>
        <v>0</v>
      </c>
      <c r="K159" s="191">
        <f>SUBTOTAL(9,K160:K161)</f>
        <v>0</v>
      </c>
      <c r="L159" s="191">
        <f>SUBTOTAL(9,L160:L161)</f>
        <v>0</v>
      </c>
    </row>
    <row r="160" spans="1:12" ht="24" customHeight="1">
      <c r="A160" s="196">
        <v>68</v>
      </c>
      <c r="B160" s="197" t="s">
        <v>334</v>
      </c>
      <c r="C160" s="197" t="s">
        <v>336</v>
      </c>
      <c r="D160" s="197" t="s">
        <v>337</v>
      </c>
      <c r="E160" s="198" t="s">
        <v>102</v>
      </c>
      <c r="F160" s="199">
        <v>2349.3664000000003</v>
      </c>
      <c r="G160" s="231"/>
      <c r="H160" s="200">
        <f>F160*G160</f>
        <v>0</v>
      </c>
      <c r="J160" s="201" t="str">
        <f>'1. Etapa D.1.1-Stavba'!J160</f>
        <v>N</v>
      </c>
      <c r="K160" s="200" t="str">
        <f aca="true" t="shared" si="22" ref="K160:K161">IF(J160="I",H160," ")</f>
        <v xml:space="preserve"> </v>
      </c>
      <c r="L160" s="200">
        <f aca="true" t="shared" si="23" ref="L160:L161">IF(J160="N",H160," ")</f>
        <v>0</v>
      </c>
    </row>
    <row r="161" spans="1:12" ht="24" customHeight="1">
      <c r="A161" s="196">
        <v>69</v>
      </c>
      <c r="B161" s="197" t="s">
        <v>334</v>
      </c>
      <c r="C161" s="197" t="s">
        <v>338</v>
      </c>
      <c r="D161" s="197" t="s">
        <v>339</v>
      </c>
      <c r="E161" s="198" t="s">
        <v>102</v>
      </c>
      <c r="F161" s="199">
        <f>SUM(F162:F179)</f>
        <v>2349.3664000000003</v>
      </c>
      <c r="G161" s="231"/>
      <c r="H161" s="200">
        <f>F161*G161</f>
        <v>0</v>
      </c>
      <c r="J161" s="201" t="str">
        <f>'1. Etapa D.1.1-Stavba'!J161</f>
        <v>N</v>
      </c>
      <c r="K161" s="200" t="str">
        <f t="shared" si="22"/>
        <v xml:space="preserve"> </v>
      </c>
      <c r="L161" s="200">
        <f t="shared" si="23"/>
        <v>0</v>
      </c>
    </row>
    <row r="162" spans="1:12" ht="13.5" customHeight="1">
      <c r="A162" s="207"/>
      <c r="B162" s="208"/>
      <c r="C162" s="208"/>
      <c r="D162" s="208" t="s">
        <v>121</v>
      </c>
      <c r="E162" s="209"/>
      <c r="F162" s="210"/>
      <c r="G162" s="211"/>
      <c r="H162" s="211"/>
      <c r="K162" s="211"/>
      <c r="L162" s="211"/>
    </row>
    <row r="163" spans="1:8" ht="13.5" customHeight="1">
      <c r="A163" s="202"/>
      <c r="B163" s="203"/>
      <c r="C163" s="203"/>
      <c r="D163" s="203" t="s">
        <v>340</v>
      </c>
      <c r="E163" s="204"/>
      <c r="F163" s="205">
        <v>1010.893</v>
      </c>
      <c r="G163" s="206"/>
      <c r="H163" s="206"/>
    </row>
    <row r="164" spans="1:12" ht="13.5" customHeight="1">
      <c r="A164" s="207"/>
      <c r="B164" s="208"/>
      <c r="C164" s="208"/>
      <c r="D164" s="208" t="s">
        <v>117</v>
      </c>
      <c r="E164" s="209"/>
      <c r="F164" s="210"/>
      <c r="G164" s="211"/>
      <c r="H164" s="211"/>
      <c r="K164" s="211"/>
      <c r="L164" s="211"/>
    </row>
    <row r="165" spans="1:8" ht="13.5" customHeight="1">
      <c r="A165" s="202"/>
      <c r="B165" s="203"/>
      <c r="C165" s="203"/>
      <c r="D165" s="203" t="s">
        <v>341</v>
      </c>
      <c r="E165" s="204"/>
      <c r="F165" s="205">
        <v>44.579</v>
      </c>
      <c r="G165" s="206"/>
      <c r="H165" s="206"/>
    </row>
    <row r="166" spans="1:12" ht="13.5" customHeight="1">
      <c r="A166" s="207"/>
      <c r="B166" s="208"/>
      <c r="C166" s="208"/>
      <c r="D166" s="208" t="s">
        <v>342</v>
      </c>
      <c r="E166" s="209"/>
      <c r="F166" s="210"/>
      <c r="G166" s="211"/>
      <c r="H166" s="211"/>
      <c r="K166" s="211"/>
      <c r="L166" s="211"/>
    </row>
    <row r="167" spans="1:8" ht="13.5" customHeight="1">
      <c r="A167" s="202"/>
      <c r="B167" s="203"/>
      <c r="C167" s="203"/>
      <c r="D167" s="203" t="s">
        <v>343</v>
      </c>
      <c r="E167" s="204"/>
      <c r="F167" s="205">
        <f>16*(1.73+2.98+3.45+1.72)*2.8</f>
        <v>442.624</v>
      </c>
      <c r="G167" s="206"/>
      <c r="H167" s="206"/>
    </row>
    <row r="168" spans="1:8" ht="13.5" customHeight="1">
      <c r="A168" s="202"/>
      <c r="B168" s="203"/>
      <c r="C168" s="203"/>
      <c r="D168" s="203" t="s">
        <v>344</v>
      </c>
      <c r="E168" s="204"/>
      <c r="F168" s="205">
        <v>192.64</v>
      </c>
      <c r="G168" s="206"/>
      <c r="H168" s="206"/>
    </row>
    <row r="169" spans="1:8" ht="13.5" customHeight="1">
      <c r="A169" s="202"/>
      <c r="B169" s="203"/>
      <c r="C169" s="203"/>
      <c r="D169" s="203" t="s">
        <v>345</v>
      </c>
      <c r="E169" s="204"/>
      <c r="F169" s="205">
        <f>-24*2*0.8*1.97</f>
        <v>-75.64800000000001</v>
      </c>
      <c r="G169" s="206"/>
      <c r="H169" s="206"/>
    </row>
    <row r="170" spans="1:8" ht="13.5" customHeight="1">
      <c r="A170" s="202"/>
      <c r="B170" s="203"/>
      <c r="C170" s="203"/>
      <c r="D170" s="203" t="s">
        <v>346</v>
      </c>
      <c r="E170" s="204"/>
      <c r="F170" s="205">
        <f>-24*2*0.7*1.97</f>
        <v>-66.192</v>
      </c>
      <c r="G170" s="206"/>
      <c r="H170" s="206"/>
    </row>
    <row r="171" spans="1:12" ht="13.5" customHeight="1">
      <c r="A171" s="207"/>
      <c r="B171" s="208"/>
      <c r="C171" s="208"/>
      <c r="D171" s="208" t="s">
        <v>347</v>
      </c>
      <c r="E171" s="209"/>
      <c r="F171" s="210"/>
      <c r="G171" s="211"/>
      <c r="H171" s="211"/>
      <c r="K171" s="211"/>
      <c r="L171" s="211"/>
    </row>
    <row r="172" spans="1:8" ht="13.5" customHeight="1">
      <c r="A172" s="202"/>
      <c r="B172" s="203"/>
      <c r="C172" s="203"/>
      <c r="D172" s="203" t="s">
        <v>348</v>
      </c>
      <c r="E172" s="204"/>
      <c r="F172" s="205">
        <f>16*2*(1.625+1.8)*0.8</f>
        <v>87.68</v>
      </c>
      <c r="G172" s="206"/>
      <c r="H172" s="206"/>
    </row>
    <row r="173" spans="1:8" ht="13.5" customHeight="1">
      <c r="A173" s="202"/>
      <c r="B173" s="203"/>
      <c r="C173" s="203"/>
      <c r="D173" s="203" t="s">
        <v>349</v>
      </c>
      <c r="E173" s="204"/>
      <c r="F173" s="205">
        <v>39.296</v>
      </c>
      <c r="G173" s="206"/>
      <c r="H173" s="206"/>
    </row>
    <row r="174" spans="1:8" ht="13.5" customHeight="1">
      <c r="A174" s="202"/>
      <c r="B174" s="203"/>
      <c r="C174" s="203"/>
      <c r="D174" s="203" t="s">
        <v>350</v>
      </c>
      <c r="E174" s="204"/>
      <c r="F174" s="205">
        <f>16*2*(1.237+1)*1.6</f>
        <v>114.5344</v>
      </c>
      <c r="G174" s="206"/>
      <c r="H174" s="206"/>
    </row>
    <row r="175" spans="1:8" ht="13.5" customHeight="1">
      <c r="A175" s="202"/>
      <c r="B175" s="203"/>
      <c r="C175" s="203"/>
      <c r="D175" s="203" t="s">
        <v>351</v>
      </c>
      <c r="E175" s="204"/>
      <c r="F175" s="205">
        <v>60.16</v>
      </c>
      <c r="G175" s="206"/>
      <c r="H175" s="206"/>
    </row>
    <row r="176" spans="1:12" ht="13.5" customHeight="1">
      <c r="A176" s="207"/>
      <c r="B176" s="208"/>
      <c r="C176" s="208"/>
      <c r="D176" s="208" t="s">
        <v>112</v>
      </c>
      <c r="E176" s="209"/>
      <c r="F176" s="210"/>
      <c r="G176" s="211"/>
      <c r="H176" s="211"/>
      <c r="K176" s="211"/>
      <c r="L176" s="211"/>
    </row>
    <row r="177" spans="1:8" ht="13.5" customHeight="1">
      <c r="A177" s="202"/>
      <c r="B177" s="203"/>
      <c r="C177" s="203"/>
      <c r="D177" s="203" t="s">
        <v>352</v>
      </c>
      <c r="E177" s="204"/>
      <c r="F177" s="205">
        <v>404.88</v>
      </c>
      <c r="G177" s="206"/>
      <c r="H177" s="206"/>
    </row>
    <row r="178" spans="1:12" ht="13.5" customHeight="1">
      <c r="A178" s="207"/>
      <c r="B178" s="208"/>
      <c r="C178" s="208"/>
      <c r="D178" s="208" t="s">
        <v>193</v>
      </c>
      <c r="E178" s="209"/>
      <c r="F178" s="210"/>
      <c r="G178" s="211"/>
      <c r="H178" s="211"/>
      <c r="K178" s="211"/>
      <c r="L178" s="211"/>
    </row>
    <row r="179" spans="1:8" ht="13.5" customHeight="1">
      <c r="A179" s="202"/>
      <c r="B179" s="203"/>
      <c r="C179" s="203"/>
      <c r="D179" s="203" t="s">
        <v>353</v>
      </c>
      <c r="E179" s="204"/>
      <c r="F179" s="205">
        <v>93.92</v>
      </c>
      <c r="G179" s="206"/>
      <c r="H179" s="206"/>
    </row>
    <row r="180" spans="1:12" ht="30.75" customHeight="1">
      <c r="A180" s="186"/>
      <c r="B180" s="187"/>
      <c r="C180" s="187" t="s">
        <v>354</v>
      </c>
      <c r="D180" s="187" t="s">
        <v>355</v>
      </c>
      <c r="E180" s="188"/>
      <c r="F180" s="189"/>
      <c r="G180" s="190"/>
      <c r="H180" s="186">
        <f>SUBTOTAL(9,H181:H183)</f>
        <v>0</v>
      </c>
      <c r="K180" s="186">
        <f>SUBTOTAL(9,K181:K183)</f>
        <v>0</v>
      </c>
      <c r="L180" s="186">
        <f>SUBTOTAL(9,L181:L183)</f>
        <v>0</v>
      </c>
    </row>
    <row r="181" spans="1:12" ht="28.5" customHeight="1">
      <c r="A181" s="191"/>
      <c r="B181" s="192"/>
      <c r="C181" s="192" t="s">
        <v>356</v>
      </c>
      <c r="D181" s="192" t="s">
        <v>357</v>
      </c>
      <c r="E181" s="193"/>
      <c r="F181" s="194"/>
      <c r="G181" s="195"/>
      <c r="H181" s="191">
        <f>SUBTOTAL(9,H182:H183)</f>
        <v>0</v>
      </c>
      <c r="K181" s="191">
        <f>SUBTOTAL(9,K182:K183)</f>
        <v>0</v>
      </c>
      <c r="L181" s="191">
        <f>SUBTOTAL(9,L182:L183)</f>
        <v>0</v>
      </c>
    </row>
    <row r="182" spans="1:12" ht="13.5" customHeight="1">
      <c r="A182" s="196">
        <v>70</v>
      </c>
      <c r="B182" s="197" t="s">
        <v>358</v>
      </c>
      <c r="C182" s="197" t="s">
        <v>359</v>
      </c>
      <c r="D182" s="197" t="s">
        <v>357</v>
      </c>
      <c r="E182" s="198" t="s">
        <v>360</v>
      </c>
      <c r="F182" s="199">
        <v>1</v>
      </c>
      <c r="G182" s="231"/>
      <c r="H182" s="200">
        <f>F182*G182</f>
        <v>0</v>
      </c>
      <c r="J182" s="201" t="str">
        <f>'1. Etapa D.1.1-Stavba'!J182</f>
        <v>I</v>
      </c>
      <c r="K182" s="200">
        <f aca="true" t="shared" si="24" ref="K182:K183">IF(J182="I",H182," ")</f>
        <v>0</v>
      </c>
      <c r="L182" s="200" t="str">
        <f aca="true" t="shared" si="25" ref="L182:L183">IF(J182="N",H182," ")</f>
        <v xml:space="preserve"> </v>
      </c>
    </row>
    <row r="183" spans="1:12" ht="13.5" customHeight="1">
      <c r="A183" s="196">
        <v>71</v>
      </c>
      <c r="B183" s="197" t="s">
        <v>358</v>
      </c>
      <c r="C183" s="197" t="s">
        <v>359</v>
      </c>
      <c r="D183" s="197" t="s">
        <v>361</v>
      </c>
      <c r="E183" s="198" t="s">
        <v>360</v>
      </c>
      <c r="F183" s="199">
        <v>1</v>
      </c>
      <c r="G183" s="231"/>
      <c r="H183" s="200">
        <f>F183*G183</f>
        <v>0</v>
      </c>
      <c r="J183" s="201" t="str">
        <f>'1. Etapa D.1.1-Stavba'!J183</f>
        <v>I</v>
      </c>
      <c r="K183" s="200">
        <f t="shared" si="24"/>
        <v>0</v>
      </c>
      <c r="L183" s="200" t="str">
        <f t="shared" si="25"/>
        <v xml:space="preserve"> </v>
      </c>
    </row>
    <row r="184" spans="1:12" ht="30.75" customHeight="1">
      <c r="A184" s="222"/>
      <c r="B184" s="223"/>
      <c r="C184" s="223"/>
      <c r="D184" s="223" t="s">
        <v>362</v>
      </c>
      <c r="E184" s="224"/>
      <c r="F184" s="225"/>
      <c r="G184" s="226"/>
      <c r="H184" s="222">
        <f>H6+H56+H180</f>
        <v>0</v>
      </c>
      <c r="K184" s="222">
        <f>K6+K56+K180</f>
        <v>0</v>
      </c>
      <c r="L184" s="222">
        <f>L6+L56+L180</f>
        <v>0</v>
      </c>
    </row>
  </sheetData>
  <sheetProtection algorithmName="SHA-512" hashValue="vv5PSjpPdW8MHs8Ou1IyrnpSxlOPqFHJpnqmKCeZYnRdE8Qmx12aa854PJUeSExVk4XKbn3SxGWox85q2abNpg==" saltValue="QsZXzI3WUPqLN0k5dQgMNw==" spinCount="100000" sheet="1"/>
  <autoFilter ref="A3:L184"/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9"/>
  <sheetViews>
    <sheetView workbookViewId="0" topLeftCell="A1">
      <pane ySplit="3" topLeftCell="A4" activePane="bottomLeft" state="frozen"/>
      <selection pane="topLeft" activeCell="AL15" activeCellId="2" sqref="I15:AF16 AL4 AL15:AL16"/>
      <selection pane="bottomLeft" activeCell="E11" sqref="E11:E37"/>
    </sheetView>
  </sheetViews>
  <sheetFormatPr defaultColWidth="14.66015625" defaultRowHeight="15" customHeight="1"/>
  <cols>
    <col min="1" max="1" width="10.16015625" style="129" customWidth="1"/>
    <col min="2" max="2" width="72.5" style="129" customWidth="1"/>
    <col min="3" max="3" width="15.16015625" style="129" bestFit="1" customWidth="1"/>
    <col min="4" max="4" width="4" style="129" customWidth="1"/>
    <col min="5" max="6" width="15" style="129" customWidth="1"/>
    <col min="7" max="7" width="8.83203125" style="129" customWidth="1"/>
    <col min="8" max="8" width="8.83203125" style="129" hidden="1" customWidth="1"/>
    <col min="9" max="10" width="16.83203125" style="129" hidden="1" customWidth="1"/>
    <col min="11" max="26" width="8.83203125" style="129" customWidth="1"/>
    <col min="27" max="16384" width="14.66015625" style="129" customWidth="1"/>
  </cols>
  <sheetData>
    <row r="1" spans="1:6" ht="12.75" customHeight="1">
      <c r="A1" s="125"/>
      <c r="B1" s="126" t="s">
        <v>363</v>
      </c>
      <c r="C1" s="127"/>
      <c r="D1" s="127"/>
      <c r="E1" s="127"/>
      <c r="F1" s="128"/>
    </row>
    <row r="2" spans="1:10" ht="25.5" customHeight="1">
      <c r="A2" s="130" t="s">
        <v>364</v>
      </c>
      <c r="B2" s="131" t="s">
        <v>365</v>
      </c>
      <c r="C2" s="132"/>
      <c r="D2" s="132"/>
      <c r="E2" s="132"/>
      <c r="F2" s="133"/>
      <c r="H2" s="182" t="s">
        <v>87</v>
      </c>
      <c r="I2" s="2" t="s">
        <v>2</v>
      </c>
      <c r="J2" s="2" t="s">
        <v>3</v>
      </c>
    </row>
    <row r="3" spans="1:8" ht="12.75" customHeight="1">
      <c r="A3" s="134" t="s">
        <v>366</v>
      </c>
      <c r="B3" s="135" t="s">
        <v>367</v>
      </c>
      <c r="C3" s="136" t="s">
        <v>368</v>
      </c>
      <c r="D3" s="160" t="s">
        <v>369</v>
      </c>
      <c r="E3" s="322" t="s">
        <v>370</v>
      </c>
      <c r="F3" s="323" t="s">
        <v>371</v>
      </c>
      <c r="H3" s="174"/>
    </row>
    <row r="4" spans="1:10" ht="12.75" customHeight="1">
      <c r="A4" s="137"/>
      <c r="B4" s="138" t="s">
        <v>372</v>
      </c>
      <c r="C4" s="139"/>
      <c r="D4" s="142"/>
      <c r="E4" s="234"/>
      <c r="F4" s="143"/>
      <c r="H4" s="174"/>
      <c r="I4" s="200" t="str">
        <f aca="true" t="shared" si="0" ref="I4:I37">IF(H4="I",F4," ")</f>
        <v xml:space="preserve"> </v>
      </c>
      <c r="J4" s="200" t="str">
        <f>IF(H4="N",F4," ")</f>
        <v xml:space="preserve"> </v>
      </c>
    </row>
    <row r="5" spans="1:10" ht="12.75" customHeight="1">
      <c r="A5" s="140"/>
      <c r="B5" s="141"/>
      <c r="C5" s="142"/>
      <c r="D5" s="142"/>
      <c r="E5" s="234"/>
      <c r="F5" s="143"/>
      <c r="H5" s="174"/>
      <c r="I5" s="200" t="str">
        <f t="shared" si="0"/>
        <v xml:space="preserve"> </v>
      </c>
      <c r="J5" s="200" t="str">
        <f aca="true" t="shared" si="1" ref="J5:J37">IF(H5="N",F5," ")</f>
        <v xml:space="preserve"> </v>
      </c>
    </row>
    <row r="6" spans="1:10" ht="12.75" customHeight="1">
      <c r="A6" s="140" t="s">
        <v>373</v>
      </c>
      <c r="B6" s="141" t="s">
        <v>374</v>
      </c>
      <c r="C6" s="142"/>
      <c r="D6" s="142"/>
      <c r="E6" s="234"/>
      <c r="F6" s="143"/>
      <c r="H6" s="174"/>
      <c r="I6" s="200" t="str">
        <f t="shared" si="0"/>
        <v xml:space="preserve"> </v>
      </c>
      <c r="J6" s="200" t="str">
        <f t="shared" si="1"/>
        <v xml:space="preserve"> </v>
      </c>
    </row>
    <row r="7" spans="1:10" ht="13.8">
      <c r="A7" s="140"/>
      <c r="B7" s="141" t="s">
        <v>375</v>
      </c>
      <c r="C7" s="142">
        <v>3</v>
      </c>
      <c r="D7" s="142" t="s">
        <v>360</v>
      </c>
      <c r="E7" s="235"/>
      <c r="F7" s="161">
        <f>E7*C7</f>
        <v>0</v>
      </c>
      <c r="G7" s="144"/>
      <c r="H7" s="233" t="str">
        <f>'1. Etapa D.1.4.a-VZT'!H7</f>
        <v>I</v>
      </c>
      <c r="I7" s="200">
        <f t="shared" si="0"/>
        <v>0</v>
      </c>
      <c r="J7" s="200" t="str">
        <f t="shared" si="1"/>
        <v xml:space="preserve"> </v>
      </c>
    </row>
    <row r="8" spans="1:10" ht="12.75" customHeight="1">
      <c r="A8" s="140"/>
      <c r="B8" s="141"/>
      <c r="C8" s="145"/>
      <c r="D8" s="145"/>
      <c r="E8" s="234"/>
      <c r="F8" s="143"/>
      <c r="H8" s="174"/>
      <c r="I8" s="200" t="str">
        <f t="shared" si="0"/>
        <v xml:space="preserve"> </v>
      </c>
      <c r="J8" s="200" t="str">
        <f t="shared" si="1"/>
        <v xml:space="preserve"> </v>
      </c>
    </row>
    <row r="9" spans="1:10" ht="12.75" customHeight="1">
      <c r="A9" s="140"/>
      <c r="B9" s="141"/>
      <c r="C9" s="142"/>
      <c r="D9" s="142"/>
      <c r="E9" s="234"/>
      <c r="F9" s="143"/>
      <c r="H9" s="174"/>
      <c r="I9" s="200" t="str">
        <f t="shared" si="0"/>
        <v xml:space="preserve"> </v>
      </c>
      <c r="J9" s="200" t="str">
        <f t="shared" si="1"/>
        <v xml:space="preserve"> </v>
      </c>
    </row>
    <row r="10" spans="1:10" ht="45.6">
      <c r="A10" s="285" t="s">
        <v>376</v>
      </c>
      <c r="B10" s="284" t="s">
        <v>377</v>
      </c>
      <c r="C10" s="284"/>
      <c r="D10" s="284"/>
      <c r="E10" s="284"/>
      <c r="F10" s="286"/>
      <c r="H10" s="174"/>
      <c r="I10" s="287" t="str">
        <f t="shared" si="0"/>
        <v xml:space="preserve"> </v>
      </c>
      <c r="J10" s="287" t="str">
        <f t="shared" si="1"/>
        <v xml:space="preserve"> </v>
      </c>
    </row>
    <row r="11" spans="1:10" ht="12.75" customHeight="1">
      <c r="A11" s="140"/>
      <c r="B11" s="141" t="s">
        <v>378</v>
      </c>
      <c r="C11" s="142">
        <v>30</v>
      </c>
      <c r="D11" s="142" t="s">
        <v>379</v>
      </c>
      <c r="E11" s="235"/>
      <c r="F11" s="161">
        <f>E11*C11</f>
        <v>0</v>
      </c>
      <c r="H11" s="233" t="str">
        <f>'1. Etapa D.1.4.a-VZT'!H11</f>
        <v>I</v>
      </c>
      <c r="I11" s="200">
        <f t="shared" si="0"/>
        <v>0</v>
      </c>
      <c r="J11" s="200" t="str">
        <f t="shared" si="1"/>
        <v xml:space="preserve"> </v>
      </c>
    </row>
    <row r="12" spans="1:10" ht="12.75" customHeight="1">
      <c r="A12" s="140"/>
      <c r="B12" s="141"/>
      <c r="C12" s="142"/>
      <c r="D12" s="142"/>
      <c r="E12" s="234"/>
      <c r="F12" s="143"/>
      <c r="H12" s="174"/>
      <c r="I12" s="200" t="str">
        <f t="shared" si="0"/>
        <v xml:space="preserve"> </v>
      </c>
      <c r="J12" s="200" t="str">
        <f t="shared" si="1"/>
        <v xml:space="preserve"> </v>
      </c>
    </row>
    <row r="13" spans="1:10" ht="16.5" customHeight="1">
      <c r="A13" s="140" t="s">
        <v>380</v>
      </c>
      <c r="B13" s="141" t="s">
        <v>381</v>
      </c>
      <c r="C13" s="142"/>
      <c r="D13" s="142"/>
      <c r="E13" s="234"/>
      <c r="F13" s="143"/>
      <c r="H13" s="174"/>
      <c r="I13" s="200" t="str">
        <f t="shared" si="0"/>
        <v xml:space="preserve"> </v>
      </c>
      <c r="J13" s="200" t="str">
        <f t="shared" si="1"/>
        <v xml:space="preserve"> </v>
      </c>
    </row>
    <row r="14" spans="1:10" ht="12.75" customHeight="1">
      <c r="A14" s="140"/>
      <c r="B14" s="141" t="s">
        <v>378</v>
      </c>
      <c r="C14" s="142">
        <v>81</v>
      </c>
      <c r="D14" s="142" t="s">
        <v>379</v>
      </c>
      <c r="E14" s="235"/>
      <c r="F14" s="161">
        <f>E14*C14</f>
        <v>0</v>
      </c>
      <c r="H14" s="233" t="str">
        <f>'1. Etapa D.1.4.a-VZT'!H14</f>
        <v>I</v>
      </c>
      <c r="I14" s="200">
        <f t="shared" si="0"/>
        <v>0</v>
      </c>
      <c r="J14" s="200" t="str">
        <f t="shared" si="1"/>
        <v xml:space="preserve"> </v>
      </c>
    </row>
    <row r="15" spans="1:10" ht="12.75" customHeight="1">
      <c r="A15" s="140"/>
      <c r="B15" s="141"/>
      <c r="C15" s="142"/>
      <c r="D15" s="142"/>
      <c r="E15" s="234"/>
      <c r="F15" s="143"/>
      <c r="H15" s="174"/>
      <c r="I15" s="200" t="str">
        <f t="shared" si="0"/>
        <v xml:space="preserve"> </v>
      </c>
      <c r="J15" s="200" t="str">
        <f t="shared" si="1"/>
        <v xml:space="preserve"> </v>
      </c>
    </row>
    <row r="16" spans="1:10" ht="27.75" customHeight="1">
      <c r="A16" s="140" t="s">
        <v>382</v>
      </c>
      <c r="B16" s="141" t="s">
        <v>383</v>
      </c>
      <c r="C16" s="142"/>
      <c r="D16" s="142"/>
      <c r="E16" s="234"/>
      <c r="F16" s="143"/>
      <c r="H16" s="174"/>
      <c r="I16" s="200" t="str">
        <f t="shared" si="0"/>
        <v xml:space="preserve"> </v>
      </c>
      <c r="J16" s="200" t="str">
        <f t="shared" si="1"/>
        <v xml:space="preserve"> </v>
      </c>
    </row>
    <row r="17" spans="1:10" ht="12.75" customHeight="1">
      <c r="A17" s="140"/>
      <c r="B17" s="141" t="s">
        <v>384</v>
      </c>
      <c r="C17" s="142">
        <v>45</v>
      </c>
      <c r="D17" s="142" t="s">
        <v>102</v>
      </c>
      <c r="E17" s="235"/>
      <c r="F17" s="161">
        <f>E17*C17</f>
        <v>0</v>
      </c>
      <c r="H17" s="233" t="str">
        <f>'1. Etapa D.1.4.a-VZT'!H17</f>
        <v>I</v>
      </c>
      <c r="I17" s="200">
        <f t="shared" si="0"/>
        <v>0</v>
      </c>
      <c r="J17" s="200" t="str">
        <f t="shared" si="1"/>
        <v xml:space="preserve"> </v>
      </c>
    </row>
    <row r="18" spans="1:10" ht="12.75" customHeight="1">
      <c r="A18" s="140"/>
      <c r="B18" s="141" t="s">
        <v>385</v>
      </c>
      <c r="C18" s="142">
        <v>30</v>
      </c>
      <c r="D18" s="142" t="s">
        <v>102</v>
      </c>
      <c r="E18" s="235"/>
      <c r="F18" s="161">
        <f>E18*C18</f>
        <v>0</v>
      </c>
      <c r="H18" s="233" t="str">
        <f>'1. Etapa D.1.4.a-VZT'!H18</f>
        <v>I</v>
      </c>
      <c r="I18" s="200">
        <f t="shared" si="0"/>
        <v>0</v>
      </c>
      <c r="J18" s="200" t="str">
        <f t="shared" si="1"/>
        <v xml:space="preserve"> </v>
      </c>
    </row>
    <row r="19" spans="1:10" ht="12.75" customHeight="1">
      <c r="A19" s="140"/>
      <c r="B19" s="141"/>
      <c r="C19" s="142"/>
      <c r="D19" s="142"/>
      <c r="E19" s="234"/>
      <c r="F19" s="143"/>
      <c r="H19" s="174"/>
      <c r="I19" s="200" t="str">
        <f t="shared" si="0"/>
        <v xml:space="preserve"> </v>
      </c>
      <c r="J19" s="200" t="str">
        <f t="shared" si="1"/>
        <v xml:space="preserve"> </v>
      </c>
    </row>
    <row r="20" spans="1:10" ht="12.75" customHeight="1">
      <c r="A20" s="140" t="s">
        <v>386</v>
      </c>
      <c r="B20" s="141" t="s">
        <v>387</v>
      </c>
      <c r="C20" s="142"/>
      <c r="D20" s="142"/>
      <c r="E20" s="234"/>
      <c r="F20" s="143"/>
      <c r="H20" s="174"/>
      <c r="I20" s="200" t="str">
        <f t="shared" si="0"/>
        <v xml:space="preserve"> </v>
      </c>
      <c r="J20" s="200" t="str">
        <f t="shared" si="1"/>
        <v xml:space="preserve"> </v>
      </c>
    </row>
    <row r="21" spans="1:10" ht="12.75" customHeight="1">
      <c r="A21" s="140"/>
      <c r="B21" s="141" t="s">
        <v>388</v>
      </c>
      <c r="C21" s="142">
        <v>48</v>
      </c>
      <c r="D21" s="142" t="s">
        <v>389</v>
      </c>
      <c r="E21" s="235"/>
      <c r="F21" s="161">
        <f>E21*C21</f>
        <v>0</v>
      </c>
      <c r="H21" s="233" t="str">
        <f>'1. Etapa D.1.4.a-VZT'!H21</f>
        <v>I</v>
      </c>
      <c r="I21" s="200">
        <f t="shared" si="0"/>
        <v>0</v>
      </c>
      <c r="J21" s="200" t="str">
        <f t="shared" si="1"/>
        <v xml:space="preserve"> </v>
      </c>
    </row>
    <row r="22" spans="1:10" ht="12.75" customHeight="1">
      <c r="A22" s="140"/>
      <c r="B22" s="141"/>
      <c r="C22" s="142"/>
      <c r="D22" s="142"/>
      <c r="E22" s="234"/>
      <c r="F22" s="143"/>
      <c r="H22" s="174"/>
      <c r="I22" s="200" t="str">
        <f t="shared" si="0"/>
        <v xml:space="preserve"> </v>
      </c>
      <c r="J22" s="200" t="str">
        <f t="shared" si="1"/>
        <v xml:space="preserve"> </v>
      </c>
    </row>
    <row r="23" spans="1:10" ht="12.75" customHeight="1">
      <c r="A23" s="140" t="s">
        <v>390</v>
      </c>
      <c r="B23" s="141" t="s">
        <v>391</v>
      </c>
      <c r="C23" s="142"/>
      <c r="D23" s="142"/>
      <c r="E23" s="234"/>
      <c r="F23" s="143"/>
      <c r="H23" s="174"/>
      <c r="I23" s="200" t="str">
        <f t="shared" si="0"/>
        <v xml:space="preserve"> </v>
      </c>
      <c r="J23" s="200" t="str">
        <f t="shared" si="1"/>
        <v xml:space="preserve"> </v>
      </c>
    </row>
    <row r="24" spans="1:10" ht="12.75" customHeight="1">
      <c r="A24" s="140"/>
      <c r="B24" s="141" t="s">
        <v>392</v>
      </c>
      <c r="C24" s="142">
        <v>48</v>
      </c>
      <c r="D24" s="142" t="s">
        <v>389</v>
      </c>
      <c r="E24" s="235"/>
      <c r="F24" s="161">
        <f>E24*C24</f>
        <v>0</v>
      </c>
      <c r="H24" s="233" t="str">
        <f>'1. Etapa D.1.4.a-VZT'!H24</f>
        <v>I</v>
      </c>
      <c r="I24" s="200">
        <f t="shared" si="0"/>
        <v>0</v>
      </c>
      <c r="J24" s="200" t="str">
        <f t="shared" si="1"/>
        <v xml:space="preserve"> </v>
      </c>
    </row>
    <row r="25" spans="1:10" ht="12.75" customHeight="1">
      <c r="A25" s="140"/>
      <c r="B25" s="141"/>
      <c r="C25" s="142"/>
      <c r="D25" s="142"/>
      <c r="E25" s="234"/>
      <c r="F25" s="143"/>
      <c r="H25" s="174"/>
      <c r="I25" s="200" t="str">
        <f t="shared" si="0"/>
        <v xml:space="preserve"> </v>
      </c>
      <c r="J25" s="200" t="str">
        <f t="shared" si="1"/>
        <v xml:space="preserve"> </v>
      </c>
    </row>
    <row r="26" spans="1:10" ht="12.75" customHeight="1">
      <c r="A26" s="140" t="s">
        <v>393</v>
      </c>
      <c r="B26" s="141" t="s">
        <v>394</v>
      </c>
      <c r="C26" s="142"/>
      <c r="D26" s="142"/>
      <c r="E26" s="234"/>
      <c r="F26" s="143"/>
      <c r="H26" s="174"/>
      <c r="I26" s="200" t="str">
        <f t="shared" si="0"/>
        <v xml:space="preserve"> </v>
      </c>
      <c r="J26" s="200" t="str">
        <f t="shared" si="1"/>
        <v xml:space="preserve"> </v>
      </c>
    </row>
    <row r="27" spans="1:10" ht="12.75" customHeight="1">
      <c r="A27" s="140"/>
      <c r="B27" s="141"/>
      <c r="C27" s="142">
        <v>3</v>
      </c>
      <c r="D27" s="142" t="s">
        <v>389</v>
      </c>
      <c r="E27" s="235"/>
      <c r="F27" s="161">
        <f>E27*C27</f>
        <v>0</v>
      </c>
      <c r="G27" s="144"/>
      <c r="H27" s="233" t="str">
        <f>'1. Etapa D.1.4.a-VZT'!H27</f>
        <v>I</v>
      </c>
      <c r="I27" s="200">
        <f t="shared" si="0"/>
        <v>0</v>
      </c>
      <c r="J27" s="200" t="str">
        <f t="shared" si="1"/>
        <v xml:space="preserve"> </v>
      </c>
    </row>
    <row r="28" spans="1:10" ht="12.75" customHeight="1">
      <c r="A28" s="140"/>
      <c r="B28" s="141"/>
      <c r="C28" s="142"/>
      <c r="D28" s="142"/>
      <c r="E28" s="234"/>
      <c r="F28" s="143"/>
      <c r="G28" s="144"/>
      <c r="H28" s="174"/>
      <c r="I28" s="200" t="str">
        <f t="shared" si="0"/>
        <v xml:space="preserve"> </v>
      </c>
      <c r="J28" s="200" t="str">
        <f t="shared" si="1"/>
        <v xml:space="preserve"> </v>
      </c>
    </row>
    <row r="29" spans="1:10" ht="12.75" customHeight="1">
      <c r="A29" s="140" t="s">
        <v>395</v>
      </c>
      <c r="B29" s="141" t="s">
        <v>396</v>
      </c>
      <c r="C29" s="142">
        <v>94</v>
      </c>
      <c r="D29" s="142" t="s">
        <v>102</v>
      </c>
      <c r="E29" s="235"/>
      <c r="F29" s="161">
        <f>E29*C29</f>
        <v>0</v>
      </c>
      <c r="H29" s="233" t="str">
        <f>'1. Etapa D.1.4.a-VZT'!H29</f>
        <v>I</v>
      </c>
      <c r="I29" s="200">
        <f t="shared" si="0"/>
        <v>0</v>
      </c>
      <c r="J29" s="200" t="str">
        <f t="shared" si="1"/>
        <v xml:space="preserve"> </v>
      </c>
    </row>
    <row r="30" spans="1:10" ht="12.75" customHeight="1">
      <c r="A30" s="140"/>
      <c r="B30" s="141"/>
      <c r="C30" s="142"/>
      <c r="D30" s="142"/>
      <c r="E30" s="234"/>
      <c r="F30" s="143"/>
      <c r="H30" s="174"/>
      <c r="I30" s="200" t="str">
        <f t="shared" si="0"/>
        <v xml:space="preserve"> </v>
      </c>
      <c r="J30" s="200" t="str">
        <f t="shared" si="1"/>
        <v xml:space="preserve"> </v>
      </c>
    </row>
    <row r="31" spans="1:10" ht="12.75" customHeight="1">
      <c r="A31" s="146"/>
      <c r="B31" s="147" t="s">
        <v>397</v>
      </c>
      <c r="C31" s="148"/>
      <c r="D31" s="148"/>
      <c r="E31" s="236"/>
      <c r="F31" s="149"/>
      <c r="H31" s="174"/>
      <c r="I31" s="200" t="str">
        <f t="shared" si="0"/>
        <v xml:space="preserve"> </v>
      </c>
      <c r="J31" s="200" t="str">
        <f t="shared" si="1"/>
        <v xml:space="preserve"> </v>
      </c>
    </row>
    <row r="32" spans="1:10" ht="12.75" customHeight="1">
      <c r="A32" s="146"/>
      <c r="B32" s="150"/>
      <c r="C32" s="148"/>
      <c r="D32" s="148"/>
      <c r="E32" s="236"/>
      <c r="F32" s="149"/>
      <c r="H32" s="174"/>
      <c r="I32" s="200" t="str">
        <f t="shared" si="0"/>
        <v xml:space="preserve"> </v>
      </c>
      <c r="J32" s="200" t="str">
        <f t="shared" si="1"/>
        <v xml:space="preserve"> </v>
      </c>
    </row>
    <row r="33" spans="1:10" ht="12.75" customHeight="1">
      <c r="A33" s="146" t="s">
        <v>398</v>
      </c>
      <c r="B33" s="150" t="s">
        <v>399</v>
      </c>
      <c r="C33" s="148"/>
      <c r="D33" s="148"/>
      <c r="E33" s="236"/>
      <c r="F33" s="149"/>
      <c r="H33" s="174"/>
      <c r="I33" s="200" t="str">
        <f t="shared" si="0"/>
        <v xml:space="preserve"> </v>
      </c>
      <c r="J33" s="200" t="str">
        <f t="shared" si="1"/>
        <v xml:space="preserve"> </v>
      </c>
    </row>
    <row r="34" spans="1:10" ht="12.75" customHeight="1">
      <c r="A34" s="146"/>
      <c r="B34" s="150" t="s">
        <v>400</v>
      </c>
      <c r="C34" s="148">
        <v>21</v>
      </c>
      <c r="D34" s="148" t="s">
        <v>389</v>
      </c>
      <c r="E34" s="237"/>
      <c r="F34" s="162">
        <f>E34*C34</f>
        <v>0</v>
      </c>
      <c r="H34" s="233" t="str">
        <f>'1. Etapa D.1.4.a-VZT'!H34</f>
        <v>I</v>
      </c>
      <c r="I34" s="200">
        <f t="shared" si="0"/>
        <v>0</v>
      </c>
      <c r="J34" s="200" t="str">
        <f t="shared" si="1"/>
        <v xml:space="preserve"> </v>
      </c>
    </row>
    <row r="35" spans="1:10" ht="15" customHeight="1">
      <c r="A35" s="151"/>
      <c r="B35" s="152"/>
      <c r="C35" s="152"/>
      <c r="D35" s="152"/>
      <c r="E35" s="238"/>
      <c r="F35" s="153"/>
      <c r="H35" s="174"/>
      <c r="I35" s="200" t="str">
        <f t="shared" si="0"/>
        <v xml:space="preserve"> </v>
      </c>
      <c r="J35" s="200" t="str">
        <f t="shared" si="1"/>
        <v xml:space="preserve"> </v>
      </c>
    </row>
    <row r="36" spans="1:10" ht="24" customHeight="1">
      <c r="A36" s="154" t="s">
        <v>401</v>
      </c>
      <c r="B36" s="155" t="s">
        <v>402</v>
      </c>
      <c r="C36" s="156">
        <v>3</v>
      </c>
      <c r="D36" s="163" t="s">
        <v>360</v>
      </c>
      <c r="E36" s="239"/>
      <c r="F36" s="164">
        <f>E36*C36</f>
        <v>0</v>
      </c>
      <c r="H36" s="233" t="str">
        <f>'1. Etapa D.1.4.a-VZT'!H36</f>
        <v>I</v>
      </c>
      <c r="I36" s="200">
        <f t="shared" si="0"/>
        <v>0</v>
      </c>
      <c r="J36" s="200" t="str">
        <f t="shared" si="1"/>
        <v xml:space="preserve"> </v>
      </c>
    </row>
    <row r="37" spans="1:10" ht="24" customHeight="1" thickBot="1">
      <c r="A37" s="157" t="s">
        <v>401</v>
      </c>
      <c r="B37" s="158" t="s">
        <v>403</v>
      </c>
      <c r="C37" s="159">
        <v>1</v>
      </c>
      <c r="D37" s="165" t="s">
        <v>360</v>
      </c>
      <c r="E37" s="240"/>
      <c r="F37" s="166">
        <f>E37*C37</f>
        <v>0</v>
      </c>
      <c r="H37" s="233" t="str">
        <f>'1. Etapa D.1.4.a-VZT'!H37</f>
        <v>I</v>
      </c>
      <c r="I37" s="200">
        <f t="shared" si="0"/>
        <v>0</v>
      </c>
      <c r="J37" s="200" t="str">
        <f t="shared" si="1"/>
        <v xml:space="preserve"> </v>
      </c>
    </row>
    <row r="38" ht="15.75" customHeight="1">
      <c r="H38" s="174"/>
    </row>
    <row r="39" spans="1:10" ht="15" customHeight="1">
      <c r="A39" s="36" t="s">
        <v>404</v>
      </c>
      <c r="B39" s="37" t="s">
        <v>405</v>
      </c>
      <c r="C39" s="37" t="s">
        <v>86</v>
      </c>
      <c r="D39" s="36"/>
      <c r="E39" s="36" t="s">
        <v>406</v>
      </c>
      <c r="F39" s="167">
        <f>SUM(F7:F37)</f>
        <v>0</v>
      </c>
      <c r="H39" s="174"/>
      <c r="I39" s="167">
        <f>SUM(I4:I38)</f>
        <v>0</v>
      </c>
      <c r="J39" s="167">
        <f>SUM(J4:J38)</f>
        <v>0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 algorithmName="SHA-512" hashValue="VA9UH2oi3UmmxlRjKsSJ88aDE22puoNB/8jnDEf9aibBUPSTRWmdDhD5piwvWX6HAh4kayrTPlUgjTLEIEXTpg==" saltValue="0/cl4pAioCLsrRmgM0s39Q==" spinCount="100000" sheet="1" objects="1" scenarios="1"/>
  <autoFilter ref="A3:J40"/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1" ma:contentTypeDescription="Vytvoří nový dokument" ma:contentTypeScope="" ma:versionID="61b80124b50678fb17c392f271fcb045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fe4e42536bbb81580a82de12873f7742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A54B04-9FDF-4869-BCBB-6386150D37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581704-53ce-4cf0-bc92-473e606c1697"/>
    <ds:schemaRef ds:uri="a74a02d3-ba78-40be-bdfa-d7a93c6a8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579AA1-9483-4E64-8536-7787E4A284FA}">
  <ds:schemaRefs>
    <ds:schemaRef ds:uri="http://schemas.microsoft.com/office/2006/metadata/properties"/>
    <ds:schemaRef ds:uri="http://schemas.microsoft.com/office/infopath/2007/PartnerControls"/>
    <ds:schemaRef ds:uri="44581704-53ce-4cf0-bc92-473e606c1697"/>
    <ds:schemaRef ds:uri="a74a02d3-ba78-40be-bdfa-d7a93c6a8e2e"/>
  </ds:schemaRefs>
</ds:datastoreItem>
</file>

<file path=customXml/itemProps3.xml><?xml version="1.0" encoding="utf-8"?>
<ds:datastoreItem xmlns:ds="http://schemas.openxmlformats.org/officeDocument/2006/customXml" ds:itemID="{A6AB9AEF-F378-4FA9-AD29-36E448146A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Marie Vyklická</cp:lastModifiedBy>
  <dcterms:created xsi:type="dcterms:W3CDTF">2023-11-09T15:02:07Z</dcterms:created>
  <dcterms:modified xsi:type="dcterms:W3CDTF">2023-12-12T22:57:54Z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0x010100D8A66FBF610164449D505257A7874C17</vt:lpwstr>
  </property>
  <property fmtid="{D5CDD505-2E9C-101B-9397-08002B2CF9AE}" pid="3" name="MediaServiceImageTags">
    <vt:lpwstr/>
  </property>
</Properties>
</file>