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1" activeTab="6"/>
  </bookViews>
  <sheets>
    <sheet name="322 rozpočet" sheetId="1" r:id="rId1"/>
    <sheet name="322 Výkaz výměr" sheetId="2" r:id="rId2"/>
    <sheet name="322 Krycí list " sheetId="3" r:id="rId3"/>
    <sheet name="419 rozpočet" sheetId="4" r:id="rId4"/>
    <sheet name="419 výkaz výměr" sheetId="5" r:id="rId5"/>
    <sheet name="419 krycí list" sheetId="6" r:id="rId6"/>
    <sheet name="Rozpočet 649 668" sheetId="7" r:id="rId7"/>
    <sheet name="Výkaz výměr 649,668" sheetId="8" r:id="rId8"/>
    <sheet name="Krycí list 649, 668" sheetId="9" r:id="rId9"/>
  </sheets>
  <definedNames/>
  <calcPr fullCalcOnLoad="1"/>
</workbook>
</file>

<file path=xl/sharedStrings.xml><?xml version="1.0" encoding="utf-8"?>
<sst xmlns="http://schemas.openxmlformats.org/spreadsheetml/2006/main" count="978" uniqueCount="294">
  <si>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</si>
  <si>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</si>
  <si>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</si>
  <si>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</si>
  <si>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</si>
  <si>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</si>
  <si>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</si>
  <si>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</si>
  <si>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</si>
  <si>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</si>
  <si>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</si>
  <si>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</si>
  <si>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</si>
  <si>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</si>
  <si>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</si>
  <si>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Objekt</t>
  </si>
  <si>
    <t>Kód</t>
  </si>
  <si>
    <t>979011111R00</t>
  </si>
  <si>
    <t>979011121R00</t>
  </si>
  <si>
    <t>781</t>
  </si>
  <si>
    <t>781101111R00</t>
  </si>
  <si>
    <t>781101210R00</t>
  </si>
  <si>
    <t>781210131R00</t>
  </si>
  <si>
    <t>998781103R00</t>
  </si>
  <si>
    <t>97</t>
  </si>
  <si>
    <t>978059531R00</t>
  </si>
  <si>
    <t>030VD</t>
  </si>
  <si>
    <t>Stavební úpravy  v objektu 3.lékařské fakulty UK-m.č.322</t>
  </si>
  <si>
    <t>Stavební úpravy m.č.322-katedra histologie</t>
  </si>
  <si>
    <t>Ruská 87,Praha 10</t>
  </si>
  <si>
    <t>8013833</t>
  </si>
  <si>
    <t>Zkrácený popis</t>
  </si>
  <si>
    <t>Přesuny sutí</t>
  </si>
  <si>
    <t>Svislá doprava suti a vybour. hmot za 2.NP a 1.PP</t>
  </si>
  <si>
    <t>Příplatek za každé další podlaží</t>
  </si>
  <si>
    <t>Obklady (keramické)</t>
  </si>
  <si>
    <t>Vyrovnání podkladu maltou ze SMS tl. do 7 mm</t>
  </si>
  <si>
    <t>Penetrace podkladu pod obklady</t>
  </si>
  <si>
    <t>Obkládání stěn obkl. pórovin. do tmele</t>
  </si>
  <si>
    <t>Přesun hmot pro obklady keramické, výšky do 24 m</t>
  </si>
  <si>
    <t>Prorážení otvorů a ostatní bourací práce</t>
  </si>
  <si>
    <t>Odsekání vnitřních obkladů stěn nad 2 m2</t>
  </si>
  <si>
    <t>Ostatní materiál</t>
  </si>
  <si>
    <t>Dlaždice keramické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</si>
  <si>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</si>
  <si>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</si>
  <si>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</si>
  <si>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</si>
  <si>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</si>
  <si>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</si>
  <si>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</si>
  <si>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</si>
  <si>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</si>
  <si>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</si>
  <si>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</si>
  <si>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</si>
  <si>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</si>
  <si>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</si>
  <si>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</si>
  <si>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</si>
  <si>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</si>
  <si>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</si>
  <si>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3.lékařská fakulta UK,Ruská 87,Praha 10</t>
  </si>
  <si>
    <t>Ing.Marie Ohnesorgová</t>
  </si>
  <si>
    <t>Celkem</t>
  </si>
  <si>
    <t>Hmotnost (t)</t>
  </si>
  <si>
    <t>0</t>
  </si>
  <si>
    <t>Přesuny</t>
  </si>
  <si>
    <t>Typ skupiny</t>
  </si>
  <si>
    <t>OM</t>
  </si>
  <si>
    <t>PS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</si>
  <si>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</si>
  <si>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</si>
  <si>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</si>
  <si>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</si>
  <si>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</si>
  <si>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</si>
  <si>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</si>
  <si>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</si>
  <si>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Výkaz výměr</t>
  </si>
  <si>
    <t>Rozměry</t>
  </si>
  <si>
    <t>1,33*2</t>
  </si>
  <si>
    <t>0,0041+0,215</t>
  </si>
  <si>
    <t>(7,8*2+3,1-0,8*2)*1,0</t>
  </si>
  <si>
    <t>3,1*0,8</t>
  </si>
  <si>
    <t>19,58</t>
  </si>
  <si>
    <t>;ztratné 10%; 1,958</t>
  </si>
  <si>
    <t>Varianta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</si>
  <si>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</si>
  <si>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</si>
  <si>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</si>
  <si>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</si>
  <si>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</si>
  <si>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</si>
  <si>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</si>
  <si>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</si>
  <si>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</si>
  <si>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</si>
  <si>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</si>
  <si>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</si>
  <si>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</si>
  <si>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</si>
  <si>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</si>
  <si>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</si>
  <si>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</si>
  <si>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</si>
  <si>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</si>
  <si>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</si>
  <si>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</si>
  <si>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</si>
  <si>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</si>
  <si>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</si>
  <si>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</si>
  <si>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</si>
  <si>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</si>
  <si>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</si>
  <si>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</si>
  <si>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</si>
  <si>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</si>
  <si>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</si>
  <si>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</si>
  <si>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</si>
  <si>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</si>
  <si>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</si>
  <si>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</si>
  <si>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</si>
  <si>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</si>
  <si>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Podlahovina PVC-srovnatelně-předb.c.</t>
  </si>
  <si>
    <t>28416012.A</t>
  </si>
  <si>
    <t>42</t>
  </si>
  <si>
    <t>Dlaždice keramické-předb.c.</t>
  </si>
  <si>
    <t>41</t>
  </si>
  <si>
    <t>kpl</t>
  </si>
  <si>
    <t>EL-předb.c.</t>
  </si>
  <si>
    <t>005VD</t>
  </si>
  <si>
    <t>40</t>
  </si>
  <si>
    <t>ZT-vnitřní kanalizace,vodovod,zařiz.předm-předb.c.</t>
  </si>
  <si>
    <t>003VD</t>
  </si>
  <si>
    <t>39</t>
  </si>
  <si>
    <t>VZT-D+M-předb.c.</t>
  </si>
  <si>
    <t>001VD</t>
  </si>
  <si>
    <t>38</t>
  </si>
  <si>
    <t>37</t>
  </si>
  <si>
    <t>PR</t>
  </si>
  <si>
    <t>H781</t>
  </si>
  <si>
    <t>Přesun hmot pro podlahy povlakové, výšky do 24 m</t>
  </si>
  <si>
    <t>998776103R00</t>
  </si>
  <si>
    <t>36</t>
  </si>
  <si>
    <t>Podlahy povlakové</t>
  </si>
  <si>
    <t>H776</t>
  </si>
  <si>
    <t>35</t>
  </si>
  <si>
    <t>Otlučení omítek vnitřních stěn v rozsahu do 30 %</t>
  </si>
  <si>
    <t>978013141R00</t>
  </si>
  <si>
    <t>34</t>
  </si>
  <si>
    <t>Otlučení omítek vnitřních vápenných stropů do 10 %</t>
  </si>
  <si>
    <t>978011121R00</t>
  </si>
  <si>
    <t>33</t>
  </si>
  <si>
    <t>m</t>
  </si>
  <si>
    <t>Vysekání rýh pro rozvody medií</t>
  </si>
  <si>
    <t>974049121R00</t>
  </si>
  <si>
    <t>32</t>
  </si>
  <si>
    <t>Vyčištění budov o výšce podlaží do 4 m</t>
  </si>
  <si>
    <t>952901111R00</t>
  </si>
  <si>
    <t>31</t>
  </si>
  <si>
    <t>Různé dokončovací konstrukce a práce na pozemních stavbách</t>
  </si>
  <si>
    <t>95</t>
  </si>
  <si>
    <t>Lešení lehké pomocné, výška podlahy do 1,9 m</t>
  </si>
  <si>
    <t>941955002R00</t>
  </si>
  <si>
    <t>30</t>
  </si>
  <si>
    <t>Lešení a stavební výtahy</t>
  </si>
  <si>
    <t>94</t>
  </si>
  <si>
    <t>h</t>
  </si>
  <si>
    <t>Hzs-nezmeritelne stavebni prace</t>
  </si>
  <si>
    <t>909      R00</t>
  </si>
  <si>
    <t>29</t>
  </si>
  <si>
    <t>Hodinové zúčtovací sazby (HZS)</t>
  </si>
  <si>
    <t>90</t>
  </si>
  <si>
    <t>Vyhlazení malířskou masou 1x, výška do 3,8 m</t>
  </si>
  <si>
    <t>784498911R00</t>
  </si>
  <si>
    <t>28</t>
  </si>
  <si>
    <t>Odstranění malby oškrábáním v místnosti H do 3,8 m</t>
  </si>
  <si>
    <t>784402801R00</t>
  </si>
  <si>
    <t>27</t>
  </si>
  <si>
    <t>Malba tekutá Primalex Polar, barva, 2 x</t>
  </si>
  <si>
    <t>784195422R00</t>
  </si>
  <si>
    <t>26</t>
  </si>
  <si>
    <t>Penetrace podkladu nátěrem Tollens, Pen - Fix, 1 x</t>
  </si>
  <si>
    <t>784171201R00</t>
  </si>
  <si>
    <t>25</t>
  </si>
  <si>
    <t>Malby</t>
  </si>
  <si>
    <t>784</t>
  </si>
  <si>
    <t>Nátěr olejový kovových konstrukcí 2x + 1x email</t>
  </si>
  <si>
    <t>783215100R00</t>
  </si>
  <si>
    <t>24</t>
  </si>
  <si>
    <t>Odstranění nátěrů z kovových konstrukcí-kryty kanálků</t>
  </si>
  <si>
    <t>783201821R00</t>
  </si>
  <si>
    <t>23</t>
  </si>
  <si>
    <t>Nátěry</t>
  </si>
  <si>
    <t>783</t>
  </si>
  <si>
    <t>Příplatek za spárovací hmotu - plošně</t>
  </si>
  <si>
    <t>781419705RT2</t>
  </si>
  <si>
    <t>22</t>
  </si>
  <si>
    <t>Montáž obkladů stěn, porovin.,tmel, 20x20,30x15 cm</t>
  </si>
  <si>
    <t>781415015RT5</t>
  </si>
  <si>
    <t>21</t>
  </si>
  <si>
    <t>781101210RT1</t>
  </si>
  <si>
    <t>20</t>
  </si>
  <si>
    <t>19</t>
  </si>
  <si>
    <t>Lepení podlah PVC</t>
  </si>
  <si>
    <t>776591000RT1</t>
  </si>
  <si>
    <t>18</t>
  </si>
  <si>
    <t>Odstranění PVC podlah lepených</t>
  </si>
  <si>
    <t>776511820R00</t>
  </si>
  <si>
    <t>17</t>
  </si>
  <si>
    <t>Lepení podlahových soklíků z měkčeného PVC,vč. dodávky</t>
  </si>
  <si>
    <t>776421100RU1</t>
  </si>
  <si>
    <t>16</t>
  </si>
  <si>
    <t>Provedení penetrace podkladu</t>
  </si>
  <si>
    <t>776101121R00</t>
  </si>
  <si>
    <t>15</t>
  </si>
  <si>
    <t>776</t>
  </si>
  <si>
    <t>Soklíky  z MC, rovné-hrany kanálků-srovnatelně</t>
  </si>
  <si>
    <t>633451513R00</t>
  </si>
  <si>
    <t>14</t>
  </si>
  <si>
    <t>Příplatek za úpravu povrchu potěru</t>
  </si>
  <si>
    <t>632451911R00</t>
  </si>
  <si>
    <t>13</t>
  </si>
  <si>
    <t>Doplnění potěru -podlah.kanálky-odhad</t>
  </si>
  <si>
    <t>632451441R00</t>
  </si>
  <si>
    <t>12</t>
  </si>
  <si>
    <t>Potěr samonivelační ručně tl. 2 mm vyrovnávací</t>
  </si>
  <si>
    <t>632415102RT2</t>
  </si>
  <si>
    <t>11</t>
  </si>
  <si>
    <t>Podlahy a podlahové konstrukce</t>
  </si>
  <si>
    <t>63</t>
  </si>
  <si>
    <t>Omítka rýh stěn MV o šířce do 15 cm, štuková</t>
  </si>
  <si>
    <t>612423531R00</t>
  </si>
  <si>
    <t>10</t>
  </si>
  <si>
    <t>Oprava vápen.omítek stěn do 30 % pl. - štukových</t>
  </si>
  <si>
    <t>612421331RT2</t>
  </si>
  <si>
    <t>9</t>
  </si>
  <si>
    <t>Hrubá výplň rýh ve stěnách  maltou ze SMS</t>
  </si>
  <si>
    <t>612403380R00</t>
  </si>
  <si>
    <t>Oprava váp.omítek stropů do 10% plochy - štukových</t>
  </si>
  <si>
    <t>611421231RT2</t>
  </si>
  <si>
    <t>Úprava povrchů vnitřní</t>
  </si>
  <si>
    <t>61</t>
  </si>
  <si>
    <t>Přesun hmot pro budovy monolitické výšky do 24 m</t>
  </si>
  <si>
    <t>998012023R00</t>
  </si>
  <si>
    <t>Budovy občanské výstavby</t>
  </si>
  <si>
    <t>01</t>
  </si>
  <si>
    <t>Poplatek za skládku suti</t>
  </si>
  <si>
    <t>979990105R00</t>
  </si>
  <si>
    <t>Nakládání suti na dopravní prostředky</t>
  </si>
  <si>
    <t>979087112R00</t>
  </si>
  <si>
    <t>Vodorovné přemístění suti na skládku do 5000 m</t>
  </si>
  <si>
    <t>979083116R00</t>
  </si>
  <si>
    <t>8013853</t>
  </si>
  <si>
    <t>St.úpr.m.č.419.katedra biochemie</t>
  </si>
  <si>
    <t>Stavební úpravy v obj. 3. lékařské fakulty UK-m.č.419</t>
  </si>
  <si>
    <t>;ztratné 8%; 6,944</t>
  </si>
  <si>
    <t>86,8</t>
  </si>
  <si>
    <t>;ztratné 8%; 3,9024</t>
  </si>
  <si>
    <t>48,78</t>
  </si>
  <si>
    <t>196,38</t>
  </si>
  <si>
    <t>15*2</t>
  </si>
  <si>
    <t>směs SM (Knauf)</t>
  </si>
  <si>
    <t>Flexkleber (Knauf)</t>
  </si>
  <si>
    <t>penetrační nátěr Primer G</t>
  </si>
  <si>
    <t>pouze položení - pryž ve specifikaci</t>
  </si>
  <si>
    <t>včetně dodávky soklíku PVC</t>
  </si>
  <si>
    <t>(16,0+0,5)*2</t>
  </si>
  <si>
    <t>16,0*0,5</t>
  </si>
  <si>
    <t>MFC Level 320 - vyrovnávací</t>
  </si>
  <si>
    <t>86,80</t>
  </si>
  <si>
    <t>75,0*0,05</t>
  </si>
  <si>
    <t>s použitím suché maltové směsi</t>
  </si>
  <si>
    <t>1,98+1,30+0,14+0,98</t>
  </si>
  <si>
    <t>5,0*3</t>
  </si>
  <si>
    <t>4,91+0,09</t>
  </si>
  <si>
    <t>VZT-D+M-předb.cena</t>
  </si>
  <si>
    <t>0001VD</t>
  </si>
  <si>
    <t>Hzs-nezmeritelne stavebni prace(práce spojené s demontážemi a montážemi klimatizačních zařízení)-předb.c.</t>
  </si>
  <si>
    <t>801382</t>
  </si>
  <si>
    <t>St.úpr. m.č.649,668-kat. molekul. biologie</t>
  </si>
  <si>
    <t>3.lékařská fakulta UK</t>
  </si>
  <si>
    <t>Stavební úpravy v obj. 3. lékařské fakulty UK-m.č.649,668</t>
  </si>
  <si>
    <t>2   m.č.649</t>
  </si>
  <si>
    <t>1   m.č.668</t>
  </si>
  <si>
    <t>00</t>
  </si>
  <si>
    <t>2x4,7 kW+6,9kW</t>
  </si>
  <si>
    <t>do 3,5 kW+4,5 kW</t>
  </si>
  <si>
    <t>VZT-D+M-předb.cena 2x 4,7 kW+6,9kW</t>
  </si>
  <si>
    <t>VZT-D+M-předb.cena 1x do 3,5 kW+4,5kW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</si>
</sst>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0" fillId="0" borderId="28" xfId="0" applyNumberFormat="1" applyFont="1" applyFill="1" applyBorder="1" applyAlignment="1" applyProtection="1">
      <alignment horizontal="right" vertical="center"/>
      <protection/>
    </xf>
    <xf numFmtId="49" fontId="10" fillId="0" borderId="28" xfId="0" applyNumberFormat="1" applyFont="1" applyFill="1" applyBorder="1" applyAlignment="1" applyProtection="1">
      <alignment horizontal="right" vertical="center"/>
      <protection/>
    </xf>
    <xf numFmtId="4" fontId="9" fillId="33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49" fontId="9" fillId="33" borderId="46" xfId="0" applyNumberFormat="1" applyFont="1" applyFill="1" applyBorder="1" applyAlignment="1" applyProtection="1">
      <alignment horizontal="left" vertical="center"/>
      <protection/>
    </xf>
    <xf numFmtId="0" fontId="9" fillId="33" borderId="31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6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14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zoomScalePageLayoutView="0" workbookViewId="0" topLeftCell="A1">
      <selection activeCell="AO10" sqref="AO10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3.851562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66"/>
      <c r="C2" s="66"/>
      <c r="D2" s="53" t="s">
        <v>27</v>
      </c>
      <c r="E2" s="62" t="s">
        <v>44</v>
      </c>
      <c r="F2" s="66"/>
      <c r="G2" s="62"/>
      <c r="H2" s="66"/>
      <c r="I2" s="62" t="s">
        <v>57</v>
      </c>
      <c r="J2" s="62" t="s">
        <v>62</v>
      </c>
      <c r="K2" s="66"/>
      <c r="L2" s="67"/>
      <c r="M2" s="22"/>
    </row>
    <row r="3" spans="1:13" ht="12.75">
      <c r="A3" s="74"/>
      <c r="B3" s="63"/>
      <c r="C3" s="63"/>
      <c r="D3" s="77"/>
      <c r="E3" s="63"/>
      <c r="F3" s="63"/>
      <c r="G3" s="63"/>
      <c r="H3" s="63"/>
      <c r="I3" s="63"/>
      <c r="J3" s="63"/>
      <c r="K3" s="63"/>
      <c r="L3" s="68"/>
      <c r="M3" s="22"/>
    </row>
    <row r="4" spans="1:13" ht="12.75">
      <c r="A4" s="75" t="s">
        <v>2</v>
      </c>
      <c r="B4" s="63"/>
      <c r="C4" s="63"/>
      <c r="D4" s="64" t="s">
        <v>28</v>
      </c>
      <c r="E4" s="64" t="s">
        <v>45</v>
      </c>
      <c r="F4" s="63"/>
      <c r="G4" s="64" t="s">
        <v>5</v>
      </c>
      <c r="H4" s="63"/>
      <c r="I4" s="64" t="s">
        <v>58</v>
      </c>
      <c r="J4" s="64" t="s">
        <v>63</v>
      </c>
      <c r="K4" s="63"/>
      <c r="L4" s="68"/>
      <c r="M4" s="22"/>
    </row>
    <row r="5" spans="1:13" ht="12.75">
      <c r="A5" s="74"/>
      <c r="B5" s="63"/>
      <c r="C5" s="63"/>
      <c r="D5" s="63"/>
      <c r="E5" s="63"/>
      <c r="F5" s="63"/>
      <c r="G5" s="63"/>
      <c r="H5" s="63"/>
      <c r="I5" s="63"/>
      <c r="J5" s="63"/>
      <c r="K5" s="63"/>
      <c r="L5" s="68"/>
      <c r="M5" s="22"/>
    </row>
    <row r="6" spans="1:13" ht="12.75">
      <c r="A6" s="75" t="s">
        <v>3</v>
      </c>
      <c r="B6" s="63"/>
      <c r="C6" s="63"/>
      <c r="D6" s="64" t="s">
        <v>29</v>
      </c>
      <c r="E6" s="64" t="s">
        <v>46</v>
      </c>
      <c r="F6" s="63"/>
      <c r="G6" s="63"/>
      <c r="H6" s="63"/>
      <c r="I6" s="64" t="s">
        <v>59</v>
      </c>
      <c r="J6" s="64"/>
      <c r="K6" s="63"/>
      <c r="L6" s="68"/>
      <c r="M6" s="22"/>
    </row>
    <row r="7" spans="1:13" ht="12.75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8"/>
      <c r="M7" s="22"/>
    </row>
    <row r="8" spans="1:13" ht="12.75">
      <c r="A8" s="75" t="s">
        <v>4</v>
      </c>
      <c r="B8" s="63"/>
      <c r="C8" s="63"/>
      <c r="D8" s="64" t="s">
        <v>30</v>
      </c>
      <c r="E8" s="64" t="s">
        <v>47</v>
      </c>
      <c r="F8" s="63"/>
      <c r="G8" s="70"/>
      <c r="H8" s="63"/>
      <c r="I8" s="64" t="s">
        <v>60</v>
      </c>
      <c r="J8" s="64"/>
      <c r="K8" s="63"/>
      <c r="L8" s="68"/>
      <c r="M8" s="22"/>
    </row>
    <row r="9" spans="1:13" ht="12.75">
      <c r="A9" s="76"/>
      <c r="B9" s="65"/>
      <c r="C9" s="65"/>
      <c r="D9" s="65"/>
      <c r="E9" s="65"/>
      <c r="F9" s="65"/>
      <c r="G9" s="65"/>
      <c r="H9" s="65"/>
      <c r="I9" s="65"/>
      <c r="J9" s="65"/>
      <c r="K9" s="65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55" t="s">
        <v>54</v>
      </c>
      <c r="I10" s="56"/>
      <c r="J10" s="57"/>
      <c r="K10" s="55" t="s">
        <v>65</v>
      </c>
      <c r="L10" s="57"/>
      <c r="M10" s="23"/>
    </row>
    <row r="11" spans="1:24" ht="12.75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/>
      <c r="D12" s="58" t="s">
        <v>32</v>
      </c>
      <c r="E12" s="59"/>
      <c r="F12" s="59"/>
      <c r="G12" s="59"/>
      <c r="H12" s="27">
        <f>SUM(H13:H14)</f>
        <v>0</v>
      </c>
      <c r="I12" s="27">
        <f>SUM(I13:I14)</f>
        <v>0</v>
      </c>
      <c r="J12" s="27">
        <f>H12+I12</f>
        <v>0</v>
      </c>
      <c r="K12" s="20"/>
      <c r="L12" s="27">
        <f>SUM(L13:L14)</f>
        <v>0</v>
      </c>
      <c r="P12" s="28">
        <f>IF(Q12="PR",J12,SUM(O13:O14))</f>
        <v>0</v>
      </c>
      <c r="Q12" s="21" t="s">
        <v>69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SUM(Z13:Z14)</f>
        <v>0</v>
      </c>
      <c r="AJ12" s="28">
        <f>SUM(AA13:AA14)</f>
        <v>0</v>
      </c>
      <c r="AK12" s="28">
        <f>SUM(AB13:AB14)</f>
        <v>0</v>
      </c>
    </row>
    <row r="13" spans="1:32" ht="12.75">
      <c r="A13" s="4" t="s">
        <v>7</v>
      </c>
      <c r="B13" s="4"/>
      <c r="C13" s="4" t="s">
        <v>17</v>
      </c>
      <c r="D13" s="4" t="s">
        <v>33</v>
      </c>
      <c r="E13" s="4" t="s">
        <v>49</v>
      </c>
      <c r="F13" s="13">
        <v>1.33</v>
      </c>
      <c r="G13" s="13">
        <v>0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11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18</v>
      </c>
      <c r="D14" s="4" t="s">
        <v>34</v>
      </c>
      <c r="E14" s="4" t="s">
        <v>49</v>
      </c>
      <c r="F14" s="13">
        <v>2.66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11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6">
        <v>21</v>
      </c>
      <c r="AE14" s="26">
        <f>G14*0</f>
        <v>0</v>
      </c>
      <c r="AF14" s="26">
        <f>G14*(1-0)</f>
        <v>0</v>
      </c>
    </row>
    <row r="15" spans="1:37" ht="12.75">
      <c r="A15" s="5"/>
      <c r="B15" s="5"/>
      <c r="C15" s="11" t="s">
        <v>19</v>
      </c>
      <c r="D15" s="60" t="s">
        <v>289</v>
      </c>
      <c r="E15" s="61"/>
      <c r="F15" s="61"/>
      <c r="G15" s="61"/>
      <c r="H15" s="28">
        <f>SUM(H16:H19)</f>
        <v>0</v>
      </c>
      <c r="I15" s="28">
        <f>SUM(I16:I19)</f>
        <v>0</v>
      </c>
      <c r="J15" s="28">
        <f>H15+I15</f>
        <v>0</v>
      </c>
      <c r="K15" s="21"/>
      <c r="L15" s="28">
        <f>SUM(L16:L19)</f>
        <v>0.0041118</v>
      </c>
      <c r="P15" s="28">
        <f>IF(Q15="PR",J15,SUM(O16:O19))</f>
        <v>0</v>
      </c>
      <c r="Q15" s="21" t="s">
        <v>70</v>
      </c>
      <c r="R15" s="28">
        <f>IF(Q15="HS",H15,0)</f>
        <v>0</v>
      </c>
      <c r="S15" s="28">
        <f>IF(Q15="HS",I15-P15,0)</f>
        <v>0</v>
      </c>
      <c r="T15" s="28">
        <f>IF(Q15="PS",H15,0)</f>
        <v>0</v>
      </c>
      <c r="U15" s="28">
        <f>IF(Q15="PS",I15-P15,0)</f>
        <v>0</v>
      </c>
      <c r="V15" s="28">
        <f>IF(Q15="MP",H15,0)</f>
        <v>0</v>
      </c>
      <c r="W15" s="28">
        <f>IF(Q15="MP",I15-P15,0)</f>
        <v>0</v>
      </c>
      <c r="X15" s="28">
        <f>IF(Q15="OM",H15,0)</f>
        <v>0</v>
      </c>
      <c r="Y15" s="21"/>
      <c r="AI15" s="28">
        <f>SUM(Z16:Z19)</f>
        <v>0</v>
      </c>
      <c r="AJ15" s="28">
        <f>SUM(AA16:AA19)</f>
        <v>0</v>
      </c>
      <c r="AK15" s="28">
        <f>SUM(AB16:AB19)</f>
        <v>0</v>
      </c>
    </row>
    <row r="16" spans="1:32" ht="12.75">
      <c r="A16" s="4" t="s">
        <v>9</v>
      </c>
      <c r="B16" s="4"/>
      <c r="C16" s="4" t="s">
        <v>20</v>
      </c>
      <c r="D16" s="4" t="s">
        <v>36</v>
      </c>
      <c r="E16" s="4" t="s">
        <v>50</v>
      </c>
      <c r="F16" s="13">
        <v>19.58</v>
      </c>
      <c r="G16" s="13">
        <v>0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4" t="s">
        <v>7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6">
        <v>21</v>
      </c>
      <c r="AE16" s="26">
        <f>G16*0</f>
        <v>0</v>
      </c>
      <c r="AF16" s="26">
        <f>G16*(1-0)</f>
        <v>0</v>
      </c>
    </row>
    <row r="17" spans="1:32" ht="12.75">
      <c r="A17" s="4" t="s">
        <v>10</v>
      </c>
      <c r="B17" s="4"/>
      <c r="C17" s="4" t="s">
        <v>21</v>
      </c>
      <c r="D17" s="4" t="s">
        <v>37</v>
      </c>
      <c r="E17" s="4" t="s">
        <v>50</v>
      </c>
      <c r="F17" s="13">
        <v>19.58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0.00021</v>
      </c>
      <c r="L17" s="13">
        <f>F17*K17</f>
        <v>0.0041118</v>
      </c>
      <c r="N17" s="24" t="s">
        <v>7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6">
        <v>21</v>
      </c>
      <c r="AE17" s="26">
        <f>G17*0.554605075563159</f>
        <v>0</v>
      </c>
      <c r="AF17" s="26">
        <f>G17*(1-0.554605075563159)</f>
        <v>0</v>
      </c>
    </row>
    <row r="18" spans="1:32" ht="12.75">
      <c r="A18" s="4" t="s">
        <v>11</v>
      </c>
      <c r="B18" s="4"/>
      <c r="C18" s="4" t="s">
        <v>22</v>
      </c>
      <c r="D18" s="4" t="s">
        <v>38</v>
      </c>
      <c r="E18" s="4" t="s">
        <v>50</v>
      </c>
      <c r="F18" s="13">
        <v>19.58</v>
      </c>
      <c r="G18" s="13">
        <v>0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</v>
      </c>
      <c r="L18" s="13">
        <f>F18*K18</f>
        <v>0</v>
      </c>
      <c r="N18" s="24" t="s">
        <v>7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26">
        <v>21</v>
      </c>
      <c r="AE18" s="26">
        <f>G18*0</f>
        <v>0</v>
      </c>
      <c r="AF18" s="26">
        <f>G18*(1-0)</f>
        <v>0</v>
      </c>
    </row>
    <row r="19" spans="1:32" ht="12.75">
      <c r="A19" s="4" t="s">
        <v>12</v>
      </c>
      <c r="B19" s="4"/>
      <c r="C19" s="4" t="s">
        <v>23</v>
      </c>
      <c r="D19" s="4" t="s">
        <v>39</v>
      </c>
      <c r="E19" s="4" t="s">
        <v>49</v>
      </c>
      <c r="F19" s="13">
        <v>0.22</v>
      </c>
      <c r="G19" s="13">
        <v>0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4" t="s">
        <v>11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26">
        <v>21</v>
      </c>
      <c r="AE19" s="26">
        <f>G19*0</f>
        <v>0</v>
      </c>
      <c r="AF19" s="26">
        <f>G19*(1-0)</f>
        <v>0</v>
      </c>
    </row>
    <row r="20" spans="1:37" ht="12.75">
      <c r="A20" s="5"/>
      <c r="B20" s="5"/>
      <c r="C20" s="11" t="s">
        <v>24</v>
      </c>
      <c r="D20" s="60" t="s">
        <v>40</v>
      </c>
      <c r="E20" s="61"/>
      <c r="F20" s="61"/>
      <c r="G20" s="61"/>
      <c r="H20" s="28">
        <f>SUM(H21:H21)</f>
        <v>0</v>
      </c>
      <c r="I20" s="28">
        <f>SUM(I21:I21)</f>
        <v>0</v>
      </c>
      <c r="J20" s="28">
        <f>H20+I20</f>
        <v>0</v>
      </c>
      <c r="K20" s="21"/>
      <c r="L20" s="28">
        <f>SUM(L21:L21)</f>
        <v>1.33144</v>
      </c>
      <c r="P20" s="28">
        <f>IF(Q20="PR",J20,SUM(O21:O21))</f>
        <v>0</v>
      </c>
      <c r="Q20" s="21" t="s">
        <v>71</v>
      </c>
      <c r="R20" s="28">
        <f>IF(Q20="HS",H20,0)</f>
        <v>0</v>
      </c>
      <c r="S20" s="28">
        <f>IF(Q20="HS",I20-P20,0)</f>
        <v>0</v>
      </c>
      <c r="T20" s="28">
        <f>IF(Q20="PS",H20,0)</f>
        <v>0</v>
      </c>
      <c r="U20" s="28">
        <f>IF(Q20="PS",I20-P20,0)</f>
        <v>0</v>
      </c>
      <c r="V20" s="28">
        <f>IF(Q20="MP",H20,0)</f>
        <v>0</v>
      </c>
      <c r="W20" s="28">
        <f>IF(Q20="MP",I20-P20,0)</f>
        <v>0</v>
      </c>
      <c r="X20" s="28">
        <f>IF(Q20="OM",H20,0)</f>
        <v>0</v>
      </c>
      <c r="Y20" s="21"/>
      <c r="AI20" s="28">
        <f>SUM(Z21:Z21)</f>
        <v>0</v>
      </c>
      <c r="AJ20" s="28">
        <f>SUM(AA21:AA21)</f>
        <v>0</v>
      </c>
      <c r="AK20" s="28">
        <f>SUM(AB21:AB21)</f>
        <v>0</v>
      </c>
    </row>
    <row r="21" spans="1:32" ht="12.75">
      <c r="A21" s="4" t="s">
        <v>13</v>
      </c>
      <c r="B21" s="4"/>
      <c r="C21" s="4" t="s">
        <v>25</v>
      </c>
      <c r="D21" s="4" t="s">
        <v>41</v>
      </c>
      <c r="E21" s="4" t="s">
        <v>50</v>
      </c>
      <c r="F21" s="13">
        <v>19.58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0.068</v>
      </c>
      <c r="L21" s="13">
        <f>F21*K21</f>
        <v>1.33144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6">
        <v>21</v>
      </c>
      <c r="AE21" s="26">
        <f>G21*0</f>
        <v>0</v>
      </c>
      <c r="AF21" s="26">
        <f>G21*(1-0)</f>
        <v>0</v>
      </c>
    </row>
    <row r="22" spans="1:37" ht="12.75">
      <c r="A22" s="5"/>
      <c r="B22" s="5"/>
      <c r="C22" s="11"/>
      <c r="D22" s="60" t="s">
        <v>42</v>
      </c>
      <c r="E22" s="61"/>
      <c r="F22" s="61"/>
      <c r="G22" s="61"/>
      <c r="H22" s="28">
        <f>SUM(H23:H23)</f>
        <v>0</v>
      </c>
      <c r="I22" s="28">
        <f>SUM(I23:I23)</f>
        <v>0</v>
      </c>
      <c r="J22" s="28">
        <f>H22+I22</f>
        <v>0</v>
      </c>
      <c r="K22" s="21"/>
      <c r="L22" s="28">
        <f>SUM(L23:L23)</f>
        <v>0.2154</v>
      </c>
      <c r="P22" s="28">
        <f>IF(Q22="PR",J22,SUM(O23:O23))</f>
        <v>0</v>
      </c>
      <c r="Q22" s="21" t="s">
        <v>69</v>
      </c>
      <c r="R22" s="28">
        <f>IF(Q22="HS",H22,0)</f>
        <v>0</v>
      </c>
      <c r="S22" s="28">
        <f>IF(Q22="HS",I22-P22,0)</f>
        <v>0</v>
      </c>
      <c r="T22" s="28">
        <f>IF(Q22="PS",H22,0)</f>
        <v>0</v>
      </c>
      <c r="U22" s="28">
        <f>IF(Q22="PS",I22-P22,0)</f>
        <v>0</v>
      </c>
      <c r="V22" s="28">
        <f>IF(Q22="MP",H22,0)</f>
        <v>0</v>
      </c>
      <c r="W22" s="28">
        <f>IF(Q22="MP",I22-P22,0)</f>
        <v>0</v>
      </c>
      <c r="X22" s="28">
        <f>IF(Q22="OM",H22,0)</f>
        <v>0</v>
      </c>
      <c r="Y22" s="21"/>
      <c r="AI22" s="28">
        <f>SUM(Z23:Z23)</f>
        <v>0</v>
      </c>
      <c r="AJ22" s="28">
        <f>SUM(AA23:AA23)</f>
        <v>0</v>
      </c>
      <c r="AK22" s="28">
        <f>SUM(AB23:AB23)</f>
        <v>0</v>
      </c>
    </row>
    <row r="23" spans="1:32" ht="12.75">
      <c r="A23" s="6" t="s">
        <v>14</v>
      </c>
      <c r="B23" s="6"/>
      <c r="C23" s="6" t="s">
        <v>26</v>
      </c>
      <c r="D23" s="6" t="s">
        <v>43</v>
      </c>
      <c r="E23" s="6" t="s">
        <v>50</v>
      </c>
      <c r="F23" s="14">
        <v>21.54</v>
      </c>
      <c r="G23" s="14">
        <v>0</v>
      </c>
      <c r="H23" s="14">
        <f>ROUND(F23*AE23,2)</f>
        <v>0</v>
      </c>
      <c r="I23" s="14">
        <f>J23-H23</f>
        <v>0</v>
      </c>
      <c r="J23" s="14">
        <f>ROUND(F23*G23,2)</f>
        <v>0</v>
      </c>
      <c r="K23" s="14">
        <v>0.01</v>
      </c>
      <c r="L23" s="14">
        <f>F23*K23</f>
        <v>0.2154</v>
      </c>
      <c r="N23" s="25" t="s">
        <v>66</v>
      </c>
      <c r="O23" s="30">
        <f>IF(N23="5",I23,0)</f>
        <v>0</v>
      </c>
      <c r="Z23" s="30">
        <f>IF(AD23=0,J23,0)</f>
        <v>0</v>
      </c>
      <c r="AA23" s="30">
        <f>IF(AD23=15,J23,0)</f>
        <v>0</v>
      </c>
      <c r="AB23" s="30">
        <f>IF(AD23=21,J23,0)</f>
        <v>0</v>
      </c>
      <c r="AD23" s="26">
        <v>21</v>
      </c>
      <c r="AE23" s="26">
        <f>G23*1</f>
        <v>0</v>
      </c>
      <c r="AF23" s="26">
        <f>G23*(1-1)</f>
        <v>0</v>
      </c>
    </row>
    <row r="24" spans="1:28" ht="12.75">
      <c r="A24" s="7"/>
      <c r="B24" s="7"/>
      <c r="C24" s="7"/>
      <c r="D24" s="7"/>
      <c r="E24" s="7"/>
      <c r="F24" s="7"/>
      <c r="G24" s="7"/>
      <c r="H24" s="53" t="s">
        <v>56</v>
      </c>
      <c r="I24" s="54"/>
      <c r="J24" s="29">
        <f>J12+J15+J20+J22</f>
        <v>0</v>
      </c>
      <c r="K24" s="7"/>
      <c r="L24" s="7"/>
      <c r="Z24" s="31">
        <f>SUM(Z13:Z23)</f>
        <v>0</v>
      </c>
      <c r="AA24" s="31">
        <f>SUM(AA13:AA23)</f>
        <v>0</v>
      </c>
      <c r="AB24" s="31">
        <f>SUM(AB13:AB23)</f>
        <v>0</v>
      </c>
    </row>
  </sheetData>
  <sheetProtection/>
  <mergeCells count="32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24:I24"/>
    <mergeCell ref="H10:J10"/>
    <mergeCell ref="K10:L10"/>
    <mergeCell ref="D12:G12"/>
    <mergeCell ref="D15:G15"/>
    <mergeCell ref="D20:G20"/>
    <mergeCell ref="D22:G22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44.00390625" style="0" customWidth="1"/>
    <col min="5" max="5" width="9.8515625" style="0" customWidth="1"/>
    <col min="6" max="6" width="24.140625" style="0" customWidth="1"/>
    <col min="7" max="7" width="20.421875" style="0" customWidth="1"/>
    <col min="8" max="8" width="11.7109375" style="0" customWidth="1"/>
  </cols>
  <sheetData>
    <row r="1" spans="1:7" ht="21.75" customHeight="1">
      <c r="A1" s="71" t="s">
        <v>79</v>
      </c>
      <c r="B1" s="72"/>
      <c r="C1" s="72"/>
      <c r="D1" s="72"/>
      <c r="E1" s="72"/>
      <c r="F1" s="72"/>
      <c r="G1" s="72"/>
    </row>
    <row r="2" spans="1:8" ht="12.75">
      <c r="A2" s="73" t="s">
        <v>1</v>
      </c>
      <c r="B2" s="66"/>
      <c r="C2" s="53" t="s">
        <v>27</v>
      </c>
      <c r="D2" s="54"/>
      <c r="E2" s="62" t="s">
        <v>57</v>
      </c>
      <c r="F2" s="62" t="s">
        <v>62</v>
      </c>
      <c r="G2" s="67"/>
      <c r="H2" s="22"/>
    </row>
    <row r="3" spans="1:8" ht="12.75">
      <c r="A3" s="74"/>
      <c r="B3" s="63"/>
      <c r="C3" s="77"/>
      <c r="D3" s="77"/>
      <c r="E3" s="63"/>
      <c r="F3" s="63"/>
      <c r="G3" s="68"/>
      <c r="H3" s="22"/>
    </row>
    <row r="4" spans="1:8" ht="12.75">
      <c r="A4" s="75" t="s">
        <v>2</v>
      </c>
      <c r="B4" s="63"/>
      <c r="C4" s="64" t="s">
        <v>28</v>
      </c>
      <c r="D4" s="63"/>
      <c r="E4" s="64" t="s">
        <v>58</v>
      </c>
      <c r="F4" s="64" t="s">
        <v>63</v>
      </c>
      <c r="G4" s="68"/>
      <c r="H4" s="22"/>
    </row>
    <row r="5" spans="1:8" ht="12.75">
      <c r="A5" s="74"/>
      <c r="B5" s="63"/>
      <c r="C5" s="63"/>
      <c r="D5" s="63"/>
      <c r="E5" s="63"/>
      <c r="F5" s="63"/>
      <c r="G5" s="68"/>
      <c r="H5" s="22"/>
    </row>
    <row r="6" spans="1:8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8"/>
      <c r="H6" s="22"/>
    </row>
    <row r="7" spans="1:8" ht="12.75">
      <c r="A7" s="74"/>
      <c r="B7" s="63"/>
      <c r="C7" s="63"/>
      <c r="D7" s="63"/>
      <c r="E7" s="63"/>
      <c r="F7" s="63"/>
      <c r="G7" s="68"/>
      <c r="H7" s="22"/>
    </row>
    <row r="8" spans="1:8" ht="12.75">
      <c r="A8" s="75" t="s">
        <v>60</v>
      </c>
      <c r="B8" s="63"/>
      <c r="C8" s="64"/>
      <c r="D8" s="63"/>
      <c r="E8" s="64" t="s">
        <v>47</v>
      </c>
      <c r="F8" s="70"/>
      <c r="G8" s="68"/>
      <c r="H8" s="22"/>
    </row>
    <row r="9" spans="1:8" ht="12.75">
      <c r="A9" s="76"/>
      <c r="B9" s="65"/>
      <c r="C9" s="65"/>
      <c r="D9" s="65"/>
      <c r="E9" s="65"/>
      <c r="F9" s="65"/>
      <c r="G9" s="69"/>
      <c r="H9" s="38"/>
    </row>
    <row r="10" spans="1:9" ht="12.75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</v>
      </c>
      <c r="D11" s="33" t="s">
        <v>33</v>
      </c>
      <c r="E11" s="33" t="s">
        <v>49</v>
      </c>
      <c r="F11" s="33"/>
      <c r="G11" s="37">
        <v>1.33</v>
      </c>
      <c r="H11" s="40"/>
    </row>
    <row r="12" spans="1:7" ht="12.75">
      <c r="A12" s="4" t="s">
        <v>8</v>
      </c>
      <c r="B12" s="4"/>
      <c r="C12" s="4" t="s">
        <v>18</v>
      </c>
      <c r="D12" s="4" t="s">
        <v>34</v>
      </c>
      <c r="E12" s="4" t="s">
        <v>49</v>
      </c>
      <c r="F12" s="4" t="s">
        <v>81</v>
      </c>
      <c r="G12" s="13">
        <v>2.66</v>
      </c>
    </row>
    <row r="13" spans="1:7" ht="12.75">
      <c r="A13" s="4" t="s">
        <v>9</v>
      </c>
      <c r="B13" s="4"/>
      <c r="C13" s="4" t="s">
        <v>20</v>
      </c>
      <c r="D13" s="4" t="s">
        <v>36</v>
      </c>
      <c r="E13" s="4" t="s">
        <v>50</v>
      </c>
      <c r="F13" s="4"/>
      <c r="G13" s="13">
        <v>19.58</v>
      </c>
    </row>
    <row r="14" spans="1:7" ht="12.75">
      <c r="A14" s="4" t="s">
        <v>10</v>
      </c>
      <c r="B14" s="4"/>
      <c r="C14" s="4" t="s">
        <v>21</v>
      </c>
      <c r="D14" s="4" t="s">
        <v>37</v>
      </c>
      <c r="E14" s="4" t="s">
        <v>50</v>
      </c>
      <c r="F14" s="4"/>
      <c r="G14" s="13">
        <v>19.58</v>
      </c>
    </row>
    <row r="15" spans="1:7" ht="12.75">
      <c r="A15" s="4" t="s">
        <v>11</v>
      </c>
      <c r="B15" s="4"/>
      <c r="C15" s="4" t="s">
        <v>22</v>
      </c>
      <c r="D15" s="4" t="s">
        <v>38</v>
      </c>
      <c r="E15" s="4" t="s">
        <v>50</v>
      </c>
      <c r="F15" s="4"/>
      <c r="G15" s="13">
        <v>19.58</v>
      </c>
    </row>
    <row r="16" spans="1:7" ht="12.75">
      <c r="A16" s="4" t="s">
        <v>12</v>
      </c>
      <c r="B16" s="4"/>
      <c r="C16" s="4" t="s">
        <v>23</v>
      </c>
      <c r="D16" s="4" t="s">
        <v>39</v>
      </c>
      <c r="E16" s="4" t="s">
        <v>49</v>
      </c>
      <c r="F16" s="4" t="s">
        <v>82</v>
      </c>
      <c r="G16" s="13">
        <v>0.22</v>
      </c>
    </row>
    <row r="17" spans="1:7" ht="12.75">
      <c r="A17" s="4" t="s">
        <v>13</v>
      </c>
      <c r="B17" s="4"/>
      <c r="C17" s="4" t="s">
        <v>25</v>
      </c>
      <c r="D17" s="4" t="s">
        <v>41</v>
      </c>
      <c r="E17" s="4" t="s">
        <v>50</v>
      </c>
      <c r="F17" s="4" t="s">
        <v>83</v>
      </c>
      <c r="G17" s="13">
        <v>19.58</v>
      </c>
    </row>
    <row r="18" spans="1:7" ht="12.75">
      <c r="A18" s="4"/>
      <c r="B18" s="4"/>
      <c r="C18" s="4"/>
      <c r="D18" s="4"/>
      <c r="E18" s="4"/>
      <c r="F18" s="4" t="s">
        <v>84</v>
      </c>
      <c r="G18" s="13">
        <v>0</v>
      </c>
    </row>
    <row r="19" spans="1:7" ht="12.75">
      <c r="A19" s="34" t="s">
        <v>14</v>
      </c>
      <c r="B19" s="34"/>
      <c r="C19" s="34" t="s">
        <v>26</v>
      </c>
      <c r="D19" s="34" t="s">
        <v>43</v>
      </c>
      <c r="E19" s="34" t="s">
        <v>50</v>
      </c>
      <c r="F19" s="34" t="s">
        <v>85</v>
      </c>
      <c r="G19" s="30">
        <v>21.54</v>
      </c>
    </row>
    <row r="20" spans="1:7" ht="12.75">
      <c r="A20" s="34"/>
      <c r="B20" s="34"/>
      <c r="C20" s="34"/>
      <c r="D20" s="34"/>
      <c r="E20" s="34"/>
      <c r="F20" s="34" t="s">
        <v>86</v>
      </c>
      <c r="G20" s="30">
        <v>0</v>
      </c>
    </row>
  </sheetData>
  <sheetProtection/>
  <mergeCells count="17"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  <mergeCell ref="E4:E5"/>
    <mergeCell ref="E6:E7"/>
    <mergeCell ref="E8:E9"/>
    <mergeCell ref="F2:G3"/>
    <mergeCell ref="F4:G5"/>
    <mergeCell ref="F6:G7"/>
    <mergeCell ref="F8:G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102" t="s">
        <v>88</v>
      </c>
      <c r="B1" s="103"/>
      <c r="C1" s="103"/>
      <c r="D1" s="103"/>
      <c r="E1" s="103"/>
      <c r="F1" s="103"/>
      <c r="G1" s="103"/>
      <c r="H1" s="103"/>
      <c r="I1" s="103"/>
    </row>
    <row r="2" spans="1:10" ht="12.75">
      <c r="A2" s="73" t="s">
        <v>1</v>
      </c>
      <c r="B2" s="66"/>
      <c r="C2" s="53" t="s">
        <v>27</v>
      </c>
      <c r="D2" s="54"/>
      <c r="E2" s="62" t="s">
        <v>57</v>
      </c>
      <c r="F2" s="62" t="s">
        <v>62</v>
      </c>
      <c r="G2" s="66"/>
      <c r="H2" s="62" t="s">
        <v>123</v>
      </c>
      <c r="I2" s="95"/>
      <c r="J2" s="22"/>
    </row>
    <row r="3" spans="1:10" ht="12.75">
      <c r="A3" s="74"/>
      <c r="B3" s="63"/>
      <c r="C3" s="77"/>
      <c r="D3" s="77"/>
      <c r="E3" s="63"/>
      <c r="F3" s="63"/>
      <c r="G3" s="63"/>
      <c r="H3" s="63"/>
      <c r="I3" s="68"/>
      <c r="J3" s="22"/>
    </row>
    <row r="4" spans="1:10" ht="12.75">
      <c r="A4" s="75" t="s">
        <v>2</v>
      </c>
      <c r="B4" s="63"/>
      <c r="C4" s="64" t="s">
        <v>28</v>
      </c>
      <c r="D4" s="63"/>
      <c r="E4" s="64" t="s">
        <v>58</v>
      </c>
      <c r="F4" s="64" t="s">
        <v>63</v>
      </c>
      <c r="G4" s="63"/>
      <c r="H4" s="64" t="s">
        <v>123</v>
      </c>
      <c r="I4" s="96"/>
      <c r="J4" s="22"/>
    </row>
    <row r="5" spans="1:10" ht="12.75">
      <c r="A5" s="74"/>
      <c r="B5" s="63"/>
      <c r="C5" s="63"/>
      <c r="D5" s="63"/>
      <c r="E5" s="63"/>
      <c r="F5" s="63"/>
      <c r="G5" s="63"/>
      <c r="H5" s="63"/>
      <c r="I5" s="68"/>
      <c r="J5" s="22"/>
    </row>
    <row r="6" spans="1:10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3"/>
      <c r="H6" s="64" t="s">
        <v>123</v>
      </c>
      <c r="I6" s="96"/>
      <c r="J6" s="22"/>
    </row>
    <row r="7" spans="1:10" ht="12.75">
      <c r="A7" s="74"/>
      <c r="B7" s="63"/>
      <c r="C7" s="63"/>
      <c r="D7" s="63"/>
      <c r="E7" s="63"/>
      <c r="F7" s="63"/>
      <c r="G7" s="63"/>
      <c r="H7" s="63"/>
      <c r="I7" s="68"/>
      <c r="J7" s="22"/>
    </row>
    <row r="8" spans="1:10" ht="12.75">
      <c r="A8" s="75" t="s">
        <v>45</v>
      </c>
      <c r="B8" s="63"/>
      <c r="C8" s="64" t="s">
        <v>5</v>
      </c>
      <c r="D8" s="63"/>
      <c r="E8" s="64" t="s">
        <v>46</v>
      </c>
      <c r="F8" s="63"/>
      <c r="G8" s="63"/>
      <c r="H8" s="64" t="s">
        <v>124</v>
      </c>
      <c r="I8" s="96"/>
      <c r="J8" s="22"/>
    </row>
    <row r="9" spans="1:10" ht="12.75">
      <c r="A9" s="74"/>
      <c r="B9" s="63"/>
      <c r="C9" s="63"/>
      <c r="D9" s="63"/>
      <c r="E9" s="63"/>
      <c r="F9" s="63"/>
      <c r="G9" s="63"/>
      <c r="H9" s="63"/>
      <c r="I9" s="68"/>
      <c r="J9" s="22"/>
    </row>
    <row r="10" spans="1:10" ht="12.75">
      <c r="A10" s="75" t="s">
        <v>4</v>
      </c>
      <c r="B10" s="63"/>
      <c r="C10" s="64" t="s">
        <v>30</v>
      </c>
      <c r="D10" s="63"/>
      <c r="E10" s="64" t="s">
        <v>60</v>
      </c>
      <c r="F10" s="64"/>
      <c r="G10" s="63"/>
      <c r="H10" s="64" t="s">
        <v>125</v>
      </c>
      <c r="I10" s="97"/>
      <c r="J10" s="22"/>
    </row>
    <row r="11" spans="1:10" ht="12.75">
      <c r="A11" s="104"/>
      <c r="B11" s="101"/>
      <c r="C11" s="101"/>
      <c r="D11" s="101"/>
      <c r="E11" s="101"/>
      <c r="F11" s="101"/>
      <c r="G11" s="101"/>
      <c r="H11" s="101"/>
      <c r="I11" s="98"/>
      <c r="J11" s="22"/>
    </row>
    <row r="12" spans="1:9" ht="23.25" customHeight="1">
      <c r="A12" s="99" t="s">
        <v>89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1" t="s">
        <v>90</v>
      </c>
      <c r="B13" s="93" t="s">
        <v>101</v>
      </c>
      <c r="C13" s="94"/>
      <c r="D13" s="41" t="s">
        <v>103</v>
      </c>
      <c r="E13" s="93" t="s">
        <v>111</v>
      </c>
      <c r="F13" s="94"/>
      <c r="G13" s="41" t="s">
        <v>112</v>
      </c>
      <c r="H13" s="93" t="s">
        <v>126</v>
      </c>
      <c r="I13" s="94"/>
      <c r="J13" s="22"/>
    </row>
    <row r="14" spans="1:10" ht="15" customHeight="1">
      <c r="A14" s="42" t="s">
        <v>91</v>
      </c>
      <c r="B14" s="46" t="s">
        <v>102</v>
      </c>
      <c r="C14" s="49">
        <f>SUM('322 rozpočet'!R12:R23)</f>
        <v>0</v>
      </c>
      <c r="D14" s="89" t="s">
        <v>104</v>
      </c>
      <c r="E14" s="90"/>
      <c r="F14" s="49">
        <v>0</v>
      </c>
      <c r="G14" s="89" t="s">
        <v>113</v>
      </c>
      <c r="H14" s="90"/>
      <c r="I14" s="49">
        <v>0</v>
      </c>
      <c r="J14" s="22"/>
    </row>
    <row r="15" spans="1:10" ht="15" customHeight="1">
      <c r="A15" s="43"/>
      <c r="B15" s="46" t="s">
        <v>61</v>
      </c>
      <c r="C15" s="49">
        <f>SUM('322 rozpočet'!S12:S23)</f>
        <v>0</v>
      </c>
      <c r="D15" s="89" t="s">
        <v>105</v>
      </c>
      <c r="E15" s="90"/>
      <c r="F15" s="49">
        <v>0</v>
      </c>
      <c r="G15" s="89" t="s">
        <v>114</v>
      </c>
      <c r="H15" s="90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SUM('322 rozpočet'!T12:T23)</f>
        <v>0</v>
      </c>
      <c r="D16" s="89" t="s">
        <v>106</v>
      </c>
      <c r="E16" s="90"/>
      <c r="F16" s="49">
        <v>0</v>
      </c>
      <c r="G16" s="89" t="s">
        <v>115</v>
      </c>
      <c r="H16" s="90"/>
      <c r="I16" s="49">
        <v>0</v>
      </c>
      <c r="J16" s="22"/>
    </row>
    <row r="17" spans="1:10" ht="15" customHeight="1">
      <c r="A17" s="43"/>
      <c r="B17" s="46" t="s">
        <v>61</v>
      </c>
      <c r="C17" s="49">
        <f>SUM('322 rozpočet'!U12:U23)</f>
        <v>0</v>
      </c>
      <c r="D17" s="89"/>
      <c r="E17" s="90"/>
      <c r="F17" s="50"/>
      <c r="G17" s="89" t="s">
        <v>116</v>
      </c>
      <c r="H17" s="90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SUM('322 rozpočet'!V12:V23)</f>
        <v>0</v>
      </c>
      <c r="D18" s="89"/>
      <c r="E18" s="90"/>
      <c r="F18" s="50"/>
      <c r="G18" s="89" t="s">
        <v>117</v>
      </c>
      <c r="H18" s="90"/>
      <c r="I18" s="49">
        <v>0</v>
      </c>
      <c r="J18" s="22"/>
    </row>
    <row r="19" spans="1:10" ht="15" customHeight="1">
      <c r="A19" s="43"/>
      <c r="B19" s="46" t="s">
        <v>61</v>
      </c>
      <c r="C19" s="49">
        <f>SUM('322 rozpočet'!W12:W23)</f>
        <v>0</v>
      </c>
      <c r="D19" s="89"/>
      <c r="E19" s="90"/>
      <c r="F19" s="50"/>
      <c r="G19" s="89" t="s">
        <v>118</v>
      </c>
      <c r="H19" s="90"/>
      <c r="I19" s="49">
        <v>0</v>
      </c>
      <c r="J19" s="22"/>
    </row>
    <row r="20" spans="1:10" ht="15" customHeight="1">
      <c r="A20" s="91" t="s">
        <v>42</v>
      </c>
      <c r="B20" s="92"/>
      <c r="C20" s="49">
        <f>SUM('322 rozpočet'!X12:X23)</f>
        <v>0</v>
      </c>
      <c r="D20" s="89"/>
      <c r="E20" s="90"/>
      <c r="F20" s="50"/>
      <c r="G20" s="89"/>
      <c r="H20" s="90"/>
      <c r="I20" s="50"/>
      <c r="J20" s="22"/>
    </row>
    <row r="21" spans="1:10" ht="15" customHeight="1">
      <c r="A21" s="91" t="s">
        <v>94</v>
      </c>
      <c r="B21" s="92"/>
      <c r="C21" s="49">
        <f>SUM('322 rozpočet'!P12:P23)</f>
        <v>0</v>
      </c>
      <c r="D21" s="89"/>
      <c r="E21" s="90"/>
      <c r="F21" s="50"/>
      <c r="G21" s="89"/>
      <c r="H21" s="90"/>
      <c r="I21" s="50"/>
      <c r="J21" s="22"/>
    </row>
    <row r="22" spans="1:10" ht="16.5" customHeight="1">
      <c r="A22" s="91" t="s">
        <v>95</v>
      </c>
      <c r="B22" s="92"/>
      <c r="C22" s="49">
        <f>SUM(C14:C21)</f>
        <v>0</v>
      </c>
      <c r="D22" s="91" t="s">
        <v>107</v>
      </c>
      <c r="E22" s="92"/>
      <c r="F22" s="49">
        <f>SUM(F14:F21)</f>
        <v>0</v>
      </c>
      <c r="G22" s="91" t="s">
        <v>119</v>
      </c>
      <c r="H22" s="92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84" t="s">
        <v>96</v>
      </c>
      <c r="B24" s="85"/>
      <c r="C24" s="51">
        <f>ROUND(SUM('322 rozpočet'!Z12:Z23),2)</f>
        <v>0</v>
      </c>
      <c r="D24" s="47"/>
      <c r="E24" s="48"/>
      <c r="F24" s="48"/>
      <c r="G24" s="48"/>
      <c r="H24" s="48"/>
      <c r="I24" s="48"/>
    </row>
    <row r="25" spans="1:10" ht="15" customHeight="1">
      <c r="A25" s="84" t="s">
        <v>97</v>
      </c>
      <c r="B25" s="85"/>
      <c r="C25" s="51">
        <f>ROUND(SUM('322 rozpočet'!AA12:AA23),2)</f>
        <v>0</v>
      </c>
      <c r="D25" s="84" t="s">
        <v>108</v>
      </c>
      <c r="E25" s="85"/>
      <c r="F25" s="51">
        <f>ROUND(C25*(15/100),2)</f>
        <v>0</v>
      </c>
      <c r="G25" s="84" t="s">
        <v>120</v>
      </c>
      <c r="H25" s="85"/>
      <c r="I25" s="51">
        <f>SUM(C24:C26)</f>
        <v>0</v>
      </c>
      <c r="J25" s="22"/>
    </row>
    <row r="26" spans="1:10" ht="15" customHeight="1">
      <c r="A26" s="84" t="s">
        <v>98</v>
      </c>
      <c r="B26" s="85"/>
      <c r="C26" s="51">
        <f>ROUND(SUM('322 rozpočet'!AB12:AB23)+(F22+I22),2)</f>
        <v>0</v>
      </c>
      <c r="D26" s="84" t="s">
        <v>109</v>
      </c>
      <c r="E26" s="85"/>
      <c r="F26" s="51">
        <f>ROUND(C26*(21/100),2)</f>
        <v>0</v>
      </c>
      <c r="G26" s="84" t="s">
        <v>121</v>
      </c>
      <c r="H26" s="85"/>
      <c r="I26" s="51">
        <f>ROUND(SUM(F25:F26)+I25,2)</f>
        <v>0</v>
      </c>
      <c r="J26" s="22"/>
    </row>
    <row r="27" spans="1:9" ht="12.75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86" t="s">
        <v>99</v>
      </c>
      <c r="B28" s="87"/>
      <c r="C28" s="88"/>
      <c r="D28" s="86" t="s">
        <v>110</v>
      </c>
      <c r="E28" s="87"/>
      <c r="F28" s="88"/>
      <c r="G28" s="86" t="s">
        <v>122</v>
      </c>
      <c r="H28" s="87"/>
      <c r="I28" s="88"/>
      <c r="J28" s="23"/>
    </row>
    <row r="29" spans="1:10" ht="14.25" customHeight="1">
      <c r="A29" s="78"/>
      <c r="B29" s="79"/>
      <c r="C29" s="80"/>
      <c r="D29" s="78"/>
      <c r="E29" s="79"/>
      <c r="F29" s="80"/>
      <c r="G29" s="78"/>
      <c r="H29" s="79"/>
      <c r="I29" s="80"/>
      <c r="J29" s="23"/>
    </row>
    <row r="30" spans="1:10" ht="14.25" customHeight="1">
      <c r="A30" s="78"/>
      <c r="B30" s="79"/>
      <c r="C30" s="80"/>
      <c r="D30" s="78"/>
      <c r="E30" s="79"/>
      <c r="F30" s="80"/>
      <c r="G30" s="78"/>
      <c r="H30" s="79"/>
      <c r="I30" s="80"/>
      <c r="J30" s="23"/>
    </row>
    <row r="31" spans="1:10" ht="14.25" customHeight="1">
      <c r="A31" s="78"/>
      <c r="B31" s="79"/>
      <c r="C31" s="80"/>
      <c r="D31" s="78"/>
      <c r="E31" s="79"/>
      <c r="F31" s="80"/>
      <c r="G31" s="78"/>
      <c r="H31" s="79"/>
      <c r="I31" s="80"/>
      <c r="J31" s="23"/>
    </row>
    <row r="32" spans="1:10" ht="14.25" customHeight="1">
      <c r="A32" s="81" t="s">
        <v>100</v>
      </c>
      <c r="B32" s="82"/>
      <c r="C32" s="83"/>
      <c r="D32" s="81" t="s">
        <v>100</v>
      </c>
      <c r="E32" s="82"/>
      <c r="F32" s="83"/>
      <c r="G32" s="81" t="s">
        <v>100</v>
      </c>
      <c r="H32" s="82"/>
      <c r="I32" s="83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8:E18"/>
    <mergeCell ref="D19:E19"/>
    <mergeCell ref="D20:E20"/>
    <mergeCell ref="D21:E21"/>
    <mergeCell ref="D22:E22"/>
    <mergeCell ref="A20:B20"/>
    <mergeCell ref="A21:B21"/>
    <mergeCell ref="A22:B22"/>
    <mergeCell ref="G19:H19"/>
    <mergeCell ref="G20:H20"/>
    <mergeCell ref="G21:H21"/>
    <mergeCell ref="G22:H22"/>
    <mergeCell ref="A24:B24"/>
    <mergeCell ref="A25:B25"/>
    <mergeCell ref="D25:E25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PageLayoutView="0" workbookViewId="0" topLeftCell="A1">
      <selection activeCell="D8" sqref="D8:D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9.71093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66"/>
      <c r="C2" s="66"/>
      <c r="D2" s="53" t="s">
        <v>259</v>
      </c>
      <c r="E2" s="62" t="s">
        <v>44</v>
      </c>
      <c r="F2" s="66"/>
      <c r="G2" s="62"/>
      <c r="H2" s="66"/>
      <c r="I2" s="62" t="s">
        <v>57</v>
      </c>
      <c r="J2" s="62" t="s">
        <v>62</v>
      </c>
      <c r="K2" s="66"/>
      <c r="L2" s="67"/>
      <c r="M2" s="22"/>
    </row>
    <row r="3" spans="1:13" ht="12.75">
      <c r="A3" s="74"/>
      <c r="B3" s="63"/>
      <c r="C3" s="63"/>
      <c r="D3" s="77"/>
      <c r="E3" s="63"/>
      <c r="F3" s="63"/>
      <c r="G3" s="63"/>
      <c r="H3" s="63"/>
      <c r="I3" s="63"/>
      <c r="J3" s="63"/>
      <c r="K3" s="63"/>
      <c r="L3" s="68"/>
      <c r="M3" s="22"/>
    </row>
    <row r="4" spans="1:13" ht="12.75">
      <c r="A4" s="75" t="s">
        <v>2</v>
      </c>
      <c r="B4" s="63"/>
      <c r="C4" s="63"/>
      <c r="D4" s="64" t="s">
        <v>258</v>
      </c>
      <c r="E4" s="64" t="s">
        <v>45</v>
      </c>
      <c r="F4" s="63"/>
      <c r="G4" s="64" t="s">
        <v>5</v>
      </c>
      <c r="H4" s="63"/>
      <c r="I4" s="64" t="s">
        <v>58</v>
      </c>
      <c r="J4" s="64" t="s">
        <v>63</v>
      </c>
      <c r="K4" s="63"/>
      <c r="L4" s="68"/>
      <c r="M4" s="22"/>
    </row>
    <row r="5" spans="1:13" ht="12.75">
      <c r="A5" s="74"/>
      <c r="B5" s="63"/>
      <c r="C5" s="63"/>
      <c r="D5" s="63"/>
      <c r="E5" s="63"/>
      <c r="F5" s="63"/>
      <c r="G5" s="63"/>
      <c r="H5" s="63"/>
      <c r="I5" s="63"/>
      <c r="J5" s="63"/>
      <c r="K5" s="63"/>
      <c r="L5" s="68"/>
      <c r="M5" s="22"/>
    </row>
    <row r="6" spans="1:13" ht="12.75">
      <c r="A6" s="75" t="s">
        <v>3</v>
      </c>
      <c r="B6" s="63"/>
      <c r="C6" s="63"/>
      <c r="D6" s="64" t="s">
        <v>29</v>
      </c>
      <c r="E6" s="64" t="s">
        <v>46</v>
      </c>
      <c r="F6" s="63"/>
      <c r="G6" s="63"/>
      <c r="H6" s="63"/>
      <c r="I6" s="64" t="s">
        <v>59</v>
      </c>
      <c r="J6" s="64"/>
      <c r="K6" s="63"/>
      <c r="L6" s="68"/>
      <c r="M6" s="22"/>
    </row>
    <row r="7" spans="1:13" ht="12.75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8"/>
      <c r="M7" s="22"/>
    </row>
    <row r="8" spans="1:13" ht="12.75">
      <c r="A8" s="75" t="s">
        <v>4</v>
      </c>
      <c r="B8" s="63"/>
      <c r="C8" s="63"/>
      <c r="D8" s="64" t="s">
        <v>257</v>
      </c>
      <c r="E8" s="64" t="s">
        <v>47</v>
      </c>
      <c r="F8" s="63"/>
      <c r="G8" s="70"/>
      <c r="H8" s="63"/>
      <c r="I8" s="64" t="s">
        <v>60</v>
      </c>
      <c r="J8" s="64"/>
      <c r="K8" s="63"/>
      <c r="L8" s="68"/>
      <c r="M8" s="22"/>
    </row>
    <row r="9" spans="1:13" ht="13.5" thickBot="1">
      <c r="A9" s="76"/>
      <c r="B9" s="65"/>
      <c r="C9" s="65"/>
      <c r="D9" s="65"/>
      <c r="E9" s="65"/>
      <c r="F9" s="65"/>
      <c r="G9" s="65"/>
      <c r="H9" s="65"/>
      <c r="I9" s="65"/>
      <c r="J9" s="65"/>
      <c r="K9" s="65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55" t="s">
        <v>54</v>
      </c>
      <c r="I10" s="56"/>
      <c r="J10" s="57"/>
      <c r="K10" s="55" t="s">
        <v>65</v>
      </c>
      <c r="L10" s="57"/>
      <c r="M10" s="23"/>
    </row>
    <row r="11" spans="1:24" ht="13.5" thickBot="1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/>
      <c r="D12" s="58" t="s">
        <v>32</v>
      </c>
      <c r="E12" s="59"/>
      <c r="F12" s="59"/>
      <c r="G12" s="59"/>
      <c r="H12" s="27">
        <f>SUM(H13:H17)</f>
        <v>0</v>
      </c>
      <c r="I12" s="27">
        <f>SUM(I13:I17)</f>
        <v>0</v>
      </c>
      <c r="J12" s="27">
        <f>H12+I12</f>
        <v>0</v>
      </c>
      <c r="K12" s="20"/>
      <c r="L12" s="27">
        <f>SUM(L13:L17)</f>
        <v>0</v>
      </c>
      <c r="P12" s="28">
        <f>IF(Q12="PR",J12,SUM(O13:O17))</f>
        <v>0</v>
      </c>
      <c r="Q12" s="21" t="s">
        <v>69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SUM(Z13:Z17)</f>
        <v>0</v>
      </c>
      <c r="AJ12" s="28">
        <f>SUM(AA13:AA17)</f>
        <v>0</v>
      </c>
      <c r="AK12" s="28">
        <f>SUM(AB13:AB17)</f>
        <v>0</v>
      </c>
    </row>
    <row r="13" spans="1:32" ht="12.75">
      <c r="A13" s="4" t="s">
        <v>7</v>
      </c>
      <c r="B13" s="4"/>
      <c r="C13" s="4" t="s">
        <v>17</v>
      </c>
      <c r="D13" s="4" t="s">
        <v>33</v>
      </c>
      <c r="E13" s="4" t="s">
        <v>49</v>
      </c>
      <c r="F13" s="13">
        <v>5</v>
      </c>
      <c r="G13" s="13">
        <v>0</v>
      </c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11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2" ht="12.75">
      <c r="A14" s="4" t="s">
        <v>8</v>
      </c>
      <c r="B14" s="4"/>
      <c r="C14" s="4" t="s">
        <v>18</v>
      </c>
      <c r="D14" s="4" t="s">
        <v>34</v>
      </c>
      <c r="E14" s="4" t="s">
        <v>49</v>
      </c>
      <c r="F14" s="13">
        <v>15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N14" s="24" t="s">
        <v>11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6">
        <v>21</v>
      </c>
      <c r="AE14" s="26">
        <f>G14*0</f>
        <v>0</v>
      </c>
      <c r="AF14" s="26">
        <f>G14*(1-0)</f>
        <v>0</v>
      </c>
    </row>
    <row r="15" spans="1:32" ht="12.75">
      <c r="A15" s="4" t="s">
        <v>9</v>
      </c>
      <c r="B15" s="4"/>
      <c r="C15" s="4" t="s">
        <v>256</v>
      </c>
      <c r="D15" s="4" t="s">
        <v>255</v>
      </c>
      <c r="E15" s="4" t="s">
        <v>49</v>
      </c>
      <c r="F15" s="13">
        <v>5</v>
      </c>
      <c r="G15" s="13">
        <v>0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N15" s="24" t="s">
        <v>11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6">
        <v>21</v>
      </c>
      <c r="AE15" s="26">
        <f>G15*0.00895149081813993</f>
        <v>0</v>
      </c>
      <c r="AF15" s="26">
        <f>G15*(1-0.00895149081813993)</f>
        <v>0</v>
      </c>
    </row>
    <row r="16" spans="1:32" ht="12.75">
      <c r="A16" s="4" t="s">
        <v>10</v>
      </c>
      <c r="B16" s="4"/>
      <c r="C16" s="4" t="s">
        <v>254</v>
      </c>
      <c r="D16" s="4" t="s">
        <v>253</v>
      </c>
      <c r="E16" s="4" t="s">
        <v>49</v>
      </c>
      <c r="F16" s="13">
        <v>5</v>
      </c>
      <c r="G16" s="13">
        <v>0</v>
      </c>
      <c r="H16" s="13">
        <f>ROUND(F16*AE16,2)</f>
        <v>0</v>
      </c>
      <c r="I16" s="13">
        <f>J16-H16</f>
        <v>0</v>
      </c>
      <c r="J16" s="13">
        <f>ROUND(F16*G16,2)</f>
        <v>0</v>
      </c>
      <c r="K16" s="13">
        <v>0</v>
      </c>
      <c r="L16" s="13">
        <f>F16*K16</f>
        <v>0</v>
      </c>
      <c r="N16" s="24" t="s">
        <v>11</v>
      </c>
      <c r="O16" s="13">
        <f>IF(N16="5",I16,0)</f>
        <v>0</v>
      </c>
      <c r="Z16" s="13">
        <f>IF(AD16=0,J16,0)</f>
        <v>0</v>
      </c>
      <c r="AA16" s="13">
        <f>IF(AD16=15,J16,0)</f>
        <v>0</v>
      </c>
      <c r="AB16" s="13">
        <f>IF(AD16=21,J16,0)</f>
        <v>0</v>
      </c>
      <c r="AD16" s="26">
        <v>21</v>
      </c>
      <c r="AE16" s="26">
        <f>G16*0</f>
        <v>0</v>
      </c>
      <c r="AF16" s="26">
        <f>G16*(1-0)</f>
        <v>0</v>
      </c>
    </row>
    <row r="17" spans="1:32" ht="12.75">
      <c r="A17" s="4" t="s">
        <v>11</v>
      </c>
      <c r="B17" s="4"/>
      <c r="C17" s="4" t="s">
        <v>252</v>
      </c>
      <c r="D17" s="4" t="s">
        <v>251</v>
      </c>
      <c r="E17" s="4" t="s">
        <v>49</v>
      </c>
      <c r="F17" s="13">
        <v>5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N17" s="24" t="s">
        <v>11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6">
        <v>21</v>
      </c>
      <c r="AE17" s="26">
        <f>G17*0</f>
        <v>0</v>
      </c>
      <c r="AF17" s="26">
        <f>G17*(1-0)</f>
        <v>0</v>
      </c>
    </row>
    <row r="18" spans="1:37" ht="12.75">
      <c r="A18" s="5"/>
      <c r="B18" s="5"/>
      <c r="C18" s="11" t="s">
        <v>250</v>
      </c>
      <c r="D18" s="60" t="s">
        <v>249</v>
      </c>
      <c r="E18" s="61"/>
      <c r="F18" s="61"/>
      <c r="G18" s="61"/>
      <c r="H18" s="28">
        <f>SUM(H19:H19)</f>
        <v>0</v>
      </c>
      <c r="I18" s="28">
        <f>SUM(I19:I19)</f>
        <v>0</v>
      </c>
      <c r="J18" s="28">
        <f>H18+I18</f>
        <v>0</v>
      </c>
      <c r="K18" s="21"/>
      <c r="L18" s="28">
        <f>SUM(L19:L19)</f>
        <v>0</v>
      </c>
      <c r="P18" s="28">
        <f>IF(Q18="PR",J18,SUM(O19:O19))</f>
        <v>0</v>
      </c>
      <c r="Q18" s="21" t="s">
        <v>143</v>
      </c>
      <c r="R18" s="28">
        <f>IF(Q18="HS",H18,0)</f>
        <v>0</v>
      </c>
      <c r="S18" s="28">
        <f>IF(Q18="HS",I18-P18,0)</f>
        <v>0</v>
      </c>
      <c r="T18" s="28">
        <f>IF(Q18="PS",H18,0)</f>
        <v>0</v>
      </c>
      <c r="U18" s="28">
        <f>IF(Q18="PS",I18-P18,0)</f>
        <v>0</v>
      </c>
      <c r="V18" s="28">
        <f>IF(Q18="MP",H18,0)</f>
        <v>0</v>
      </c>
      <c r="W18" s="28">
        <f>IF(Q18="MP",I18-P18,0)</f>
        <v>0</v>
      </c>
      <c r="X18" s="28">
        <f>IF(Q18="OM",H18,0)</f>
        <v>0</v>
      </c>
      <c r="Y18" s="21"/>
      <c r="AI18" s="28">
        <f>SUM(Z19:Z19)</f>
        <v>0</v>
      </c>
      <c r="AJ18" s="28">
        <f>SUM(AA19:AA19)</f>
        <v>0</v>
      </c>
      <c r="AK18" s="28">
        <f>SUM(AB19:AB19)</f>
        <v>0</v>
      </c>
    </row>
    <row r="19" spans="1:32" ht="12.75">
      <c r="A19" s="4" t="s">
        <v>12</v>
      </c>
      <c r="B19" s="4"/>
      <c r="C19" s="4" t="s">
        <v>248</v>
      </c>
      <c r="D19" s="4" t="s">
        <v>247</v>
      </c>
      <c r="E19" s="4" t="s">
        <v>49</v>
      </c>
      <c r="F19" s="13">
        <v>4.4</v>
      </c>
      <c r="G19" s="13">
        <v>0</v>
      </c>
      <c r="H19" s="13">
        <f>ROUND(F19*AE19,2)</f>
        <v>0</v>
      </c>
      <c r="I19" s="13">
        <f>J19-H19</f>
        <v>0</v>
      </c>
      <c r="J19" s="13">
        <f>ROUND(F19*G19,2)</f>
        <v>0</v>
      </c>
      <c r="K19" s="13">
        <v>0</v>
      </c>
      <c r="L19" s="13">
        <f>F19*K19</f>
        <v>0</v>
      </c>
      <c r="N19" s="24" t="s">
        <v>11</v>
      </c>
      <c r="O19" s="13">
        <f>IF(N19="5",I19,0)</f>
        <v>0</v>
      </c>
      <c r="Z19" s="13">
        <f>IF(AD19=0,J19,0)</f>
        <v>0</v>
      </c>
      <c r="AA19" s="13">
        <f>IF(AD19=15,J19,0)</f>
        <v>0</v>
      </c>
      <c r="AB19" s="13">
        <f>IF(AD19=21,J19,0)</f>
        <v>0</v>
      </c>
      <c r="AD19" s="26">
        <v>21</v>
      </c>
      <c r="AE19" s="26">
        <f>G19*0</f>
        <v>0</v>
      </c>
      <c r="AF19" s="26">
        <f>G19*(1-0)</f>
        <v>0</v>
      </c>
    </row>
    <row r="20" spans="1:37" ht="12.75">
      <c r="A20" s="5"/>
      <c r="B20" s="5"/>
      <c r="C20" s="11" t="s">
        <v>246</v>
      </c>
      <c r="D20" s="60" t="s">
        <v>245</v>
      </c>
      <c r="E20" s="61"/>
      <c r="F20" s="61"/>
      <c r="G20" s="61"/>
      <c r="H20" s="28">
        <f>SUM(H21:H24)</f>
        <v>0</v>
      </c>
      <c r="I20" s="28">
        <f>SUM(I21:I24)</f>
        <v>0</v>
      </c>
      <c r="J20" s="28">
        <f>H20+I20</f>
        <v>0</v>
      </c>
      <c r="K20" s="21"/>
      <c r="L20" s="28">
        <f>SUM(L21:L24)</f>
        <v>1.9787461</v>
      </c>
      <c r="P20" s="28">
        <f>IF(Q20="PR",J20,SUM(O21:O24))</f>
        <v>0</v>
      </c>
      <c r="Q20" s="21" t="s">
        <v>71</v>
      </c>
      <c r="R20" s="28">
        <f>IF(Q20="HS",H20,0)</f>
        <v>0</v>
      </c>
      <c r="S20" s="28">
        <f>IF(Q20="HS",I20-P20,0)</f>
        <v>0</v>
      </c>
      <c r="T20" s="28">
        <f>IF(Q20="PS",H20,0)</f>
        <v>0</v>
      </c>
      <c r="U20" s="28">
        <f>IF(Q20="PS",I20-P20,0)</f>
        <v>0</v>
      </c>
      <c r="V20" s="28">
        <f>IF(Q20="MP",H20,0)</f>
        <v>0</v>
      </c>
      <c r="W20" s="28">
        <f>IF(Q20="MP",I20-P20,0)</f>
        <v>0</v>
      </c>
      <c r="X20" s="28">
        <f>IF(Q20="OM",H20,0)</f>
        <v>0</v>
      </c>
      <c r="Y20" s="21"/>
      <c r="AI20" s="28">
        <f>SUM(Z21:Z24)</f>
        <v>0</v>
      </c>
      <c r="AJ20" s="28">
        <f>SUM(AA21:AA24)</f>
        <v>0</v>
      </c>
      <c r="AK20" s="28">
        <f>SUM(AB21:AB24)</f>
        <v>0</v>
      </c>
    </row>
    <row r="21" spans="1:32" ht="12.75">
      <c r="A21" s="4" t="s">
        <v>13</v>
      </c>
      <c r="B21" s="4"/>
      <c r="C21" s="4" t="s">
        <v>244</v>
      </c>
      <c r="D21" s="4" t="s">
        <v>243</v>
      </c>
      <c r="E21" s="4" t="s">
        <v>50</v>
      </c>
      <c r="F21" s="13">
        <v>86.8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0.00358</v>
      </c>
      <c r="L21" s="13">
        <f>F21*K21</f>
        <v>0.31074399999999996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6">
        <v>21</v>
      </c>
      <c r="AE21" s="26">
        <f>G21*0.243822276323798</f>
        <v>0</v>
      </c>
      <c r="AF21" s="26">
        <f>G21*(1-0.243822276323798)</f>
        <v>0</v>
      </c>
    </row>
    <row r="22" spans="1:32" ht="12.75">
      <c r="A22" s="4" t="s">
        <v>14</v>
      </c>
      <c r="B22" s="4"/>
      <c r="C22" s="4" t="s">
        <v>242</v>
      </c>
      <c r="D22" s="4" t="s">
        <v>241</v>
      </c>
      <c r="E22" s="4" t="s">
        <v>157</v>
      </c>
      <c r="F22" s="13">
        <v>75</v>
      </c>
      <c r="G22" s="13">
        <v>0</v>
      </c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0.00156</v>
      </c>
      <c r="L22" s="13">
        <f>F22*K22</f>
        <v>0.11699999999999999</v>
      </c>
      <c r="N22" s="24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6">
        <v>21</v>
      </c>
      <c r="AE22" s="26">
        <f>G22*0.113507377979569</f>
        <v>0</v>
      </c>
      <c r="AF22" s="26">
        <f>G22*(1-0.113507377979569)</f>
        <v>0</v>
      </c>
    </row>
    <row r="23" spans="1:32" ht="12.75">
      <c r="A23" s="4" t="s">
        <v>240</v>
      </c>
      <c r="B23" s="4"/>
      <c r="C23" s="4" t="s">
        <v>239</v>
      </c>
      <c r="D23" s="4" t="s">
        <v>238</v>
      </c>
      <c r="E23" s="4" t="s">
        <v>50</v>
      </c>
      <c r="F23" s="13">
        <v>109.57</v>
      </c>
      <c r="G23" s="13">
        <v>0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0.01203</v>
      </c>
      <c r="L23" s="13">
        <f>F23*K23</f>
        <v>1.3181271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26">
        <v>21</v>
      </c>
      <c r="AE23" s="26">
        <f>G23*0.326479407624992</f>
        <v>0</v>
      </c>
      <c r="AF23" s="26">
        <f>G23*(1-0.326479407624992)</f>
        <v>0</v>
      </c>
    </row>
    <row r="24" spans="1:32" ht="12.75">
      <c r="A24" s="4" t="s">
        <v>237</v>
      </c>
      <c r="B24" s="4"/>
      <c r="C24" s="4" t="s">
        <v>236</v>
      </c>
      <c r="D24" s="4" t="s">
        <v>235</v>
      </c>
      <c r="E24" s="4" t="s">
        <v>50</v>
      </c>
      <c r="F24" s="13">
        <v>3.75</v>
      </c>
      <c r="G24" s="13">
        <v>0</v>
      </c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0.0621</v>
      </c>
      <c r="L24" s="13">
        <f>F24*K24</f>
        <v>0.232875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6">
        <v>21</v>
      </c>
      <c r="AE24" s="26">
        <f>G24*0.196732315706096</f>
        <v>0</v>
      </c>
      <c r="AF24" s="26">
        <f>G24*(1-0.196732315706096)</f>
        <v>0</v>
      </c>
    </row>
    <row r="25" spans="1:37" ht="12.75">
      <c r="A25" s="5"/>
      <c r="B25" s="5"/>
      <c r="C25" s="11" t="s">
        <v>234</v>
      </c>
      <c r="D25" s="60" t="s">
        <v>233</v>
      </c>
      <c r="E25" s="61"/>
      <c r="F25" s="61"/>
      <c r="G25" s="61"/>
      <c r="H25" s="28">
        <f>SUM(H26:H29)</f>
        <v>0</v>
      </c>
      <c r="I25" s="28">
        <f>SUM(I26:I29)</f>
        <v>0</v>
      </c>
      <c r="J25" s="28">
        <f>H25+I25</f>
        <v>0</v>
      </c>
      <c r="K25" s="21"/>
      <c r="L25" s="28">
        <f>SUM(L26:L29)</f>
        <v>1.3010899999999999</v>
      </c>
      <c r="P25" s="28">
        <f>IF(Q25="PR",J25,SUM(O26:O29))</f>
        <v>0</v>
      </c>
      <c r="Q25" s="21" t="s">
        <v>71</v>
      </c>
      <c r="R25" s="28">
        <f>IF(Q25="HS",H25,0)</f>
        <v>0</v>
      </c>
      <c r="S25" s="28">
        <f>IF(Q25="HS",I25-P25,0)</f>
        <v>0</v>
      </c>
      <c r="T25" s="28">
        <f>IF(Q25="PS",H25,0)</f>
        <v>0</v>
      </c>
      <c r="U25" s="28">
        <f>IF(Q25="PS",I25-P25,0)</f>
        <v>0</v>
      </c>
      <c r="V25" s="28">
        <f>IF(Q25="MP",H25,0)</f>
        <v>0</v>
      </c>
      <c r="W25" s="28">
        <f>IF(Q25="MP",I25-P25,0)</f>
        <v>0</v>
      </c>
      <c r="X25" s="28">
        <f>IF(Q25="OM",H25,0)</f>
        <v>0</v>
      </c>
      <c r="Y25" s="21"/>
      <c r="AI25" s="28">
        <f>SUM(Z26:Z29)</f>
        <v>0</v>
      </c>
      <c r="AJ25" s="28">
        <f>SUM(AA26:AA29)</f>
        <v>0</v>
      </c>
      <c r="AK25" s="28">
        <f>SUM(AB26:AB29)</f>
        <v>0</v>
      </c>
    </row>
    <row r="26" spans="1:32" ht="12.75">
      <c r="A26" s="4" t="s">
        <v>232</v>
      </c>
      <c r="B26" s="4"/>
      <c r="C26" s="4" t="s">
        <v>231</v>
      </c>
      <c r="D26" s="4" t="s">
        <v>230</v>
      </c>
      <c r="E26" s="4" t="s">
        <v>50</v>
      </c>
      <c r="F26" s="13">
        <v>86.8</v>
      </c>
      <c r="G26" s="13">
        <v>0</v>
      </c>
      <c r="H26" s="13">
        <f>ROUND(F26*AE26,2)</f>
        <v>0</v>
      </c>
      <c r="I26" s="13">
        <f>J26-H26</f>
        <v>0</v>
      </c>
      <c r="J26" s="13">
        <f>ROUND(F26*G26,2)</f>
        <v>0</v>
      </c>
      <c r="K26" s="13">
        <v>0.00355</v>
      </c>
      <c r="L26" s="13">
        <f>F26*K26</f>
        <v>0.30814</v>
      </c>
      <c r="N26" s="24" t="s">
        <v>7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6">
        <v>21</v>
      </c>
      <c r="AE26" s="26">
        <f>G26*0.421683899556869</f>
        <v>0</v>
      </c>
      <c r="AF26" s="26">
        <f>G26*(1-0.421683899556869)</f>
        <v>0</v>
      </c>
    </row>
    <row r="27" spans="1:32" ht="12.75">
      <c r="A27" s="4" t="s">
        <v>229</v>
      </c>
      <c r="B27" s="4"/>
      <c r="C27" s="4" t="s">
        <v>228</v>
      </c>
      <c r="D27" s="4" t="s">
        <v>227</v>
      </c>
      <c r="E27" s="4" t="s">
        <v>50</v>
      </c>
      <c r="F27" s="13">
        <v>8</v>
      </c>
      <c r="G27" s="13">
        <v>0</v>
      </c>
      <c r="H27" s="13">
        <f>ROUND(F27*AE27,2)</f>
        <v>0</v>
      </c>
      <c r="I27" s="13">
        <f>J27-H27</f>
        <v>0</v>
      </c>
      <c r="J27" s="13">
        <f>ROUND(F27*G27,2)</f>
        <v>0</v>
      </c>
      <c r="K27" s="13">
        <v>0.09182</v>
      </c>
      <c r="L27" s="13">
        <f>F27*K27</f>
        <v>0.73456</v>
      </c>
      <c r="N27" s="24" t="s">
        <v>7</v>
      </c>
      <c r="O27" s="13">
        <f>IF(N27="5",I27,0)</f>
        <v>0</v>
      </c>
      <c r="Z27" s="13">
        <f>IF(AD27=0,J27,0)</f>
        <v>0</v>
      </c>
      <c r="AA27" s="13">
        <f>IF(AD27=15,J27,0)</f>
        <v>0</v>
      </c>
      <c r="AB27" s="13">
        <f>IF(AD27=21,J27,0)</f>
        <v>0</v>
      </c>
      <c r="AD27" s="26">
        <v>21</v>
      </c>
      <c r="AE27" s="26">
        <f>G27*0.402095137699302</f>
        <v>0</v>
      </c>
      <c r="AF27" s="26">
        <f>G27*(1-0.402095137699302)</f>
        <v>0</v>
      </c>
    </row>
    <row r="28" spans="1:32" ht="12.75">
      <c r="A28" s="4" t="s">
        <v>226</v>
      </c>
      <c r="B28" s="4"/>
      <c r="C28" s="4" t="s">
        <v>225</v>
      </c>
      <c r="D28" s="4" t="s">
        <v>224</v>
      </c>
      <c r="E28" s="4" t="s">
        <v>50</v>
      </c>
      <c r="F28" s="13">
        <v>8</v>
      </c>
      <c r="G28" s="13">
        <v>0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</v>
      </c>
      <c r="L28" s="13">
        <f>F28*K28</f>
        <v>0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6">
        <v>21</v>
      </c>
      <c r="AE28" s="26">
        <f>G28*0</f>
        <v>0</v>
      </c>
      <c r="AF28" s="26">
        <f>G28*(1-0)</f>
        <v>0</v>
      </c>
    </row>
    <row r="29" spans="1:32" ht="12.75">
      <c r="A29" s="4" t="s">
        <v>223</v>
      </c>
      <c r="B29" s="4"/>
      <c r="C29" s="4" t="s">
        <v>222</v>
      </c>
      <c r="D29" s="4" t="s">
        <v>221</v>
      </c>
      <c r="E29" s="4" t="s">
        <v>157</v>
      </c>
      <c r="F29" s="13">
        <v>33</v>
      </c>
      <c r="G29" s="13">
        <v>0</v>
      </c>
      <c r="H29" s="13">
        <f>ROUND(F29*AE29,2)</f>
        <v>0</v>
      </c>
      <c r="I29" s="13">
        <f>J29-H29</f>
        <v>0</v>
      </c>
      <c r="J29" s="13">
        <f>ROUND(F29*G29,2)</f>
        <v>0</v>
      </c>
      <c r="K29" s="13">
        <v>0.00783</v>
      </c>
      <c r="L29" s="13">
        <f>F29*K29</f>
        <v>0.25839</v>
      </c>
      <c r="N29" s="24" t="s">
        <v>7</v>
      </c>
      <c r="O29" s="13">
        <f>IF(N29="5",I29,0)</f>
        <v>0</v>
      </c>
      <c r="Z29" s="13">
        <f>IF(AD29=0,J29,0)</f>
        <v>0</v>
      </c>
      <c r="AA29" s="13">
        <f>IF(AD29=15,J29,0)</f>
        <v>0</v>
      </c>
      <c r="AB29" s="13">
        <f>IF(AD29=21,J29,0)</f>
        <v>0</v>
      </c>
      <c r="AD29" s="26">
        <v>21</v>
      </c>
      <c r="AE29" s="26">
        <f>G29*0.159856844616761</f>
        <v>0</v>
      </c>
      <c r="AF29" s="26">
        <f>G29*(1-0.159856844616761)</f>
        <v>0</v>
      </c>
    </row>
    <row r="30" spans="1:37" ht="12.75">
      <c r="A30" s="5"/>
      <c r="B30" s="5"/>
      <c r="C30" s="11" t="s">
        <v>220</v>
      </c>
      <c r="D30" s="60" t="s">
        <v>148</v>
      </c>
      <c r="E30" s="61"/>
      <c r="F30" s="61"/>
      <c r="G30" s="61"/>
      <c r="H30" s="28">
        <f>SUM(H31:H34)</f>
        <v>0</v>
      </c>
      <c r="I30" s="28">
        <f>SUM(I31:I34)</f>
        <v>0</v>
      </c>
      <c r="J30" s="28">
        <f>H30+I30</f>
        <v>0</v>
      </c>
      <c r="K30" s="21"/>
      <c r="L30" s="28">
        <f>SUM(L31:L34)</f>
        <v>0.1720766</v>
      </c>
      <c r="P30" s="28">
        <f>IF(Q30="PR",J30,SUM(O31:O34))</f>
        <v>0</v>
      </c>
      <c r="Q30" s="21" t="s">
        <v>70</v>
      </c>
      <c r="R30" s="28">
        <f>IF(Q30="HS",H30,0)</f>
        <v>0</v>
      </c>
      <c r="S30" s="28">
        <f>IF(Q30="HS",I30-P30,0)</f>
        <v>0</v>
      </c>
      <c r="T30" s="28">
        <f>IF(Q30="PS",H30,0)</f>
        <v>0</v>
      </c>
      <c r="U30" s="28">
        <f>IF(Q30="PS",I30-P30,0)</f>
        <v>0</v>
      </c>
      <c r="V30" s="28">
        <f>IF(Q30="MP",H30,0)</f>
        <v>0</v>
      </c>
      <c r="W30" s="28">
        <f>IF(Q30="MP",I30-P30,0)</f>
        <v>0</v>
      </c>
      <c r="X30" s="28">
        <f>IF(Q30="OM",H30,0)</f>
        <v>0</v>
      </c>
      <c r="Y30" s="21"/>
      <c r="AI30" s="28">
        <f>SUM(Z31:Z34)</f>
        <v>0</v>
      </c>
      <c r="AJ30" s="28">
        <f>SUM(AA31:AA34)</f>
        <v>0</v>
      </c>
      <c r="AK30" s="28">
        <f>SUM(AB31:AB34)</f>
        <v>0</v>
      </c>
    </row>
    <row r="31" spans="1:32" ht="12.75">
      <c r="A31" s="4" t="s">
        <v>219</v>
      </c>
      <c r="B31" s="4"/>
      <c r="C31" s="4" t="s">
        <v>218</v>
      </c>
      <c r="D31" s="4" t="s">
        <v>217</v>
      </c>
      <c r="E31" s="4" t="s">
        <v>50</v>
      </c>
      <c r="F31" s="13">
        <v>86.8</v>
      </c>
      <c r="G31" s="13">
        <v>0</v>
      </c>
      <c r="H31" s="13">
        <f>ROUND(F31*AE31,2)</f>
        <v>0</v>
      </c>
      <c r="I31" s="13">
        <f>J31-H31</f>
        <v>0</v>
      </c>
      <c r="J31" s="13">
        <f>ROUND(F31*G31,2)</f>
        <v>0</v>
      </c>
      <c r="K31" s="13">
        <v>0</v>
      </c>
      <c r="L31" s="13">
        <f>F31*K31</f>
        <v>0</v>
      </c>
      <c r="N31" s="24" t="s">
        <v>7</v>
      </c>
      <c r="O31" s="13">
        <f>IF(N31="5",I31,0)</f>
        <v>0</v>
      </c>
      <c r="Z31" s="13">
        <f>IF(AD31=0,J31,0)</f>
        <v>0</v>
      </c>
      <c r="AA31" s="13">
        <f>IF(AD31=15,J31,0)</f>
        <v>0</v>
      </c>
      <c r="AB31" s="13">
        <f>IF(AD31=21,J31,0)</f>
        <v>0</v>
      </c>
      <c r="AD31" s="26">
        <v>21</v>
      </c>
      <c r="AE31" s="26">
        <f>G31*0</f>
        <v>0</v>
      </c>
      <c r="AF31" s="26">
        <f>G31*(1-0)</f>
        <v>0</v>
      </c>
    </row>
    <row r="32" spans="1:32" ht="12.75">
      <c r="A32" s="4" t="s">
        <v>216</v>
      </c>
      <c r="B32" s="4"/>
      <c r="C32" s="4" t="s">
        <v>215</v>
      </c>
      <c r="D32" s="4" t="s">
        <v>214</v>
      </c>
      <c r="E32" s="4" t="s">
        <v>157</v>
      </c>
      <c r="F32" s="13">
        <v>37.14</v>
      </c>
      <c r="G32" s="13">
        <v>0</v>
      </c>
      <c r="H32" s="13">
        <f>ROUND(F32*AE32,2)</f>
        <v>0</v>
      </c>
      <c r="I32" s="13">
        <f>J32-H32</f>
        <v>0</v>
      </c>
      <c r="J32" s="13">
        <f>ROUND(F32*G32,2)</f>
        <v>0</v>
      </c>
      <c r="K32" s="13">
        <v>0.00059</v>
      </c>
      <c r="L32" s="13">
        <f>F32*K32</f>
        <v>0.0219126</v>
      </c>
      <c r="N32" s="24" t="s">
        <v>7</v>
      </c>
      <c r="O32" s="13">
        <f>IF(N32="5",I32,0)</f>
        <v>0</v>
      </c>
      <c r="Z32" s="13">
        <f>IF(AD32=0,J32,0)</f>
        <v>0</v>
      </c>
      <c r="AA32" s="13">
        <f>IF(AD32=15,J32,0)</f>
        <v>0</v>
      </c>
      <c r="AB32" s="13">
        <f>IF(AD32=21,J32,0)</f>
        <v>0</v>
      </c>
      <c r="AD32" s="26">
        <v>21</v>
      </c>
      <c r="AE32" s="26">
        <f>G32*0.461724659606657</f>
        <v>0</v>
      </c>
      <c r="AF32" s="26">
        <f>G32*(1-0.461724659606657)</f>
        <v>0</v>
      </c>
    </row>
    <row r="33" spans="1:32" ht="12.75">
      <c r="A33" s="4" t="s">
        <v>213</v>
      </c>
      <c r="B33" s="4"/>
      <c r="C33" s="4" t="s">
        <v>212</v>
      </c>
      <c r="D33" s="4" t="s">
        <v>211</v>
      </c>
      <c r="E33" s="4" t="s">
        <v>50</v>
      </c>
      <c r="F33" s="13">
        <v>86.8</v>
      </c>
      <c r="G33" s="13">
        <v>0</v>
      </c>
      <c r="H33" s="13">
        <f>ROUND(F33*AE33,2)</f>
        <v>0</v>
      </c>
      <c r="I33" s="13">
        <f>J33-H33</f>
        <v>0</v>
      </c>
      <c r="J33" s="13">
        <f>ROUND(F33*G33,2)</f>
        <v>0</v>
      </c>
      <c r="K33" s="13">
        <v>0.001</v>
      </c>
      <c r="L33" s="13">
        <f>F33*K33</f>
        <v>0.0868</v>
      </c>
      <c r="N33" s="24" t="s">
        <v>7</v>
      </c>
      <c r="O33" s="13">
        <f>IF(N33="5",I33,0)</f>
        <v>0</v>
      </c>
      <c r="Z33" s="13">
        <f>IF(AD33=0,J33,0)</f>
        <v>0</v>
      </c>
      <c r="AA33" s="13">
        <f>IF(AD33=15,J33,0)</f>
        <v>0</v>
      </c>
      <c r="AB33" s="13">
        <f>IF(AD33=21,J33,0)</f>
        <v>0</v>
      </c>
      <c r="AD33" s="26">
        <v>21</v>
      </c>
      <c r="AE33" s="26">
        <f>G33*0</f>
        <v>0</v>
      </c>
      <c r="AF33" s="26">
        <f>G33*(1-0)</f>
        <v>0</v>
      </c>
    </row>
    <row r="34" spans="1:32" ht="12.75">
      <c r="A34" s="4" t="s">
        <v>210</v>
      </c>
      <c r="B34" s="4"/>
      <c r="C34" s="4" t="s">
        <v>209</v>
      </c>
      <c r="D34" s="4" t="s">
        <v>208</v>
      </c>
      <c r="E34" s="4" t="s">
        <v>50</v>
      </c>
      <c r="F34" s="13">
        <v>86.8</v>
      </c>
      <c r="G34" s="13">
        <v>0</v>
      </c>
      <c r="H34" s="13">
        <f>ROUND(F34*AE34,2)</f>
        <v>0</v>
      </c>
      <c r="I34" s="13">
        <f>J34-H34</f>
        <v>0</v>
      </c>
      <c r="J34" s="13">
        <f>ROUND(F34*G34,2)</f>
        <v>0</v>
      </c>
      <c r="K34" s="13">
        <v>0.00073</v>
      </c>
      <c r="L34" s="13">
        <f>F34*K34</f>
        <v>0.06336399999999999</v>
      </c>
      <c r="N34" s="24" t="s">
        <v>7</v>
      </c>
      <c r="O34" s="13">
        <f>IF(N34="5",I34,0)</f>
        <v>0</v>
      </c>
      <c r="Z34" s="13">
        <f>IF(AD34=0,J34,0)</f>
        <v>0</v>
      </c>
      <c r="AA34" s="13">
        <f>IF(AD34=15,J34,0)</f>
        <v>0</v>
      </c>
      <c r="AB34" s="13">
        <f>IF(AD34=21,J34,0)</f>
        <v>0</v>
      </c>
      <c r="AD34" s="26">
        <v>21</v>
      </c>
      <c r="AE34" s="26">
        <f>G34*0.584810126582278</f>
        <v>0</v>
      </c>
      <c r="AF34" s="26">
        <f>G34*(1-0.584810126582278)</f>
        <v>0</v>
      </c>
    </row>
    <row r="35" spans="1:37" ht="12.75">
      <c r="A35" s="5"/>
      <c r="B35" s="5"/>
      <c r="C35" s="11" t="s">
        <v>19</v>
      </c>
      <c r="D35" s="60" t="s">
        <v>35</v>
      </c>
      <c r="E35" s="61"/>
      <c r="F35" s="61"/>
      <c r="G35" s="61"/>
      <c r="H35" s="28">
        <f>SUM(H36:H39)</f>
        <v>0</v>
      </c>
      <c r="I35" s="28">
        <f>SUM(I36:I39)</f>
        <v>0</v>
      </c>
      <c r="J35" s="28">
        <f>H35+I35</f>
        <v>0</v>
      </c>
      <c r="K35" s="21"/>
      <c r="L35" s="28">
        <f>SUM(L36:L39)</f>
        <v>0.1468278</v>
      </c>
      <c r="P35" s="28">
        <f>IF(Q35="PR",J35,SUM(O36:O39))</f>
        <v>0</v>
      </c>
      <c r="Q35" s="21" t="s">
        <v>70</v>
      </c>
      <c r="R35" s="28">
        <f>IF(Q35="HS",H35,0)</f>
        <v>0</v>
      </c>
      <c r="S35" s="28">
        <f>IF(Q35="HS",I35-P35,0)</f>
        <v>0</v>
      </c>
      <c r="T35" s="28">
        <f>IF(Q35="PS",H35,0)</f>
        <v>0</v>
      </c>
      <c r="U35" s="28">
        <f>IF(Q35="PS",I35-P35,0)</f>
        <v>0</v>
      </c>
      <c r="V35" s="28">
        <f>IF(Q35="MP",H35,0)</f>
        <v>0</v>
      </c>
      <c r="W35" s="28">
        <f>IF(Q35="MP",I35-P35,0)</f>
        <v>0</v>
      </c>
      <c r="X35" s="28">
        <f>IF(Q35="OM",H35,0)</f>
        <v>0</v>
      </c>
      <c r="Y35" s="21"/>
      <c r="AI35" s="28">
        <f>SUM(Z36:Z39)</f>
        <v>0</v>
      </c>
      <c r="AJ35" s="28">
        <f>SUM(AA36:AA39)</f>
        <v>0</v>
      </c>
      <c r="AK35" s="28">
        <f>SUM(AB36:AB39)</f>
        <v>0</v>
      </c>
    </row>
    <row r="36" spans="1:32" ht="12.75">
      <c r="A36" s="4" t="s">
        <v>207</v>
      </c>
      <c r="B36" s="4"/>
      <c r="C36" s="4" t="s">
        <v>20</v>
      </c>
      <c r="D36" s="4" t="s">
        <v>36</v>
      </c>
      <c r="E36" s="4" t="s">
        <v>50</v>
      </c>
      <c r="F36" s="13">
        <v>48.78</v>
      </c>
      <c r="G36" s="13">
        <v>0</v>
      </c>
      <c r="H36" s="13">
        <f>ROUND(F36*AE36,2)</f>
        <v>0</v>
      </c>
      <c r="I36" s="13">
        <f>J36-H36</f>
        <v>0</v>
      </c>
      <c r="J36" s="13">
        <f>ROUND(F36*G36,2)</f>
        <v>0</v>
      </c>
      <c r="K36" s="13">
        <v>0</v>
      </c>
      <c r="L36" s="13">
        <f>F36*K36</f>
        <v>0</v>
      </c>
      <c r="N36" s="24" t="s">
        <v>7</v>
      </c>
      <c r="O36" s="13">
        <f>IF(N36="5",I36,0)</f>
        <v>0</v>
      </c>
      <c r="Z36" s="13">
        <f>IF(AD36=0,J36,0)</f>
        <v>0</v>
      </c>
      <c r="AA36" s="13">
        <f>IF(AD36=15,J36,0)</f>
        <v>0</v>
      </c>
      <c r="AB36" s="13">
        <f>IF(AD36=21,J36,0)</f>
        <v>0</v>
      </c>
      <c r="AD36" s="26">
        <v>21</v>
      </c>
      <c r="AE36" s="26">
        <f>G36*0</f>
        <v>0</v>
      </c>
      <c r="AF36" s="26">
        <f>G36*(1-0)</f>
        <v>0</v>
      </c>
    </row>
    <row r="37" spans="1:32" ht="12.75">
      <c r="A37" s="4" t="s">
        <v>206</v>
      </c>
      <c r="B37" s="4"/>
      <c r="C37" s="4" t="s">
        <v>205</v>
      </c>
      <c r="D37" s="4" t="s">
        <v>37</v>
      </c>
      <c r="E37" s="4" t="s">
        <v>50</v>
      </c>
      <c r="F37" s="13">
        <v>48.78</v>
      </c>
      <c r="G37" s="13">
        <v>0</v>
      </c>
      <c r="H37" s="13">
        <f>ROUND(F37*AE37,2)</f>
        <v>0</v>
      </c>
      <c r="I37" s="13">
        <f>J37-H37</f>
        <v>0</v>
      </c>
      <c r="J37" s="13">
        <f>ROUND(F37*G37,2)</f>
        <v>0</v>
      </c>
      <c r="K37" s="13">
        <v>0.00021</v>
      </c>
      <c r="L37" s="13">
        <f>F37*K37</f>
        <v>0.0102438</v>
      </c>
      <c r="N37" s="24" t="s">
        <v>7</v>
      </c>
      <c r="O37" s="13">
        <f>IF(N37="5",I37,0)</f>
        <v>0</v>
      </c>
      <c r="Z37" s="13">
        <f>IF(AD37=0,J37,0)</f>
        <v>0</v>
      </c>
      <c r="AA37" s="13">
        <f>IF(AD37=15,J37,0)</f>
        <v>0</v>
      </c>
      <c r="AB37" s="13">
        <f>IF(AD37=21,J37,0)</f>
        <v>0</v>
      </c>
      <c r="AD37" s="26">
        <v>21</v>
      </c>
      <c r="AE37" s="26">
        <f>G37*0.554605075563159</f>
        <v>0</v>
      </c>
      <c r="AF37" s="26">
        <f>G37*(1-0.554605075563159)</f>
        <v>0</v>
      </c>
    </row>
    <row r="38" spans="1:32" ht="12.75">
      <c r="A38" s="4" t="s">
        <v>204</v>
      </c>
      <c r="B38" s="4"/>
      <c r="C38" s="4" t="s">
        <v>203</v>
      </c>
      <c r="D38" s="4" t="s">
        <v>202</v>
      </c>
      <c r="E38" s="4" t="s">
        <v>50</v>
      </c>
      <c r="F38" s="13">
        <v>48.78</v>
      </c>
      <c r="G38" s="13">
        <v>0</v>
      </c>
      <c r="H38" s="13">
        <f>ROUND(F38*AE38,2)</f>
        <v>0</v>
      </c>
      <c r="I38" s="13">
        <f>J38-H38</f>
        <v>0</v>
      </c>
      <c r="J38" s="13">
        <f>ROUND(F38*G38,2)</f>
        <v>0</v>
      </c>
      <c r="K38" s="13">
        <v>0.0025</v>
      </c>
      <c r="L38" s="13">
        <f>F38*K38</f>
        <v>0.12195</v>
      </c>
      <c r="N38" s="24" t="s">
        <v>7</v>
      </c>
      <c r="O38" s="13">
        <f>IF(N38="5",I38,0)</f>
        <v>0</v>
      </c>
      <c r="Z38" s="13">
        <f>IF(AD38=0,J38,0)</f>
        <v>0</v>
      </c>
      <c r="AA38" s="13">
        <f>IF(AD38=15,J38,0)</f>
        <v>0</v>
      </c>
      <c r="AB38" s="13">
        <f>IF(AD38=21,J38,0)</f>
        <v>0</v>
      </c>
      <c r="AD38" s="26">
        <v>21</v>
      </c>
      <c r="AE38" s="26">
        <f>G38*0.0928393429283426</f>
        <v>0</v>
      </c>
      <c r="AF38" s="26">
        <f>G38*(1-0.0928393429283426)</f>
        <v>0</v>
      </c>
    </row>
    <row r="39" spans="1:32" ht="12.75">
      <c r="A39" s="4" t="s">
        <v>201</v>
      </c>
      <c r="B39" s="4"/>
      <c r="C39" s="4" t="s">
        <v>200</v>
      </c>
      <c r="D39" s="4" t="s">
        <v>199</v>
      </c>
      <c r="E39" s="4" t="s">
        <v>50</v>
      </c>
      <c r="F39" s="13">
        <v>48.78</v>
      </c>
      <c r="G39" s="13">
        <v>0</v>
      </c>
      <c r="H39" s="13">
        <f>ROUND(F39*AE39,2)</f>
        <v>0</v>
      </c>
      <c r="I39" s="13">
        <f>J39-H39</f>
        <v>0</v>
      </c>
      <c r="J39" s="13">
        <f>ROUND(F39*G39,2)</f>
        <v>0</v>
      </c>
      <c r="K39" s="13">
        <v>0.0003</v>
      </c>
      <c r="L39" s="13">
        <f>F39*K39</f>
        <v>0.014634</v>
      </c>
      <c r="N39" s="24" t="s">
        <v>7</v>
      </c>
      <c r="O39" s="13">
        <f>IF(N39="5",I39,0)</f>
        <v>0</v>
      </c>
      <c r="Z39" s="13">
        <f>IF(AD39=0,J39,0)</f>
        <v>0</v>
      </c>
      <c r="AA39" s="13">
        <f>IF(AD39=15,J39,0)</f>
        <v>0</v>
      </c>
      <c r="AB39" s="13">
        <f>IF(AD39=21,J39,0)</f>
        <v>0</v>
      </c>
      <c r="AD39" s="26">
        <v>21</v>
      </c>
      <c r="AE39" s="26">
        <f>G39*1</f>
        <v>0</v>
      </c>
      <c r="AF39" s="26">
        <f>G39*(1-1)</f>
        <v>0</v>
      </c>
    </row>
    <row r="40" spans="1:37" ht="12.75">
      <c r="A40" s="5"/>
      <c r="B40" s="5"/>
      <c r="C40" s="11" t="s">
        <v>198</v>
      </c>
      <c r="D40" s="60" t="s">
        <v>197</v>
      </c>
      <c r="E40" s="61"/>
      <c r="F40" s="61"/>
      <c r="G40" s="61"/>
      <c r="H40" s="28">
        <f>SUM(H41:H42)</f>
        <v>0</v>
      </c>
      <c r="I40" s="28">
        <f>SUM(I41:I42)</f>
        <v>0</v>
      </c>
      <c r="J40" s="28">
        <f>H40+I40</f>
        <v>0</v>
      </c>
      <c r="K40" s="21"/>
      <c r="L40" s="28">
        <f>SUM(L41:L42)</f>
        <v>0.0195</v>
      </c>
      <c r="P40" s="28">
        <f>IF(Q40="PR",J40,SUM(O41:O42))</f>
        <v>0</v>
      </c>
      <c r="Q40" s="21" t="s">
        <v>70</v>
      </c>
      <c r="R40" s="28">
        <f>IF(Q40="HS",H40,0)</f>
        <v>0</v>
      </c>
      <c r="S40" s="28">
        <f>IF(Q40="HS",I40-P40,0)</f>
        <v>0</v>
      </c>
      <c r="T40" s="28">
        <f>IF(Q40="PS",H40,0)</f>
        <v>0</v>
      </c>
      <c r="U40" s="28">
        <f>IF(Q40="PS",I40-P40,0)</f>
        <v>0</v>
      </c>
      <c r="V40" s="28">
        <f>IF(Q40="MP",H40,0)</f>
        <v>0</v>
      </c>
      <c r="W40" s="28">
        <f>IF(Q40="MP",I40-P40,0)</f>
        <v>0</v>
      </c>
      <c r="X40" s="28">
        <f>IF(Q40="OM",H40,0)</f>
        <v>0</v>
      </c>
      <c r="Y40" s="21"/>
      <c r="AI40" s="28">
        <f>SUM(Z41:Z42)</f>
        <v>0</v>
      </c>
      <c r="AJ40" s="28">
        <f>SUM(AA41:AA42)</f>
        <v>0</v>
      </c>
      <c r="AK40" s="28">
        <f>SUM(AB41:AB42)</f>
        <v>0</v>
      </c>
    </row>
    <row r="41" spans="1:32" ht="12.75">
      <c r="A41" s="4" t="s">
        <v>196</v>
      </c>
      <c r="B41" s="4"/>
      <c r="C41" s="4" t="s">
        <v>195</v>
      </c>
      <c r="D41" s="4" t="s">
        <v>194</v>
      </c>
      <c r="E41" s="4" t="s">
        <v>50</v>
      </c>
      <c r="F41" s="13">
        <v>30</v>
      </c>
      <c r="G41" s="13">
        <v>0</v>
      </c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0.00031</v>
      </c>
      <c r="L41" s="13">
        <f>F41*K41</f>
        <v>0.0093</v>
      </c>
      <c r="N41" s="24" t="s">
        <v>7</v>
      </c>
      <c r="O41" s="13">
        <f>IF(N41="5",I41,0)</f>
        <v>0</v>
      </c>
      <c r="Z41" s="13">
        <f>IF(AD41=0,J41,0)</f>
        <v>0</v>
      </c>
      <c r="AA41" s="13">
        <f>IF(AD41=15,J41,0)</f>
        <v>0</v>
      </c>
      <c r="AB41" s="13">
        <f>IF(AD41=21,J41,0)</f>
        <v>0</v>
      </c>
      <c r="AD41" s="26">
        <v>21</v>
      </c>
      <c r="AE41" s="26">
        <f>G41*0.142980041293875</f>
        <v>0</v>
      </c>
      <c r="AF41" s="26">
        <f>G41*(1-0.142980041293875)</f>
        <v>0</v>
      </c>
    </row>
    <row r="42" spans="1:32" ht="12.75">
      <c r="A42" s="4" t="s">
        <v>193</v>
      </c>
      <c r="B42" s="4"/>
      <c r="C42" s="4" t="s">
        <v>192</v>
      </c>
      <c r="D42" s="4" t="s">
        <v>191</v>
      </c>
      <c r="E42" s="4" t="s">
        <v>50</v>
      </c>
      <c r="F42" s="13">
        <v>30</v>
      </c>
      <c r="G42" s="13">
        <v>0</v>
      </c>
      <c r="H42" s="13">
        <f>ROUND(F42*AE42,2)</f>
        <v>0</v>
      </c>
      <c r="I42" s="13">
        <f>J42-H42</f>
        <v>0</v>
      </c>
      <c r="J42" s="13">
        <f>ROUND(F42*G42,2)</f>
        <v>0</v>
      </c>
      <c r="K42" s="13">
        <v>0.00034</v>
      </c>
      <c r="L42" s="13">
        <f>F42*K42</f>
        <v>0.0102</v>
      </c>
      <c r="N42" s="24" t="s">
        <v>7</v>
      </c>
      <c r="O42" s="13">
        <f>IF(N42="5",I42,0)</f>
        <v>0</v>
      </c>
      <c r="Z42" s="13">
        <f>IF(AD42=0,J42,0)</f>
        <v>0</v>
      </c>
      <c r="AA42" s="13">
        <f>IF(AD42=15,J42,0)</f>
        <v>0</v>
      </c>
      <c r="AB42" s="13">
        <f>IF(AD42=21,J42,0)</f>
        <v>0</v>
      </c>
      <c r="AD42" s="26">
        <v>21</v>
      </c>
      <c r="AE42" s="26">
        <f>G42*0.229445244462731</f>
        <v>0</v>
      </c>
      <c r="AF42" s="26">
        <f>G42*(1-0.229445244462731)</f>
        <v>0</v>
      </c>
    </row>
    <row r="43" spans="1:37" ht="12.75">
      <c r="A43" s="5"/>
      <c r="B43" s="5"/>
      <c r="C43" s="11" t="s">
        <v>190</v>
      </c>
      <c r="D43" s="60" t="s">
        <v>189</v>
      </c>
      <c r="E43" s="61"/>
      <c r="F43" s="61"/>
      <c r="G43" s="61"/>
      <c r="H43" s="28">
        <f>SUM(H44:H47)</f>
        <v>0</v>
      </c>
      <c r="I43" s="28">
        <f>SUM(I44:I47)</f>
        <v>0</v>
      </c>
      <c r="J43" s="28">
        <f>H43+I43</f>
        <v>0</v>
      </c>
      <c r="K43" s="21"/>
      <c r="L43" s="28">
        <f>SUM(L44:L47)</f>
        <v>0.1413936</v>
      </c>
      <c r="P43" s="28">
        <f>IF(Q43="PR",J43,SUM(O44:O47))</f>
        <v>0</v>
      </c>
      <c r="Q43" s="21" t="s">
        <v>70</v>
      </c>
      <c r="R43" s="28">
        <f>IF(Q43="HS",H43,0)</f>
        <v>0</v>
      </c>
      <c r="S43" s="28">
        <f>IF(Q43="HS",I43-P43,0)</f>
        <v>0</v>
      </c>
      <c r="T43" s="28">
        <f>IF(Q43="PS",H43,0)</f>
        <v>0</v>
      </c>
      <c r="U43" s="28">
        <f>IF(Q43="PS",I43-P43,0)</f>
        <v>0</v>
      </c>
      <c r="V43" s="28">
        <f>IF(Q43="MP",H43,0)</f>
        <v>0</v>
      </c>
      <c r="W43" s="28">
        <f>IF(Q43="MP",I43-P43,0)</f>
        <v>0</v>
      </c>
      <c r="X43" s="28">
        <f>IF(Q43="OM",H43,0)</f>
        <v>0</v>
      </c>
      <c r="Y43" s="21"/>
      <c r="AI43" s="28">
        <f>SUM(Z44:Z47)</f>
        <v>0</v>
      </c>
      <c r="AJ43" s="28">
        <f>SUM(AA44:AA47)</f>
        <v>0</v>
      </c>
      <c r="AK43" s="28">
        <f>SUM(AB44:AB47)</f>
        <v>0</v>
      </c>
    </row>
    <row r="44" spans="1:32" ht="12.75">
      <c r="A44" s="4" t="s">
        <v>188</v>
      </c>
      <c r="B44" s="4"/>
      <c r="C44" s="4" t="s">
        <v>187</v>
      </c>
      <c r="D44" s="4" t="s">
        <v>186</v>
      </c>
      <c r="E44" s="4" t="s">
        <v>50</v>
      </c>
      <c r="F44" s="13">
        <v>196.38</v>
      </c>
      <c r="G44" s="13">
        <v>0</v>
      </c>
      <c r="H44" s="13">
        <f>ROUND(F44*AE44,2)</f>
        <v>0</v>
      </c>
      <c r="I44" s="13">
        <f>J44-H44</f>
        <v>0</v>
      </c>
      <c r="J44" s="13">
        <f>ROUND(F44*G44,2)</f>
        <v>0</v>
      </c>
      <c r="K44" s="13">
        <v>7E-05</v>
      </c>
      <c r="L44" s="13">
        <f>F44*K44</f>
        <v>0.013746599999999998</v>
      </c>
      <c r="N44" s="24" t="s">
        <v>7</v>
      </c>
      <c r="O44" s="13">
        <f>IF(N44="5",I44,0)</f>
        <v>0</v>
      </c>
      <c r="Z44" s="13">
        <f>IF(AD44=0,J44,0)</f>
        <v>0</v>
      </c>
      <c r="AA44" s="13">
        <f>IF(AD44=15,J44,0)</f>
        <v>0</v>
      </c>
      <c r="AB44" s="13">
        <f>IF(AD44=21,J44,0)</f>
        <v>0</v>
      </c>
      <c r="AD44" s="26">
        <v>21</v>
      </c>
      <c r="AE44" s="26">
        <f>G44*0.436989498249708</f>
        <v>0</v>
      </c>
      <c r="AF44" s="26">
        <f>G44*(1-0.436989498249708)</f>
        <v>0</v>
      </c>
    </row>
    <row r="45" spans="1:32" ht="12.75">
      <c r="A45" s="4" t="s">
        <v>185</v>
      </c>
      <c r="B45" s="4"/>
      <c r="C45" s="4" t="s">
        <v>184</v>
      </c>
      <c r="D45" s="4" t="s">
        <v>183</v>
      </c>
      <c r="E45" s="4" t="s">
        <v>50</v>
      </c>
      <c r="F45" s="13">
        <v>196.38</v>
      </c>
      <c r="G45" s="13">
        <v>0</v>
      </c>
      <c r="H45" s="13">
        <f>ROUND(F45*AE45,2)</f>
        <v>0</v>
      </c>
      <c r="I45" s="13">
        <f>J45-H45</f>
        <v>0</v>
      </c>
      <c r="J45" s="13">
        <f>ROUND(F45*G45,2)</f>
        <v>0</v>
      </c>
      <c r="K45" s="13">
        <v>0.00031</v>
      </c>
      <c r="L45" s="13">
        <f>F45*K45</f>
        <v>0.060877799999999996</v>
      </c>
      <c r="N45" s="24" t="s">
        <v>7</v>
      </c>
      <c r="O45" s="13">
        <f>IF(N45="5",I45,0)</f>
        <v>0</v>
      </c>
      <c r="Z45" s="13">
        <f>IF(AD45=0,J45,0)</f>
        <v>0</v>
      </c>
      <c r="AA45" s="13">
        <f>IF(AD45=15,J45,0)</f>
        <v>0</v>
      </c>
      <c r="AB45" s="13">
        <f>IF(AD45=21,J45,0)</f>
        <v>0</v>
      </c>
      <c r="AD45" s="26">
        <v>21</v>
      </c>
      <c r="AE45" s="26">
        <f>G45*0.272625196496744</f>
        <v>0</v>
      </c>
      <c r="AF45" s="26">
        <f>G45*(1-0.272625196496744)</f>
        <v>0</v>
      </c>
    </row>
    <row r="46" spans="1:32" ht="12.75">
      <c r="A46" s="4" t="s">
        <v>182</v>
      </c>
      <c r="B46" s="4"/>
      <c r="C46" s="4" t="s">
        <v>181</v>
      </c>
      <c r="D46" s="4" t="s">
        <v>180</v>
      </c>
      <c r="E46" s="4" t="s">
        <v>50</v>
      </c>
      <c r="F46" s="13">
        <v>196.38</v>
      </c>
      <c r="G46" s="13">
        <v>0</v>
      </c>
      <c r="H46" s="13">
        <f>ROUND(F46*AE46,2)</f>
        <v>0</v>
      </c>
      <c r="I46" s="13">
        <f>J46-H46</f>
        <v>0</v>
      </c>
      <c r="J46" s="13">
        <f>ROUND(F46*G46,2)</f>
        <v>0</v>
      </c>
      <c r="K46" s="13">
        <v>0</v>
      </c>
      <c r="L46" s="13">
        <f>F46*K46</f>
        <v>0</v>
      </c>
      <c r="N46" s="24" t="s">
        <v>7</v>
      </c>
      <c r="O46" s="13">
        <f>IF(N46="5",I46,0)</f>
        <v>0</v>
      </c>
      <c r="Z46" s="13">
        <f>IF(AD46=0,J46,0)</f>
        <v>0</v>
      </c>
      <c r="AA46" s="13">
        <f>IF(AD46=15,J46,0)</f>
        <v>0</v>
      </c>
      <c r="AB46" s="13">
        <f>IF(AD46=21,J46,0)</f>
        <v>0</v>
      </c>
      <c r="AD46" s="26">
        <v>21</v>
      </c>
      <c r="AE46" s="26">
        <f>G46*0.00384615384615385</f>
        <v>0</v>
      </c>
      <c r="AF46" s="26">
        <f>G46*(1-0.00384615384615385)</f>
        <v>0</v>
      </c>
    </row>
    <row r="47" spans="1:32" ht="12.75">
      <c r="A47" s="4" t="s">
        <v>179</v>
      </c>
      <c r="B47" s="4"/>
      <c r="C47" s="4" t="s">
        <v>178</v>
      </c>
      <c r="D47" s="4" t="s">
        <v>177</v>
      </c>
      <c r="E47" s="4" t="s">
        <v>50</v>
      </c>
      <c r="F47" s="13">
        <v>196.38</v>
      </c>
      <c r="G47" s="13">
        <v>0</v>
      </c>
      <c r="H47" s="13">
        <f>ROUND(F47*AE47,2)</f>
        <v>0</v>
      </c>
      <c r="I47" s="13">
        <f>J47-H47</f>
        <v>0</v>
      </c>
      <c r="J47" s="13">
        <f>ROUND(F47*G47,2)</f>
        <v>0</v>
      </c>
      <c r="K47" s="13">
        <v>0.00034</v>
      </c>
      <c r="L47" s="13">
        <f>F47*K47</f>
        <v>0.0667692</v>
      </c>
      <c r="N47" s="24" t="s">
        <v>7</v>
      </c>
      <c r="O47" s="13">
        <f>IF(N47="5",I47,0)</f>
        <v>0</v>
      </c>
      <c r="Z47" s="13">
        <f>IF(AD47=0,J47,0)</f>
        <v>0</v>
      </c>
      <c r="AA47" s="13">
        <f>IF(AD47=15,J47,0)</f>
        <v>0</v>
      </c>
      <c r="AB47" s="13">
        <f>IF(AD47=21,J47,0)</f>
        <v>0</v>
      </c>
      <c r="AD47" s="26">
        <v>21</v>
      </c>
      <c r="AE47" s="26">
        <f>G47*0.251268520397808</f>
        <v>0</v>
      </c>
      <c r="AF47" s="26">
        <f>G47*(1-0.251268520397808)</f>
        <v>0</v>
      </c>
    </row>
    <row r="48" spans="1:37" ht="12.75">
      <c r="A48" s="5"/>
      <c r="B48" s="5"/>
      <c r="C48" s="11" t="s">
        <v>176</v>
      </c>
      <c r="D48" s="60" t="s">
        <v>175</v>
      </c>
      <c r="E48" s="61"/>
      <c r="F48" s="61"/>
      <c r="G48" s="61"/>
      <c r="H48" s="28">
        <f>SUM(H49:H49)</f>
        <v>0</v>
      </c>
      <c r="I48" s="28">
        <f>SUM(I49:I49)</f>
        <v>0</v>
      </c>
      <c r="J48" s="28">
        <f>H48+I48</f>
        <v>0</v>
      </c>
      <c r="K48" s="21"/>
      <c r="L48" s="28">
        <f>SUM(L49:L49)</f>
        <v>0</v>
      </c>
      <c r="P48" s="28">
        <f>IF(Q48="PR",J48,SUM(O49:O49))</f>
        <v>0</v>
      </c>
      <c r="Q48" s="21" t="s">
        <v>71</v>
      </c>
      <c r="R48" s="28">
        <f>IF(Q48="HS",H48,0)</f>
        <v>0</v>
      </c>
      <c r="S48" s="28">
        <f>IF(Q48="HS",I48-P48,0)</f>
        <v>0</v>
      </c>
      <c r="T48" s="28">
        <f>IF(Q48="PS",H48,0)</f>
        <v>0</v>
      </c>
      <c r="U48" s="28">
        <f>IF(Q48="PS",I48-P48,0)</f>
        <v>0</v>
      </c>
      <c r="V48" s="28">
        <f>IF(Q48="MP",H48,0)</f>
        <v>0</v>
      </c>
      <c r="W48" s="28">
        <f>IF(Q48="MP",I48-P48,0)</f>
        <v>0</v>
      </c>
      <c r="X48" s="28">
        <f>IF(Q48="OM",H48,0)</f>
        <v>0</v>
      </c>
      <c r="Y48" s="21"/>
      <c r="AI48" s="28">
        <f>SUM(Z49:Z49)</f>
        <v>0</v>
      </c>
      <c r="AJ48" s="28">
        <f>SUM(AA49:AA49)</f>
        <v>0</v>
      </c>
      <c r="AK48" s="28">
        <f>SUM(AB49:AB49)</f>
        <v>0</v>
      </c>
    </row>
    <row r="49" spans="1:32" ht="12.75">
      <c r="A49" s="4" t="s">
        <v>174</v>
      </c>
      <c r="B49" s="4"/>
      <c r="C49" s="4" t="s">
        <v>173</v>
      </c>
      <c r="D49" s="4" t="s">
        <v>172</v>
      </c>
      <c r="E49" s="4" t="s">
        <v>171</v>
      </c>
      <c r="F49" s="13">
        <v>50</v>
      </c>
      <c r="G49" s="13">
        <v>0</v>
      </c>
      <c r="H49" s="13">
        <f>ROUND(F49*AE49,2)</f>
        <v>0</v>
      </c>
      <c r="I49" s="13">
        <f>J49-H49</f>
        <v>0</v>
      </c>
      <c r="J49" s="13">
        <f>ROUND(F49*G49,2)</f>
        <v>0</v>
      </c>
      <c r="K49" s="13">
        <v>0</v>
      </c>
      <c r="L49" s="13">
        <f>F49*K49</f>
        <v>0</v>
      </c>
      <c r="N49" s="24" t="s">
        <v>7</v>
      </c>
      <c r="O49" s="13">
        <f>IF(N49="5",I49,0)</f>
        <v>0</v>
      </c>
      <c r="Z49" s="13">
        <f>IF(AD49=0,J49,0)</f>
        <v>0</v>
      </c>
      <c r="AA49" s="13">
        <f>IF(AD49=15,J49,0)</f>
        <v>0</v>
      </c>
      <c r="AB49" s="13">
        <f>IF(AD49=21,J49,0)</f>
        <v>0</v>
      </c>
      <c r="AD49" s="26">
        <v>21</v>
      </c>
      <c r="AE49" s="26">
        <f>G49*0</f>
        <v>0</v>
      </c>
      <c r="AF49" s="26">
        <f>G49*(1-0)</f>
        <v>0</v>
      </c>
    </row>
    <row r="50" spans="1:37" ht="12.75">
      <c r="A50" s="5"/>
      <c r="B50" s="5"/>
      <c r="C50" s="11" t="s">
        <v>170</v>
      </c>
      <c r="D50" s="60" t="s">
        <v>169</v>
      </c>
      <c r="E50" s="61"/>
      <c r="F50" s="61"/>
      <c r="G50" s="61"/>
      <c r="H50" s="28">
        <f>SUM(H51:H51)</f>
        <v>0</v>
      </c>
      <c r="I50" s="28">
        <f>SUM(I51:I51)</f>
        <v>0</v>
      </c>
      <c r="J50" s="28">
        <f>H50+I50</f>
        <v>0</v>
      </c>
      <c r="K50" s="21"/>
      <c r="L50" s="28">
        <f>SUM(L51:L51)</f>
        <v>0.137144</v>
      </c>
      <c r="P50" s="28">
        <f>IF(Q50="PR",J50,SUM(O51:O51))</f>
        <v>0</v>
      </c>
      <c r="Q50" s="21" t="s">
        <v>71</v>
      </c>
      <c r="R50" s="28">
        <f>IF(Q50="HS",H50,0)</f>
        <v>0</v>
      </c>
      <c r="S50" s="28">
        <f>IF(Q50="HS",I50-P50,0)</f>
        <v>0</v>
      </c>
      <c r="T50" s="28">
        <f>IF(Q50="PS",H50,0)</f>
        <v>0</v>
      </c>
      <c r="U50" s="28">
        <f>IF(Q50="PS",I50-P50,0)</f>
        <v>0</v>
      </c>
      <c r="V50" s="28">
        <f>IF(Q50="MP",H50,0)</f>
        <v>0</v>
      </c>
      <c r="W50" s="28">
        <f>IF(Q50="MP",I50-P50,0)</f>
        <v>0</v>
      </c>
      <c r="X50" s="28">
        <f>IF(Q50="OM",H50,0)</f>
        <v>0</v>
      </c>
      <c r="Y50" s="21"/>
      <c r="AI50" s="28">
        <f>SUM(Z51:Z51)</f>
        <v>0</v>
      </c>
      <c r="AJ50" s="28">
        <f>SUM(AA51:AA51)</f>
        <v>0</v>
      </c>
      <c r="AK50" s="28">
        <f>SUM(AB51:AB51)</f>
        <v>0</v>
      </c>
    </row>
    <row r="51" spans="1:32" ht="12.75">
      <c r="A51" s="4" t="s">
        <v>168</v>
      </c>
      <c r="B51" s="4"/>
      <c r="C51" s="4" t="s">
        <v>167</v>
      </c>
      <c r="D51" s="4" t="s">
        <v>166</v>
      </c>
      <c r="E51" s="4" t="s">
        <v>50</v>
      </c>
      <c r="F51" s="13">
        <v>86.8</v>
      </c>
      <c r="G51" s="13">
        <v>0</v>
      </c>
      <c r="H51" s="13">
        <f>ROUND(F51*AE51,2)</f>
        <v>0</v>
      </c>
      <c r="I51" s="13">
        <f>J51-H51</f>
        <v>0</v>
      </c>
      <c r="J51" s="13">
        <f>ROUND(F51*G51,2)</f>
        <v>0</v>
      </c>
      <c r="K51" s="13">
        <v>0.00158</v>
      </c>
      <c r="L51" s="13">
        <f>F51*K51</f>
        <v>0.137144</v>
      </c>
      <c r="N51" s="24" t="s">
        <v>7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6">
        <v>21</v>
      </c>
      <c r="AE51" s="26">
        <f>G51*0.465185775475645</f>
        <v>0</v>
      </c>
      <c r="AF51" s="26">
        <f>G51*(1-0.465185775475645)</f>
        <v>0</v>
      </c>
    </row>
    <row r="52" spans="1:37" ht="12.75">
      <c r="A52" s="5"/>
      <c r="B52" s="5"/>
      <c r="C52" s="11" t="s">
        <v>165</v>
      </c>
      <c r="D52" s="60" t="s">
        <v>164</v>
      </c>
      <c r="E52" s="61"/>
      <c r="F52" s="61"/>
      <c r="G52" s="61"/>
      <c r="H52" s="28">
        <f>SUM(H53:H53)</f>
        <v>0</v>
      </c>
      <c r="I52" s="28">
        <f>SUM(I53:I53)</f>
        <v>0</v>
      </c>
      <c r="J52" s="28">
        <f>H52+I52</f>
        <v>0</v>
      </c>
      <c r="K52" s="21"/>
      <c r="L52" s="28">
        <f>SUM(L53:L53)</f>
        <v>0.0034720000000000003</v>
      </c>
      <c r="P52" s="28">
        <f>IF(Q52="PR",J52,SUM(O53:O53))</f>
        <v>0</v>
      </c>
      <c r="Q52" s="21" t="s">
        <v>71</v>
      </c>
      <c r="R52" s="28">
        <f>IF(Q52="HS",H52,0)</f>
        <v>0</v>
      </c>
      <c r="S52" s="28">
        <f>IF(Q52="HS",I52-P52,0)</f>
        <v>0</v>
      </c>
      <c r="T52" s="28">
        <f>IF(Q52="PS",H52,0)</f>
        <v>0</v>
      </c>
      <c r="U52" s="28">
        <f>IF(Q52="PS",I52-P52,0)</f>
        <v>0</v>
      </c>
      <c r="V52" s="28">
        <f>IF(Q52="MP",H52,0)</f>
        <v>0</v>
      </c>
      <c r="W52" s="28">
        <f>IF(Q52="MP",I52-P52,0)</f>
        <v>0</v>
      </c>
      <c r="X52" s="28">
        <f>IF(Q52="OM",H52,0)</f>
        <v>0</v>
      </c>
      <c r="Y52" s="21"/>
      <c r="AI52" s="28">
        <f>SUM(Z53:Z53)</f>
        <v>0</v>
      </c>
      <c r="AJ52" s="28">
        <f>SUM(AA53:AA53)</f>
        <v>0</v>
      </c>
      <c r="AK52" s="28">
        <f>SUM(AB53:AB53)</f>
        <v>0</v>
      </c>
    </row>
    <row r="53" spans="1:32" ht="12.75">
      <c r="A53" s="4" t="s">
        <v>163</v>
      </c>
      <c r="B53" s="4"/>
      <c r="C53" s="4" t="s">
        <v>162</v>
      </c>
      <c r="D53" s="4" t="s">
        <v>161</v>
      </c>
      <c r="E53" s="4" t="s">
        <v>50</v>
      </c>
      <c r="F53" s="13">
        <v>86.8</v>
      </c>
      <c r="G53" s="13">
        <v>0</v>
      </c>
      <c r="H53" s="13">
        <f>ROUND(F53*AE53,2)</f>
        <v>0</v>
      </c>
      <c r="I53" s="13">
        <f>J53-H53</f>
        <v>0</v>
      </c>
      <c r="J53" s="13">
        <f>ROUND(F53*G53,2)</f>
        <v>0</v>
      </c>
      <c r="K53" s="13">
        <v>4E-05</v>
      </c>
      <c r="L53" s="13">
        <f>F53*K53</f>
        <v>0.0034720000000000003</v>
      </c>
      <c r="N53" s="24" t="s">
        <v>7</v>
      </c>
      <c r="O53" s="13">
        <f>IF(N53="5",I53,0)</f>
        <v>0</v>
      </c>
      <c r="Z53" s="13">
        <f>IF(AD53=0,J53,0)</f>
        <v>0</v>
      </c>
      <c r="AA53" s="13">
        <f>IF(AD53=15,J53,0)</f>
        <v>0</v>
      </c>
      <c r="AB53" s="13">
        <f>IF(AD53=21,J53,0)</f>
        <v>0</v>
      </c>
      <c r="AD53" s="26">
        <v>21</v>
      </c>
      <c r="AE53" s="26">
        <f>G53*0.0166274075100457</f>
        <v>0</v>
      </c>
      <c r="AF53" s="26">
        <f>G53*(1-0.0166274075100457)</f>
        <v>0</v>
      </c>
    </row>
    <row r="54" spans="1:37" ht="12.75">
      <c r="A54" s="5"/>
      <c r="B54" s="5"/>
      <c r="C54" s="11" t="s">
        <v>24</v>
      </c>
      <c r="D54" s="60" t="s">
        <v>40</v>
      </c>
      <c r="E54" s="61"/>
      <c r="F54" s="61"/>
      <c r="G54" s="61"/>
      <c r="H54" s="28">
        <f>SUM(H55:H58)</f>
        <v>0</v>
      </c>
      <c r="I54" s="28">
        <f>SUM(I55:I58)</f>
        <v>0</v>
      </c>
      <c r="J54" s="28">
        <f>H54+I54</f>
        <v>0</v>
      </c>
      <c r="K54" s="21"/>
      <c r="L54" s="28">
        <f>SUM(L55:L58)</f>
        <v>4.909940000000001</v>
      </c>
      <c r="P54" s="28">
        <f>IF(Q54="PR",J54,SUM(O55:O58))</f>
        <v>0</v>
      </c>
      <c r="Q54" s="21" t="s">
        <v>71</v>
      </c>
      <c r="R54" s="28">
        <f>IF(Q54="HS",H54,0)</f>
        <v>0</v>
      </c>
      <c r="S54" s="28">
        <f>IF(Q54="HS",I54-P54,0)</f>
        <v>0</v>
      </c>
      <c r="T54" s="28">
        <f>IF(Q54="PS",H54,0)</f>
        <v>0</v>
      </c>
      <c r="U54" s="28">
        <f>IF(Q54="PS",I54-P54,0)</f>
        <v>0</v>
      </c>
      <c r="V54" s="28">
        <f>IF(Q54="MP",H54,0)</f>
        <v>0</v>
      </c>
      <c r="W54" s="28">
        <f>IF(Q54="MP",I54-P54,0)</f>
        <v>0</v>
      </c>
      <c r="X54" s="28">
        <f>IF(Q54="OM",H54,0)</f>
        <v>0</v>
      </c>
      <c r="Y54" s="21"/>
      <c r="AI54" s="28">
        <f>SUM(Z55:Z58)</f>
        <v>0</v>
      </c>
      <c r="AJ54" s="28">
        <f>SUM(AA55:AA58)</f>
        <v>0</v>
      </c>
      <c r="AK54" s="28">
        <f>SUM(AB55:AB58)</f>
        <v>0</v>
      </c>
    </row>
    <row r="55" spans="1:32" ht="12.75">
      <c r="A55" s="4" t="s">
        <v>160</v>
      </c>
      <c r="B55" s="4"/>
      <c r="C55" s="4" t="s">
        <v>159</v>
      </c>
      <c r="D55" s="4" t="s">
        <v>158</v>
      </c>
      <c r="E55" s="4" t="s">
        <v>157</v>
      </c>
      <c r="F55" s="13">
        <v>75</v>
      </c>
      <c r="G55" s="13">
        <v>0</v>
      </c>
      <c r="H55" s="13">
        <f>ROUND(F55*AE55,2)</f>
        <v>0</v>
      </c>
      <c r="I55" s="13">
        <f>J55-H55</f>
        <v>0</v>
      </c>
      <c r="J55" s="13">
        <f>ROUND(F55*G55,2)</f>
        <v>0</v>
      </c>
      <c r="K55" s="13">
        <v>0.002</v>
      </c>
      <c r="L55" s="13">
        <f>F55*K55</f>
        <v>0.15</v>
      </c>
      <c r="N55" s="24" t="s">
        <v>7</v>
      </c>
      <c r="O55" s="13">
        <f>IF(N55="5",I55,0)</f>
        <v>0</v>
      </c>
      <c r="Z55" s="13">
        <f>IF(AD55=0,J55,0)</f>
        <v>0</v>
      </c>
      <c r="AA55" s="13">
        <f>IF(AD55=15,J55,0)</f>
        <v>0</v>
      </c>
      <c r="AB55" s="13">
        <f>IF(AD55=21,J55,0)</f>
        <v>0</v>
      </c>
      <c r="AD55" s="26">
        <v>21</v>
      </c>
      <c r="AE55" s="26">
        <f>G55*0.110374839283948</f>
        <v>0</v>
      </c>
      <c r="AF55" s="26">
        <f>G55*(1-0.110374839283948)</f>
        <v>0</v>
      </c>
    </row>
    <row r="56" spans="1:32" ht="12.75">
      <c r="A56" s="4" t="s">
        <v>156</v>
      </c>
      <c r="B56" s="4"/>
      <c r="C56" s="4" t="s">
        <v>155</v>
      </c>
      <c r="D56" s="4" t="s">
        <v>154</v>
      </c>
      <c r="E56" s="4" t="s">
        <v>50</v>
      </c>
      <c r="F56" s="13">
        <v>86.8</v>
      </c>
      <c r="G56" s="13">
        <v>0</v>
      </c>
      <c r="H56" s="13">
        <f>ROUND(F56*AE56,2)</f>
        <v>0</v>
      </c>
      <c r="I56" s="13">
        <f>J56-H56</f>
        <v>0</v>
      </c>
      <c r="J56" s="13">
        <f>ROUND(F56*G56,2)</f>
        <v>0</v>
      </c>
      <c r="K56" s="13">
        <v>0.004</v>
      </c>
      <c r="L56" s="13">
        <f>F56*K56</f>
        <v>0.3472</v>
      </c>
      <c r="N56" s="24" t="s">
        <v>7</v>
      </c>
      <c r="O56" s="13">
        <f>IF(N56="5",I56,0)</f>
        <v>0</v>
      </c>
      <c r="Z56" s="13">
        <f>IF(AD56=0,J56,0)</f>
        <v>0</v>
      </c>
      <c r="AA56" s="13">
        <f>IF(AD56=15,J56,0)</f>
        <v>0</v>
      </c>
      <c r="AB56" s="13">
        <f>IF(AD56=21,J56,0)</f>
        <v>0</v>
      </c>
      <c r="AD56" s="26">
        <v>21</v>
      </c>
      <c r="AE56" s="26">
        <f>G56*0</f>
        <v>0</v>
      </c>
      <c r="AF56" s="26">
        <f>G56*(1-0)</f>
        <v>0</v>
      </c>
    </row>
    <row r="57" spans="1:32" ht="12.75">
      <c r="A57" s="4" t="s">
        <v>153</v>
      </c>
      <c r="B57" s="4"/>
      <c r="C57" s="4" t="s">
        <v>152</v>
      </c>
      <c r="D57" s="4" t="s">
        <v>151</v>
      </c>
      <c r="E57" s="4" t="s">
        <v>50</v>
      </c>
      <c r="F57" s="13">
        <v>109.57</v>
      </c>
      <c r="G57" s="13">
        <v>0</v>
      </c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0.01</v>
      </c>
      <c r="L57" s="13">
        <f>F57*K57</f>
        <v>1.0957</v>
      </c>
      <c r="N57" s="24" t="s">
        <v>7</v>
      </c>
      <c r="O57" s="13">
        <f>IF(N57="5",I57,0)</f>
        <v>0</v>
      </c>
      <c r="Z57" s="13">
        <f>IF(AD57=0,J57,0)</f>
        <v>0</v>
      </c>
      <c r="AA57" s="13">
        <f>IF(AD57=15,J57,0)</f>
        <v>0</v>
      </c>
      <c r="AB57" s="13">
        <f>IF(AD57=21,J57,0)</f>
        <v>0</v>
      </c>
      <c r="AD57" s="26">
        <v>21</v>
      </c>
      <c r="AE57" s="26">
        <f>G57*0</f>
        <v>0</v>
      </c>
      <c r="AF57" s="26">
        <f>G57*(1-0)</f>
        <v>0</v>
      </c>
    </row>
    <row r="58" spans="1:32" ht="12.75">
      <c r="A58" s="4" t="s">
        <v>150</v>
      </c>
      <c r="B58" s="4"/>
      <c r="C58" s="4" t="s">
        <v>25</v>
      </c>
      <c r="D58" s="4" t="s">
        <v>41</v>
      </c>
      <c r="E58" s="4" t="s">
        <v>50</v>
      </c>
      <c r="F58" s="13">
        <v>48.78</v>
      </c>
      <c r="G58" s="13">
        <v>0</v>
      </c>
      <c r="H58" s="13">
        <f>ROUND(F58*AE58,2)</f>
        <v>0</v>
      </c>
      <c r="I58" s="13">
        <f>J58-H58</f>
        <v>0</v>
      </c>
      <c r="J58" s="13">
        <f>ROUND(F58*G58,2)</f>
        <v>0</v>
      </c>
      <c r="K58" s="13">
        <v>0.068</v>
      </c>
      <c r="L58" s="13">
        <f>F58*K58</f>
        <v>3.3170400000000004</v>
      </c>
      <c r="N58" s="24" t="s">
        <v>7</v>
      </c>
      <c r="O58" s="13">
        <f>IF(N58="5",I58,0)</f>
        <v>0</v>
      </c>
      <c r="Z58" s="13">
        <f>IF(AD58=0,J58,0)</f>
        <v>0</v>
      </c>
      <c r="AA58" s="13">
        <f>IF(AD58=15,J58,0)</f>
        <v>0</v>
      </c>
      <c r="AB58" s="13">
        <f>IF(AD58=21,J58,0)</f>
        <v>0</v>
      </c>
      <c r="AD58" s="26">
        <v>21</v>
      </c>
      <c r="AE58" s="26">
        <f>G58*0</f>
        <v>0</v>
      </c>
      <c r="AF58" s="26">
        <f>G58*(1-0)</f>
        <v>0</v>
      </c>
    </row>
    <row r="59" spans="1:37" ht="12.75">
      <c r="A59" s="5"/>
      <c r="B59" s="5"/>
      <c r="C59" s="11" t="s">
        <v>149</v>
      </c>
      <c r="D59" s="60" t="s">
        <v>148</v>
      </c>
      <c r="E59" s="61"/>
      <c r="F59" s="61"/>
      <c r="G59" s="61"/>
      <c r="H59" s="28">
        <f>SUM(H60:H60)</f>
        <v>0</v>
      </c>
      <c r="I59" s="28">
        <f>SUM(I60:I60)</f>
        <v>0</v>
      </c>
      <c r="J59" s="28">
        <f>H59+I59</f>
        <v>0</v>
      </c>
      <c r="K59" s="21"/>
      <c r="L59" s="28">
        <f>SUM(L60:L60)</f>
        <v>0</v>
      </c>
      <c r="P59" s="28">
        <f>IF(Q59="PR",J59,SUM(O60:O60))</f>
        <v>0</v>
      </c>
      <c r="Q59" s="21" t="s">
        <v>143</v>
      </c>
      <c r="R59" s="28">
        <f>IF(Q59="HS",H59,0)</f>
        <v>0</v>
      </c>
      <c r="S59" s="28">
        <f>IF(Q59="HS",I59-P59,0)</f>
        <v>0</v>
      </c>
      <c r="T59" s="28">
        <f>IF(Q59="PS",H59,0)</f>
        <v>0</v>
      </c>
      <c r="U59" s="28">
        <f>IF(Q59="PS",I59-P59,0)</f>
        <v>0</v>
      </c>
      <c r="V59" s="28">
        <f>IF(Q59="MP",H59,0)</f>
        <v>0</v>
      </c>
      <c r="W59" s="28">
        <f>IF(Q59="MP",I59-P59,0)</f>
        <v>0</v>
      </c>
      <c r="X59" s="28">
        <f>IF(Q59="OM",H59,0)</f>
        <v>0</v>
      </c>
      <c r="Y59" s="21"/>
      <c r="AI59" s="28">
        <f>SUM(Z60:Z60)</f>
        <v>0</v>
      </c>
      <c r="AJ59" s="28">
        <f>SUM(AA60:AA60)</f>
        <v>0</v>
      </c>
      <c r="AK59" s="28">
        <f>SUM(AB60:AB60)</f>
        <v>0</v>
      </c>
    </row>
    <row r="60" spans="1:32" ht="12.75">
      <c r="A60" s="4" t="s">
        <v>147</v>
      </c>
      <c r="B60" s="4"/>
      <c r="C60" s="4" t="s">
        <v>146</v>
      </c>
      <c r="D60" s="4" t="s">
        <v>145</v>
      </c>
      <c r="E60" s="4" t="s">
        <v>49</v>
      </c>
      <c r="F60" s="13">
        <v>0.08</v>
      </c>
      <c r="G60" s="13">
        <v>0</v>
      </c>
      <c r="H60" s="13">
        <f>ROUND(F60*AE60,2)</f>
        <v>0</v>
      </c>
      <c r="I60" s="13">
        <f>J60-H60</f>
        <v>0</v>
      </c>
      <c r="J60" s="13">
        <f>ROUND(F60*G60,2)</f>
        <v>0</v>
      </c>
      <c r="K60" s="13">
        <v>0</v>
      </c>
      <c r="L60" s="13">
        <f>F60*K60</f>
        <v>0</v>
      </c>
      <c r="N60" s="24" t="s">
        <v>11</v>
      </c>
      <c r="O60" s="13">
        <f>IF(N60="5",I60,0)</f>
        <v>0</v>
      </c>
      <c r="Z60" s="13">
        <f>IF(AD60=0,J60,0)</f>
        <v>0</v>
      </c>
      <c r="AA60" s="13">
        <f>IF(AD60=15,J60,0)</f>
        <v>0</v>
      </c>
      <c r="AB60" s="13">
        <f>IF(AD60=21,J60,0)</f>
        <v>0</v>
      </c>
      <c r="AD60" s="26">
        <v>21</v>
      </c>
      <c r="AE60" s="26">
        <f>G60*0</f>
        <v>0</v>
      </c>
      <c r="AF60" s="26">
        <f>G60*(1-0)</f>
        <v>0</v>
      </c>
    </row>
    <row r="61" spans="1:37" ht="12.75">
      <c r="A61" s="5"/>
      <c r="B61" s="5"/>
      <c r="C61" s="11" t="s">
        <v>144</v>
      </c>
      <c r="D61" s="60" t="s">
        <v>35</v>
      </c>
      <c r="E61" s="61"/>
      <c r="F61" s="61"/>
      <c r="G61" s="61"/>
      <c r="H61" s="28">
        <f>SUM(H62:H62)</f>
        <v>0</v>
      </c>
      <c r="I61" s="28">
        <f>SUM(I62:I62)</f>
        <v>0</v>
      </c>
      <c r="J61" s="28">
        <f>H61+I61</f>
        <v>0</v>
      </c>
      <c r="K61" s="21"/>
      <c r="L61" s="28">
        <f>SUM(L62:L62)</f>
        <v>0</v>
      </c>
      <c r="P61" s="28">
        <f>IF(Q61="PR",J61,SUM(O62:O62))</f>
        <v>0</v>
      </c>
      <c r="Q61" s="21" t="s">
        <v>143</v>
      </c>
      <c r="R61" s="28">
        <f>IF(Q61="HS",H61,0)</f>
        <v>0</v>
      </c>
      <c r="S61" s="28">
        <f>IF(Q61="HS",I61-P61,0)</f>
        <v>0</v>
      </c>
      <c r="T61" s="28">
        <f>IF(Q61="PS",H61,0)</f>
        <v>0</v>
      </c>
      <c r="U61" s="28">
        <f>IF(Q61="PS",I61-P61,0)</f>
        <v>0</v>
      </c>
      <c r="V61" s="28">
        <f>IF(Q61="MP",H61,0)</f>
        <v>0</v>
      </c>
      <c r="W61" s="28">
        <f>IF(Q61="MP",I61-P61,0)</f>
        <v>0</v>
      </c>
      <c r="X61" s="28">
        <f>IF(Q61="OM",H61,0)</f>
        <v>0</v>
      </c>
      <c r="Y61" s="21"/>
      <c r="AI61" s="28">
        <f>SUM(Z62:Z62)</f>
        <v>0</v>
      </c>
      <c r="AJ61" s="28">
        <f>SUM(AA62:AA62)</f>
        <v>0</v>
      </c>
      <c r="AK61" s="28">
        <f>SUM(AB62:AB62)</f>
        <v>0</v>
      </c>
    </row>
    <row r="62" spans="1:32" ht="12.75">
      <c r="A62" s="4" t="s">
        <v>142</v>
      </c>
      <c r="B62" s="4"/>
      <c r="C62" s="4" t="s">
        <v>23</v>
      </c>
      <c r="D62" s="4" t="s">
        <v>39</v>
      </c>
      <c r="E62" s="4" t="s">
        <v>49</v>
      </c>
      <c r="F62" s="13">
        <v>0.15</v>
      </c>
      <c r="G62" s="13">
        <v>0</v>
      </c>
      <c r="H62" s="13">
        <f>ROUND(F62*AE62,2)</f>
        <v>0</v>
      </c>
      <c r="I62" s="13">
        <f>J62-H62</f>
        <v>0</v>
      </c>
      <c r="J62" s="13">
        <f>ROUND(F62*G62,2)</f>
        <v>0</v>
      </c>
      <c r="K62" s="13">
        <v>0</v>
      </c>
      <c r="L62" s="13">
        <f>F62*K62</f>
        <v>0</v>
      </c>
      <c r="N62" s="24" t="s">
        <v>11</v>
      </c>
      <c r="O62" s="13">
        <f>IF(N62="5",I62,0)</f>
        <v>0</v>
      </c>
      <c r="Z62" s="13">
        <f>IF(AD62=0,J62,0)</f>
        <v>0</v>
      </c>
      <c r="AA62" s="13">
        <f>IF(AD62=15,J62,0)</f>
        <v>0</v>
      </c>
      <c r="AB62" s="13">
        <f>IF(AD62=21,J62,0)</f>
        <v>0</v>
      </c>
      <c r="AD62" s="26">
        <v>21</v>
      </c>
      <c r="AE62" s="26">
        <f>G62*0</f>
        <v>0</v>
      </c>
      <c r="AF62" s="26">
        <f>G62*(1-0)</f>
        <v>0</v>
      </c>
    </row>
    <row r="63" spans="1:37" ht="12.75">
      <c r="A63" s="5"/>
      <c r="B63" s="5"/>
      <c r="C63" s="11"/>
      <c r="D63" s="60" t="s">
        <v>42</v>
      </c>
      <c r="E63" s="61"/>
      <c r="F63" s="61"/>
      <c r="G63" s="61"/>
      <c r="H63" s="28">
        <f>SUM(H64:H68)</f>
        <v>0</v>
      </c>
      <c r="I63" s="28">
        <f>SUM(I64:I68)</f>
        <v>0</v>
      </c>
      <c r="J63" s="28">
        <f>H63+I63</f>
        <v>0</v>
      </c>
      <c r="K63" s="21"/>
      <c r="L63" s="28">
        <f>SUM(L64:L68)</f>
        <v>0.9767520000000001</v>
      </c>
      <c r="P63" s="28">
        <f>IF(Q63="PR",J63,SUM(O64:O68))</f>
        <v>0</v>
      </c>
      <c r="Q63" s="21" t="s">
        <v>69</v>
      </c>
      <c r="R63" s="28">
        <f>IF(Q63="HS",H63,0)</f>
        <v>0</v>
      </c>
      <c r="S63" s="28">
        <f>IF(Q63="HS",I63-P63,0)</f>
        <v>0</v>
      </c>
      <c r="T63" s="28">
        <f>IF(Q63="PS",H63,0)</f>
        <v>0</v>
      </c>
      <c r="U63" s="28">
        <f>IF(Q63="PS",I63-P63,0)</f>
        <v>0</v>
      </c>
      <c r="V63" s="28">
        <f>IF(Q63="MP",H63,0)</f>
        <v>0</v>
      </c>
      <c r="W63" s="28">
        <f>IF(Q63="MP",I63-P63,0)</f>
        <v>0</v>
      </c>
      <c r="X63" s="28">
        <f>IF(Q63="OM",H63,0)</f>
        <v>0</v>
      </c>
      <c r="Y63" s="21"/>
      <c r="AI63" s="28">
        <f>SUM(Z64:Z68)</f>
        <v>0</v>
      </c>
      <c r="AJ63" s="28">
        <f>SUM(AA64:AA68)</f>
        <v>0</v>
      </c>
      <c r="AK63" s="28">
        <f>SUM(AB64:AB68)</f>
        <v>0</v>
      </c>
    </row>
    <row r="64" spans="1:32" ht="12.75">
      <c r="A64" s="34" t="s">
        <v>141</v>
      </c>
      <c r="B64" s="34"/>
      <c r="C64" s="34" t="s">
        <v>140</v>
      </c>
      <c r="D64" s="34" t="s">
        <v>139</v>
      </c>
      <c r="E64" s="34" t="s">
        <v>132</v>
      </c>
      <c r="F64" s="30">
        <v>1</v>
      </c>
      <c r="G64" s="30">
        <v>0</v>
      </c>
      <c r="H64" s="30">
        <f>ROUND(F64*AE64,2)</f>
        <v>0</v>
      </c>
      <c r="I64" s="30">
        <f>J64-H64</f>
        <v>0</v>
      </c>
      <c r="J64" s="30">
        <f>ROUND(F64*G64,2)</f>
        <v>0</v>
      </c>
      <c r="K64" s="30">
        <v>0</v>
      </c>
      <c r="L64" s="30">
        <f>F64*K64</f>
        <v>0</v>
      </c>
      <c r="N64" s="25" t="s">
        <v>66</v>
      </c>
      <c r="O64" s="30">
        <f>IF(N64="5",I64,0)</f>
        <v>0</v>
      </c>
      <c r="Z64" s="30">
        <f>IF(AD64=0,J64,0)</f>
        <v>0</v>
      </c>
      <c r="AA64" s="30">
        <f>IF(AD64=15,J64,0)</f>
        <v>0</v>
      </c>
      <c r="AB64" s="30">
        <f>IF(AD64=21,J64,0)</f>
        <v>0</v>
      </c>
      <c r="AD64" s="26">
        <v>21</v>
      </c>
      <c r="AE64" s="26">
        <f>G64*1</f>
        <v>0</v>
      </c>
      <c r="AF64" s="26">
        <f>G64*(1-1)</f>
        <v>0</v>
      </c>
    </row>
    <row r="65" spans="1:32" ht="12.75">
      <c r="A65" s="34" t="s">
        <v>138</v>
      </c>
      <c r="B65" s="34"/>
      <c r="C65" s="34" t="s">
        <v>137</v>
      </c>
      <c r="D65" s="34" t="s">
        <v>136</v>
      </c>
      <c r="E65" s="34" t="s">
        <v>132</v>
      </c>
      <c r="F65" s="30">
        <v>1</v>
      </c>
      <c r="G65" s="30">
        <v>0</v>
      </c>
      <c r="H65" s="30">
        <f>ROUND(F65*AE65,2)</f>
        <v>0</v>
      </c>
      <c r="I65" s="30">
        <f>J65-H65</f>
        <v>0</v>
      </c>
      <c r="J65" s="30">
        <f>ROUND(F65*G65,2)</f>
        <v>0</v>
      </c>
      <c r="K65" s="30">
        <v>0</v>
      </c>
      <c r="L65" s="30">
        <f>F65*K65</f>
        <v>0</v>
      </c>
      <c r="N65" s="25" t="s">
        <v>66</v>
      </c>
      <c r="O65" s="30">
        <f>IF(N65="5",I65,0)</f>
        <v>0</v>
      </c>
      <c r="Z65" s="30">
        <f>IF(AD65=0,J65,0)</f>
        <v>0</v>
      </c>
      <c r="AA65" s="30">
        <f>IF(AD65=15,J65,0)</f>
        <v>0</v>
      </c>
      <c r="AB65" s="30">
        <f>IF(AD65=21,J65,0)</f>
        <v>0</v>
      </c>
      <c r="AD65" s="26">
        <v>21</v>
      </c>
      <c r="AE65" s="26">
        <f>G65*1</f>
        <v>0</v>
      </c>
      <c r="AF65" s="26">
        <f>G65*(1-1)</f>
        <v>0</v>
      </c>
    </row>
    <row r="66" spans="1:32" ht="12.75">
      <c r="A66" s="34" t="s">
        <v>135</v>
      </c>
      <c r="B66" s="34"/>
      <c r="C66" s="34" t="s">
        <v>134</v>
      </c>
      <c r="D66" s="34" t="s">
        <v>133</v>
      </c>
      <c r="E66" s="34" t="s">
        <v>132</v>
      </c>
      <c r="F66" s="30">
        <v>1</v>
      </c>
      <c r="G66" s="30">
        <v>0</v>
      </c>
      <c r="H66" s="30">
        <f>ROUND(F66*AE66,2)</f>
        <v>0</v>
      </c>
      <c r="I66" s="30">
        <f>J66-H66</f>
        <v>0</v>
      </c>
      <c r="J66" s="30">
        <f>ROUND(F66*G66,2)</f>
        <v>0</v>
      </c>
      <c r="K66" s="30">
        <v>0</v>
      </c>
      <c r="L66" s="30">
        <f>F66*K66</f>
        <v>0</v>
      </c>
      <c r="N66" s="25" t="s">
        <v>66</v>
      </c>
      <c r="O66" s="30">
        <f>IF(N66="5",I66,0)</f>
        <v>0</v>
      </c>
      <c r="Z66" s="30">
        <f>IF(AD66=0,J66,0)</f>
        <v>0</v>
      </c>
      <c r="AA66" s="30">
        <f>IF(AD66=15,J66,0)</f>
        <v>0</v>
      </c>
      <c r="AB66" s="30">
        <f>IF(AD66=21,J66,0)</f>
        <v>0</v>
      </c>
      <c r="AD66" s="26">
        <v>21</v>
      </c>
      <c r="AE66" s="26">
        <f>G66*1</f>
        <v>0</v>
      </c>
      <c r="AF66" s="26">
        <f>G66*(1-1)</f>
        <v>0</v>
      </c>
    </row>
    <row r="67" spans="1:32" ht="12.75">
      <c r="A67" s="34" t="s">
        <v>131</v>
      </c>
      <c r="B67" s="34"/>
      <c r="C67" s="34" t="s">
        <v>26</v>
      </c>
      <c r="D67" s="34" t="s">
        <v>130</v>
      </c>
      <c r="E67" s="34" t="s">
        <v>50</v>
      </c>
      <c r="F67" s="30">
        <v>52.68</v>
      </c>
      <c r="G67" s="30">
        <v>0</v>
      </c>
      <c r="H67" s="30">
        <f>ROUND(F67*AE67,2)</f>
        <v>0</v>
      </c>
      <c r="I67" s="30">
        <f>J67-H67</f>
        <v>0</v>
      </c>
      <c r="J67" s="30">
        <f>ROUND(F67*G67,2)</f>
        <v>0</v>
      </c>
      <c r="K67" s="30">
        <v>0.01</v>
      </c>
      <c r="L67" s="30">
        <f>F67*K67</f>
        <v>0.5268</v>
      </c>
      <c r="N67" s="25" t="s">
        <v>66</v>
      </c>
      <c r="O67" s="30">
        <f>IF(N67="5",I67,0)</f>
        <v>0</v>
      </c>
      <c r="Z67" s="30">
        <f>IF(AD67=0,J67,0)</f>
        <v>0</v>
      </c>
      <c r="AA67" s="30">
        <f>IF(AD67=15,J67,0)</f>
        <v>0</v>
      </c>
      <c r="AB67" s="30">
        <f>IF(AD67=21,J67,0)</f>
        <v>0</v>
      </c>
      <c r="AD67" s="26">
        <v>21</v>
      </c>
      <c r="AE67" s="26">
        <f>G67*1</f>
        <v>0</v>
      </c>
      <c r="AF67" s="26">
        <f>G67*(1-1)</f>
        <v>0</v>
      </c>
    </row>
    <row r="68" spans="1:32" ht="12.75">
      <c r="A68" s="6" t="s">
        <v>129</v>
      </c>
      <c r="B68" s="6"/>
      <c r="C68" s="6" t="s">
        <v>128</v>
      </c>
      <c r="D68" s="6" t="s">
        <v>127</v>
      </c>
      <c r="E68" s="6" t="s">
        <v>50</v>
      </c>
      <c r="F68" s="14">
        <v>93.74</v>
      </c>
      <c r="G68" s="14">
        <v>0</v>
      </c>
      <c r="H68" s="14">
        <f>ROUND(F68*AE68,2)</f>
        <v>0</v>
      </c>
      <c r="I68" s="14">
        <f>J68-H68</f>
        <v>0</v>
      </c>
      <c r="J68" s="14">
        <f>ROUND(F68*G68,2)</f>
        <v>0</v>
      </c>
      <c r="K68" s="14">
        <v>0.0048</v>
      </c>
      <c r="L68" s="14">
        <f>F68*K68</f>
        <v>0.44995199999999996</v>
      </c>
      <c r="N68" s="25" t="s">
        <v>66</v>
      </c>
      <c r="O68" s="30">
        <f>IF(N68="5",I68,0)</f>
        <v>0</v>
      </c>
      <c r="Z68" s="30">
        <f>IF(AD68=0,J68,0)</f>
        <v>0</v>
      </c>
      <c r="AA68" s="30">
        <f>IF(AD68=15,J68,0)</f>
        <v>0</v>
      </c>
      <c r="AB68" s="30">
        <f>IF(AD68=21,J68,0)</f>
        <v>0</v>
      </c>
      <c r="AD68" s="26">
        <v>21</v>
      </c>
      <c r="AE68" s="26">
        <f>G68*1</f>
        <v>0</v>
      </c>
      <c r="AF68" s="26">
        <f>G68*(1-1)</f>
        <v>0</v>
      </c>
    </row>
    <row r="69" spans="1:28" ht="12.75">
      <c r="A69" s="7"/>
      <c r="B69" s="7"/>
      <c r="C69" s="7"/>
      <c r="D69" s="7"/>
      <c r="E69" s="7"/>
      <c r="F69" s="7"/>
      <c r="G69" s="7"/>
      <c r="H69" s="53" t="s">
        <v>56</v>
      </c>
      <c r="I69" s="54"/>
      <c r="J69" s="29">
        <f>J12+J18+J20+J25+J30+J35+J40+J43+J48+J50+J52+J54+J59+J61+J63</f>
        <v>0</v>
      </c>
      <c r="K69" s="7"/>
      <c r="L69" s="7"/>
      <c r="Z69" s="31">
        <f>SUM(Z13:Z68)</f>
        <v>0</v>
      </c>
      <c r="AA69" s="31">
        <f>SUM(AA13:AA68)</f>
        <v>0</v>
      </c>
      <c r="AB69" s="31">
        <f>SUM(AB13:AB68)</f>
        <v>0</v>
      </c>
    </row>
  </sheetData>
  <sheetProtection/>
  <mergeCells count="43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8:G18"/>
    <mergeCell ref="D20:G20"/>
    <mergeCell ref="D25:G25"/>
    <mergeCell ref="D30:G30"/>
    <mergeCell ref="D35:G35"/>
    <mergeCell ref="D40:G40"/>
    <mergeCell ref="D43:G43"/>
    <mergeCell ref="D48:G48"/>
    <mergeCell ref="D50:G50"/>
    <mergeCell ref="D52:G52"/>
    <mergeCell ref="D54:G54"/>
    <mergeCell ref="D59:G59"/>
    <mergeCell ref="D61:G61"/>
    <mergeCell ref="D63:G63"/>
    <mergeCell ref="H69:I69"/>
  </mergeCell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49.7109375" style="0" customWidth="1"/>
    <col min="5" max="5" width="9.8515625" style="0" customWidth="1"/>
    <col min="6" max="6" width="24.140625" style="0" customWidth="1"/>
    <col min="7" max="7" width="20.421875" style="0" customWidth="1"/>
    <col min="8" max="8" width="44.00390625" style="0" customWidth="1"/>
  </cols>
  <sheetData>
    <row r="1" spans="1:7" ht="21.75" customHeight="1">
      <c r="A1" s="71" t="s">
        <v>79</v>
      </c>
      <c r="B1" s="72"/>
      <c r="C1" s="72"/>
      <c r="D1" s="72"/>
      <c r="E1" s="72"/>
      <c r="F1" s="72"/>
      <c r="G1" s="72"/>
    </row>
    <row r="2" spans="1:8" ht="12.75">
      <c r="A2" s="73" t="s">
        <v>1</v>
      </c>
      <c r="B2" s="66"/>
      <c r="C2" s="53" t="s">
        <v>259</v>
      </c>
      <c r="D2" s="54"/>
      <c r="E2" s="62" t="s">
        <v>57</v>
      </c>
      <c r="F2" s="62" t="s">
        <v>62</v>
      </c>
      <c r="G2" s="67"/>
      <c r="H2" s="22"/>
    </row>
    <row r="3" spans="1:8" ht="12.75">
      <c r="A3" s="74"/>
      <c r="B3" s="63"/>
      <c r="C3" s="77"/>
      <c r="D3" s="77"/>
      <c r="E3" s="63"/>
      <c r="F3" s="63"/>
      <c r="G3" s="68"/>
      <c r="H3" s="22"/>
    </row>
    <row r="4" spans="1:8" ht="12.75">
      <c r="A4" s="75" t="s">
        <v>2</v>
      </c>
      <c r="B4" s="63"/>
      <c r="C4" s="64" t="s">
        <v>258</v>
      </c>
      <c r="D4" s="63"/>
      <c r="E4" s="64" t="s">
        <v>58</v>
      </c>
      <c r="F4" s="64" t="s">
        <v>63</v>
      </c>
      <c r="G4" s="68"/>
      <c r="H4" s="22"/>
    </row>
    <row r="5" spans="1:8" ht="12.75">
      <c r="A5" s="74"/>
      <c r="B5" s="63"/>
      <c r="C5" s="63"/>
      <c r="D5" s="63"/>
      <c r="E5" s="63"/>
      <c r="F5" s="63"/>
      <c r="G5" s="68"/>
      <c r="H5" s="22"/>
    </row>
    <row r="6" spans="1:8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8"/>
      <c r="H6" s="22"/>
    </row>
    <row r="7" spans="1:8" ht="12.75">
      <c r="A7" s="74"/>
      <c r="B7" s="63"/>
      <c r="C7" s="63"/>
      <c r="D7" s="63"/>
      <c r="E7" s="63"/>
      <c r="F7" s="63"/>
      <c r="G7" s="68"/>
      <c r="H7" s="22"/>
    </row>
    <row r="8" spans="1:8" ht="12.75">
      <c r="A8" s="75" t="s">
        <v>60</v>
      </c>
      <c r="B8" s="63"/>
      <c r="C8" s="64"/>
      <c r="D8" s="63"/>
      <c r="E8" s="64" t="s">
        <v>47</v>
      </c>
      <c r="F8" s="70"/>
      <c r="G8" s="68"/>
      <c r="H8" s="22"/>
    </row>
    <row r="9" spans="1:8" ht="13.5" thickBot="1">
      <c r="A9" s="76"/>
      <c r="B9" s="65"/>
      <c r="C9" s="65"/>
      <c r="D9" s="65"/>
      <c r="E9" s="65"/>
      <c r="F9" s="65"/>
      <c r="G9" s="69"/>
      <c r="H9" s="38"/>
    </row>
    <row r="10" spans="1:9" ht="13.5" thickBot="1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</v>
      </c>
      <c r="D11" s="33" t="s">
        <v>33</v>
      </c>
      <c r="E11" s="33" t="s">
        <v>49</v>
      </c>
      <c r="F11" s="33" t="s">
        <v>279</v>
      </c>
      <c r="G11" s="37">
        <v>5</v>
      </c>
      <c r="H11" s="40"/>
    </row>
    <row r="12" spans="1:7" ht="12.75">
      <c r="A12" s="4" t="s">
        <v>8</v>
      </c>
      <c r="B12" s="4"/>
      <c r="C12" s="4" t="s">
        <v>18</v>
      </c>
      <c r="D12" s="4" t="s">
        <v>34</v>
      </c>
      <c r="E12" s="4" t="s">
        <v>49</v>
      </c>
      <c r="F12" s="4" t="s">
        <v>278</v>
      </c>
      <c r="G12" s="13">
        <v>15</v>
      </c>
    </row>
    <row r="13" spans="1:7" ht="12.75">
      <c r="A13" s="4" t="s">
        <v>9</v>
      </c>
      <c r="B13" s="4"/>
      <c r="C13" s="4" t="s">
        <v>256</v>
      </c>
      <c r="D13" s="4" t="s">
        <v>255</v>
      </c>
      <c r="E13" s="4" t="s">
        <v>49</v>
      </c>
      <c r="F13" s="4"/>
      <c r="G13" s="13">
        <v>5</v>
      </c>
    </row>
    <row r="14" spans="1:7" ht="12.75">
      <c r="A14" s="4" t="s">
        <v>10</v>
      </c>
      <c r="B14" s="4"/>
      <c r="C14" s="4" t="s">
        <v>254</v>
      </c>
      <c r="D14" s="4" t="s">
        <v>253</v>
      </c>
      <c r="E14" s="4" t="s">
        <v>49</v>
      </c>
      <c r="F14" s="4"/>
      <c r="G14" s="13">
        <v>5</v>
      </c>
    </row>
    <row r="15" spans="1:7" ht="12.75">
      <c r="A15" s="4" t="s">
        <v>11</v>
      </c>
      <c r="B15" s="4"/>
      <c r="C15" s="4" t="s">
        <v>252</v>
      </c>
      <c r="D15" s="4" t="s">
        <v>251</v>
      </c>
      <c r="E15" s="4" t="s">
        <v>49</v>
      </c>
      <c r="F15" s="4"/>
      <c r="G15" s="13">
        <v>5</v>
      </c>
    </row>
    <row r="16" spans="1:7" ht="12.75">
      <c r="A16" s="4" t="s">
        <v>12</v>
      </c>
      <c r="B16" s="4"/>
      <c r="C16" s="4" t="s">
        <v>248</v>
      </c>
      <c r="D16" s="4" t="s">
        <v>247</v>
      </c>
      <c r="E16" s="4" t="s">
        <v>49</v>
      </c>
      <c r="F16" s="4" t="s">
        <v>277</v>
      </c>
      <c r="G16" s="13">
        <v>4.4</v>
      </c>
    </row>
    <row r="17" spans="1:8" ht="12.75">
      <c r="A17" s="4" t="s">
        <v>13</v>
      </c>
      <c r="B17" s="4"/>
      <c r="C17" s="4" t="s">
        <v>244</v>
      </c>
      <c r="D17" s="4" t="s">
        <v>243</v>
      </c>
      <c r="E17" s="4" t="s">
        <v>50</v>
      </c>
      <c r="F17" s="4"/>
      <c r="G17" s="13">
        <v>86.8</v>
      </c>
      <c r="H17" s="52" t="s">
        <v>276</v>
      </c>
    </row>
    <row r="18" spans="1:7" ht="12.75">
      <c r="A18" s="4" t="s">
        <v>14</v>
      </c>
      <c r="B18" s="4"/>
      <c r="C18" s="4" t="s">
        <v>242</v>
      </c>
      <c r="D18" s="4" t="s">
        <v>241</v>
      </c>
      <c r="E18" s="4" t="s">
        <v>157</v>
      </c>
      <c r="F18" s="4"/>
      <c r="G18" s="13">
        <v>75</v>
      </c>
    </row>
    <row r="19" spans="1:8" ht="12.75">
      <c r="A19" s="4" t="s">
        <v>240</v>
      </c>
      <c r="B19" s="4"/>
      <c r="C19" s="4" t="s">
        <v>239</v>
      </c>
      <c r="D19" s="4" t="s">
        <v>238</v>
      </c>
      <c r="E19" s="4" t="s">
        <v>50</v>
      </c>
      <c r="F19" s="4"/>
      <c r="G19" s="13">
        <v>109.57</v>
      </c>
      <c r="H19" s="52" t="s">
        <v>276</v>
      </c>
    </row>
    <row r="20" spans="1:7" ht="12.75">
      <c r="A20" s="4" t="s">
        <v>237</v>
      </c>
      <c r="B20" s="4"/>
      <c r="C20" s="4" t="s">
        <v>236</v>
      </c>
      <c r="D20" s="4" t="s">
        <v>235</v>
      </c>
      <c r="E20" s="4" t="s">
        <v>50</v>
      </c>
      <c r="F20" s="4" t="s">
        <v>275</v>
      </c>
      <c r="G20" s="13">
        <v>3.75</v>
      </c>
    </row>
    <row r="21" spans="1:8" ht="12.75">
      <c r="A21" s="4" t="s">
        <v>232</v>
      </c>
      <c r="B21" s="4"/>
      <c r="C21" s="4" t="s">
        <v>231</v>
      </c>
      <c r="D21" s="4" t="s">
        <v>230</v>
      </c>
      <c r="E21" s="4" t="s">
        <v>50</v>
      </c>
      <c r="F21" s="4" t="s">
        <v>274</v>
      </c>
      <c r="G21" s="13">
        <v>86.8</v>
      </c>
      <c r="H21" s="52" t="s">
        <v>273</v>
      </c>
    </row>
    <row r="22" spans="1:7" ht="12.75">
      <c r="A22" s="4" t="s">
        <v>229</v>
      </c>
      <c r="B22" s="4"/>
      <c r="C22" s="4" t="s">
        <v>228</v>
      </c>
      <c r="D22" s="4" t="s">
        <v>227</v>
      </c>
      <c r="E22" s="4" t="s">
        <v>50</v>
      </c>
      <c r="F22" s="4" t="s">
        <v>272</v>
      </c>
      <c r="G22" s="13">
        <v>8</v>
      </c>
    </row>
    <row r="23" spans="1:7" ht="12.75">
      <c r="A23" s="4" t="s">
        <v>226</v>
      </c>
      <c r="B23" s="4"/>
      <c r="C23" s="4" t="s">
        <v>225</v>
      </c>
      <c r="D23" s="4" t="s">
        <v>224</v>
      </c>
      <c r="E23" s="4" t="s">
        <v>50</v>
      </c>
      <c r="F23" s="4"/>
      <c r="G23" s="13">
        <v>8</v>
      </c>
    </row>
    <row r="24" spans="1:7" ht="12.75">
      <c r="A24" s="4" t="s">
        <v>223</v>
      </c>
      <c r="B24" s="4"/>
      <c r="C24" s="4" t="s">
        <v>222</v>
      </c>
      <c r="D24" s="4" t="s">
        <v>221</v>
      </c>
      <c r="E24" s="4" t="s">
        <v>157</v>
      </c>
      <c r="F24" s="4" t="s">
        <v>271</v>
      </c>
      <c r="G24" s="13">
        <v>33</v>
      </c>
    </row>
    <row r="25" spans="1:7" ht="12.75">
      <c r="A25" s="4" t="s">
        <v>219</v>
      </c>
      <c r="B25" s="4"/>
      <c r="C25" s="4" t="s">
        <v>218</v>
      </c>
      <c r="D25" s="4" t="s">
        <v>217</v>
      </c>
      <c r="E25" s="4" t="s">
        <v>50</v>
      </c>
      <c r="F25" s="4"/>
      <c r="G25" s="13">
        <v>86.8</v>
      </c>
    </row>
    <row r="26" spans="1:8" ht="12.75">
      <c r="A26" s="4" t="s">
        <v>216</v>
      </c>
      <c r="B26" s="4"/>
      <c r="C26" s="4" t="s">
        <v>215</v>
      </c>
      <c r="D26" s="4" t="s">
        <v>214</v>
      </c>
      <c r="E26" s="4" t="s">
        <v>157</v>
      </c>
      <c r="F26" s="4"/>
      <c r="G26" s="13">
        <v>37.14</v>
      </c>
      <c r="H26" s="52" t="s">
        <v>270</v>
      </c>
    </row>
    <row r="27" spans="1:7" ht="12.75">
      <c r="A27" s="4" t="s">
        <v>213</v>
      </c>
      <c r="B27" s="4"/>
      <c r="C27" s="4" t="s">
        <v>212</v>
      </c>
      <c r="D27" s="4" t="s">
        <v>211</v>
      </c>
      <c r="E27" s="4" t="s">
        <v>50</v>
      </c>
      <c r="F27" s="4"/>
      <c r="G27" s="13">
        <v>86.8</v>
      </c>
    </row>
    <row r="28" spans="1:8" ht="12.75">
      <c r="A28" s="4" t="s">
        <v>210</v>
      </c>
      <c r="B28" s="4"/>
      <c r="C28" s="4" t="s">
        <v>209</v>
      </c>
      <c r="D28" s="4" t="s">
        <v>208</v>
      </c>
      <c r="E28" s="4" t="s">
        <v>50</v>
      </c>
      <c r="F28" s="4"/>
      <c r="G28" s="13">
        <v>86.8</v>
      </c>
      <c r="H28" s="52" t="s">
        <v>269</v>
      </c>
    </row>
    <row r="29" spans="1:7" ht="12.75">
      <c r="A29" s="4" t="s">
        <v>207</v>
      </c>
      <c r="B29" s="4"/>
      <c r="C29" s="4" t="s">
        <v>20</v>
      </c>
      <c r="D29" s="4" t="s">
        <v>36</v>
      </c>
      <c r="E29" s="4" t="s">
        <v>50</v>
      </c>
      <c r="F29" s="4"/>
      <c r="G29" s="13">
        <v>48.78</v>
      </c>
    </row>
    <row r="30" spans="1:8" ht="12.75">
      <c r="A30" s="4" t="s">
        <v>206</v>
      </c>
      <c r="B30" s="4"/>
      <c r="C30" s="4" t="s">
        <v>205</v>
      </c>
      <c r="D30" s="4" t="s">
        <v>37</v>
      </c>
      <c r="E30" s="4" t="s">
        <v>50</v>
      </c>
      <c r="F30" s="4"/>
      <c r="G30" s="13">
        <v>48.78</v>
      </c>
      <c r="H30" s="52" t="s">
        <v>268</v>
      </c>
    </row>
    <row r="31" spans="1:8" ht="12.75">
      <c r="A31" s="4" t="s">
        <v>204</v>
      </c>
      <c r="B31" s="4"/>
      <c r="C31" s="4" t="s">
        <v>203</v>
      </c>
      <c r="D31" s="4" t="s">
        <v>202</v>
      </c>
      <c r="E31" s="4" t="s">
        <v>50</v>
      </c>
      <c r="F31" s="4" t="s">
        <v>263</v>
      </c>
      <c r="G31" s="13">
        <v>48.78</v>
      </c>
      <c r="H31" s="52" t="s">
        <v>267</v>
      </c>
    </row>
    <row r="32" spans="1:8" ht="12.75">
      <c r="A32" s="4" t="s">
        <v>201</v>
      </c>
      <c r="B32" s="4"/>
      <c r="C32" s="4" t="s">
        <v>200</v>
      </c>
      <c r="D32" s="4" t="s">
        <v>199</v>
      </c>
      <c r="E32" s="4" t="s">
        <v>50</v>
      </c>
      <c r="F32" s="4"/>
      <c r="G32" s="13">
        <v>48.78</v>
      </c>
      <c r="H32" s="52" t="s">
        <v>266</v>
      </c>
    </row>
    <row r="33" spans="1:7" ht="12.75">
      <c r="A33" s="4" t="s">
        <v>196</v>
      </c>
      <c r="B33" s="4"/>
      <c r="C33" s="4" t="s">
        <v>195</v>
      </c>
      <c r="D33" s="4" t="s">
        <v>194</v>
      </c>
      <c r="E33" s="4" t="s">
        <v>50</v>
      </c>
      <c r="F33" s="4" t="s">
        <v>265</v>
      </c>
      <c r="G33" s="13">
        <v>30</v>
      </c>
    </row>
    <row r="34" spans="1:7" ht="12.75">
      <c r="A34" s="4" t="s">
        <v>193</v>
      </c>
      <c r="B34" s="4"/>
      <c r="C34" s="4" t="s">
        <v>192</v>
      </c>
      <c r="D34" s="4" t="s">
        <v>191</v>
      </c>
      <c r="E34" s="4" t="s">
        <v>50</v>
      </c>
      <c r="F34" s="4"/>
      <c r="G34" s="13">
        <v>30</v>
      </c>
    </row>
    <row r="35" spans="1:7" ht="12.75">
      <c r="A35" s="4" t="s">
        <v>188</v>
      </c>
      <c r="B35" s="4"/>
      <c r="C35" s="4" t="s">
        <v>187</v>
      </c>
      <c r="D35" s="4" t="s">
        <v>186</v>
      </c>
      <c r="E35" s="4" t="s">
        <v>50</v>
      </c>
      <c r="F35" s="4"/>
      <c r="G35" s="13">
        <v>196.38</v>
      </c>
    </row>
    <row r="36" spans="1:7" ht="12.75">
      <c r="A36" s="4" t="s">
        <v>185</v>
      </c>
      <c r="B36" s="4"/>
      <c r="C36" s="4" t="s">
        <v>184</v>
      </c>
      <c r="D36" s="4" t="s">
        <v>183</v>
      </c>
      <c r="E36" s="4" t="s">
        <v>50</v>
      </c>
      <c r="F36" s="4"/>
      <c r="G36" s="13">
        <v>196.38</v>
      </c>
    </row>
    <row r="37" spans="1:7" ht="12.75">
      <c r="A37" s="4" t="s">
        <v>182</v>
      </c>
      <c r="B37" s="4"/>
      <c r="C37" s="4" t="s">
        <v>181</v>
      </c>
      <c r="D37" s="4" t="s">
        <v>180</v>
      </c>
      <c r="E37" s="4" t="s">
        <v>50</v>
      </c>
      <c r="F37" s="4" t="s">
        <v>264</v>
      </c>
      <c r="G37" s="13">
        <v>196.38</v>
      </c>
    </row>
    <row r="38" spans="1:7" ht="12.75">
      <c r="A38" s="4" t="s">
        <v>179</v>
      </c>
      <c r="B38" s="4"/>
      <c r="C38" s="4" t="s">
        <v>178</v>
      </c>
      <c r="D38" s="4" t="s">
        <v>177</v>
      </c>
      <c r="E38" s="4" t="s">
        <v>50</v>
      </c>
      <c r="F38" s="4"/>
      <c r="G38" s="13">
        <v>196.38</v>
      </c>
    </row>
    <row r="39" spans="1:7" ht="12.75">
      <c r="A39" s="4" t="s">
        <v>174</v>
      </c>
      <c r="B39" s="4"/>
      <c r="C39" s="4" t="s">
        <v>173</v>
      </c>
      <c r="D39" s="4" t="s">
        <v>172</v>
      </c>
      <c r="E39" s="4" t="s">
        <v>171</v>
      </c>
      <c r="F39" s="4"/>
      <c r="G39" s="13">
        <v>50</v>
      </c>
    </row>
    <row r="40" spans="1:7" ht="12.75">
      <c r="A40" s="4" t="s">
        <v>168</v>
      </c>
      <c r="B40" s="4"/>
      <c r="C40" s="4" t="s">
        <v>167</v>
      </c>
      <c r="D40" s="4" t="s">
        <v>166</v>
      </c>
      <c r="E40" s="4" t="s">
        <v>50</v>
      </c>
      <c r="F40" s="4"/>
      <c r="G40" s="13">
        <v>86.8</v>
      </c>
    </row>
    <row r="41" spans="1:7" ht="12.75">
      <c r="A41" s="4" t="s">
        <v>163</v>
      </c>
      <c r="B41" s="4"/>
      <c r="C41" s="4" t="s">
        <v>162</v>
      </c>
      <c r="D41" s="4" t="s">
        <v>161</v>
      </c>
      <c r="E41" s="4" t="s">
        <v>50</v>
      </c>
      <c r="F41" s="4"/>
      <c r="G41" s="13">
        <v>86.8</v>
      </c>
    </row>
    <row r="42" spans="1:7" ht="12.75">
      <c r="A42" s="4" t="s">
        <v>160</v>
      </c>
      <c r="B42" s="4"/>
      <c r="C42" s="4" t="s">
        <v>159</v>
      </c>
      <c r="D42" s="4" t="s">
        <v>158</v>
      </c>
      <c r="E42" s="4" t="s">
        <v>157</v>
      </c>
      <c r="F42" s="4"/>
      <c r="G42" s="13">
        <v>75</v>
      </c>
    </row>
    <row r="43" spans="1:7" ht="12.75">
      <c r="A43" s="4" t="s">
        <v>156</v>
      </c>
      <c r="B43" s="4"/>
      <c r="C43" s="4" t="s">
        <v>155</v>
      </c>
      <c r="D43" s="4" t="s">
        <v>154</v>
      </c>
      <c r="E43" s="4" t="s">
        <v>50</v>
      </c>
      <c r="F43" s="4"/>
      <c r="G43" s="13">
        <v>86.8</v>
      </c>
    </row>
    <row r="44" spans="1:7" ht="12.75">
      <c r="A44" s="4" t="s">
        <v>153</v>
      </c>
      <c r="B44" s="4"/>
      <c r="C44" s="4" t="s">
        <v>152</v>
      </c>
      <c r="D44" s="4" t="s">
        <v>151</v>
      </c>
      <c r="E44" s="4" t="s">
        <v>50</v>
      </c>
      <c r="F44" s="4"/>
      <c r="G44" s="13">
        <v>109.57</v>
      </c>
    </row>
    <row r="45" spans="1:7" ht="12.75">
      <c r="A45" s="4" t="s">
        <v>150</v>
      </c>
      <c r="B45" s="4"/>
      <c r="C45" s="4" t="s">
        <v>25</v>
      </c>
      <c r="D45" s="4" t="s">
        <v>41</v>
      </c>
      <c r="E45" s="4" t="s">
        <v>50</v>
      </c>
      <c r="F45" s="4" t="s">
        <v>263</v>
      </c>
      <c r="G45" s="13">
        <v>48.78</v>
      </c>
    </row>
    <row r="46" spans="1:7" ht="12.75">
      <c r="A46" s="4" t="s">
        <v>147</v>
      </c>
      <c r="B46" s="4"/>
      <c r="C46" s="4" t="s">
        <v>146</v>
      </c>
      <c r="D46" s="4" t="s">
        <v>145</v>
      </c>
      <c r="E46" s="4" t="s">
        <v>49</v>
      </c>
      <c r="F46" s="4"/>
      <c r="G46" s="13">
        <v>0.08</v>
      </c>
    </row>
    <row r="47" spans="1:7" ht="12.75">
      <c r="A47" s="4" t="s">
        <v>142</v>
      </c>
      <c r="B47" s="4"/>
      <c r="C47" s="4" t="s">
        <v>23</v>
      </c>
      <c r="D47" s="4" t="s">
        <v>39</v>
      </c>
      <c r="E47" s="4" t="s">
        <v>49</v>
      </c>
      <c r="F47" s="4"/>
      <c r="G47" s="13">
        <v>0.15</v>
      </c>
    </row>
    <row r="48" spans="1:7" ht="12.75">
      <c r="A48" s="34" t="s">
        <v>141</v>
      </c>
      <c r="B48" s="34"/>
      <c r="C48" s="34" t="s">
        <v>140</v>
      </c>
      <c r="D48" s="34" t="s">
        <v>139</v>
      </c>
      <c r="E48" s="34" t="s">
        <v>132</v>
      </c>
      <c r="F48" s="34"/>
      <c r="G48" s="30">
        <v>1</v>
      </c>
    </row>
    <row r="49" spans="1:7" ht="12.75">
      <c r="A49" s="34" t="s">
        <v>138</v>
      </c>
      <c r="B49" s="34"/>
      <c r="C49" s="34" t="s">
        <v>137</v>
      </c>
      <c r="D49" s="34" t="s">
        <v>136</v>
      </c>
      <c r="E49" s="34" t="s">
        <v>132</v>
      </c>
      <c r="F49" s="34"/>
      <c r="G49" s="30">
        <v>1</v>
      </c>
    </row>
    <row r="50" spans="1:7" ht="12.75">
      <c r="A50" s="34" t="s">
        <v>135</v>
      </c>
      <c r="B50" s="34"/>
      <c r="C50" s="34" t="s">
        <v>134</v>
      </c>
      <c r="D50" s="34" t="s">
        <v>133</v>
      </c>
      <c r="E50" s="34" t="s">
        <v>132</v>
      </c>
      <c r="F50" s="34"/>
      <c r="G50" s="30">
        <v>1</v>
      </c>
    </row>
    <row r="51" spans="1:7" ht="12.75">
      <c r="A51" s="34" t="s">
        <v>131</v>
      </c>
      <c r="B51" s="34"/>
      <c r="C51" s="34" t="s">
        <v>26</v>
      </c>
      <c r="D51" s="34" t="s">
        <v>130</v>
      </c>
      <c r="E51" s="34" t="s">
        <v>50</v>
      </c>
      <c r="F51" s="34" t="s">
        <v>263</v>
      </c>
      <c r="G51" s="30">
        <v>52.68</v>
      </c>
    </row>
    <row r="52" spans="1:7" ht="12.75">
      <c r="A52" s="34"/>
      <c r="B52" s="34"/>
      <c r="C52" s="34"/>
      <c r="D52" s="34"/>
      <c r="E52" s="34"/>
      <c r="F52" s="34" t="s">
        <v>262</v>
      </c>
      <c r="G52" s="30">
        <v>0</v>
      </c>
    </row>
    <row r="53" spans="1:7" ht="12.75">
      <c r="A53" s="34" t="s">
        <v>129</v>
      </c>
      <c r="B53" s="34"/>
      <c r="C53" s="34" t="s">
        <v>128</v>
      </c>
      <c r="D53" s="34" t="s">
        <v>127</v>
      </c>
      <c r="E53" s="34" t="s">
        <v>50</v>
      </c>
      <c r="F53" s="34" t="s">
        <v>261</v>
      </c>
      <c r="G53" s="30">
        <v>93.74</v>
      </c>
    </row>
    <row r="54" spans="1:7" ht="12.75">
      <c r="A54" s="34"/>
      <c r="B54" s="34"/>
      <c r="C54" s="34"/>
      <c r="D54" s="34"/>
      <c r="E54" s="34"/>
      <c r="F54" s="34" t="s">
        <v>260</v>
      </c>
      <c r="G54" s="30">
        <v>0</v>
      </c>
    </row>
  </sheetData>
  <sheetProtection/>
  <mergeCells count="17"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  <mergeCell ref="E4:E5"/>
    <mergeCell ref="E6:E7"/>
    <mergeCell ref="E8:E9"/>
    <mergeCell ref="F2:G3"/>
    <mergeCell ref="F4:G5"/>
    <mergeCell ref="F6:G7"/>
    <mergeCell ref="F8:G9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R16" sqref="R16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102" t="s">
        <v>88</v>
      </c>
      <c r="B1" s="103"/>
      <c r="C1" s="103"/>
      <c r="D1" s="103"/>
      <c r="E1" s="103"/>
      <c r="F1" s="103"/>
      <c r="G1" s="103"/>
      <c r="H1" s="103"/>
      <c r="I1" s="103"/>
    </row>
    <row r="2" spans="1:10" ht="12.75">
      <c r="A2" s="73" t="s">
        <v>1</v>
      </c>
      <c r="B2" s="66"/>
      <c r="C2" s="53" t="s">
        <v>259</v>
      </c>
      <c r="D2" s="54"/>
      <c r="E2" s="62" t="s">
        <v>57</v>
      </c>
      <c r="F2" s="62" t="s">
        <v>62</v>
      </c>
      <c r="G2" s="66"/>
      <c r="H2" s="62" t="s">
        <v>123</v>
      </c>
      <c r="I2" s="95"/>
      <c r="J2" s="22"/>
    </row>
    <row r="3" spans="1:10" ht="12.75">
      <c r="A3" s="74"/>
      <c r="B3" s="63"/>
      <c r="C3" s="77"/>
      <c r="D3" s="77"/>
      <c r="E3" s="63"/>
      <c r="F3" s="63"/>
      <c r="G3" s="63"/>
      <c r="H3" s="63"/>
      <c r="I3" s="68"/>
      <c r="J3" s="22"/>
    </row>
    <row r="4" spans="1:10" ht="12.75">
      <c r="A4" s="75" t="s">
        <v>2</v>
      </c>
      <c r="B4" s="63"/>
      <c r="C4" s="64" t="s">
        <v>258</v>
      </c>
      <c r="D4" s="63"/>
      <c r="E4" s="64" t="s">
        <v>58</v>
      </c>
      <c r="F4" s="64" t="s">
        <v>63</v>
      </c>
      <c r="G4" s="63"/>
      <c r="H4" s="64" t="s">
        <v>123</v>
      </c>
      <c r="I4" s="96"/>
      <c r="J4" s="22"/>
    </row>
    <row r="5" spans="1:10" ht="12.75">
      <c r="A5" s="74"/>
      <c r="B5" s="63"/>
      <c r="C5" s="63"/>
      <c r="D5" s="63"/>
      <c r="E5" s="63"/>
      <c r="F5" s="63"/>
      <c r="G5" s="63"/>
      <c r="H5" s="63"/>
      <c r="I5" s="68"/>
      <c r="J5" s="22"/>
    </row>
    <row r="6" spans="1:10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3"/>
      <c r="H6" s="64" t="s">
        <v>123</v>
      </c>
      <c r="I6" s="96"/>
      <c r="J6" s="22"/>
    </row>
    <row r="7" spans="1:10" ht="12.75">
      <c r="A7" s="74"/>
      <c r="B7" s="63"/>
      <c r="C7" s="63"/>
      <c r="D7" s="63"/>
      <c r="E7" s="63"/>
      <c r="F7" s="63"/>
      <c r="G7" s="63"/>
      <c r="H7" s="63"/>
      <c r="I7" s="68"/>
      <c r="J7" s="22"/>
    </row>
    <row r="8" spans="1:10" ht="12.75">
      <c r="A8" s="75" t="s">
        <v>45</v>
      </c>
      <c r="B8" s="63"/>
      <c r="C8" s="64" t="s">
        <v>5</v>
      </c>
      <c r="D8" s="63"/>
      <c r="E8" s="64" t="s">
        <v>46</v>
      </c>
      <c r="F8" s="63"/>
      <c r="G8" s="63"/>
      <c r="H8" s="64" t="s">
        <v>124</v>
      </c>
      <c r="I8" s="96"/>
      <c r="J8" s="22"/>
    </row>
    <row r="9" spans="1:10" ht="12.75">
      <c r="A9" s="74"/>
      <c r="B9" s="63"/>
      <c r="C9" s="63"/>
      <c r="D9" s="63"/>
      <c r="E9" s="63"/>
      <c r="F9" s="63"/>
      <c r="G9" s="63"/>
      <c r="H9" s="63"/>
      <c r="I9" s="68"/>
      <c r="J9" s="22"/>
    </row>
    <row r="10" spans="1:10" ht="12.75">
      <c r="A10" s="75" t="s">
        <v>4</v>
      </c>
      <c r="B10" s="63"/>
      <c r="C10" s="64" t="s">
        <v>257</v>
      </c>
      <c r="D10" s="63"/>
      <c r="E10" s="64" t="s">
        <v>60</v>
      </c>
      <c r="F10" s="64"/>
      <c r="G10" s="63"/>
      <c r="H10" s="64" t="s">
        <v>125</v>
      </c>
      <c r="I10" s="97"/>
      <c r="J10" s="22"/>
    </row>
    <row r="11" spans="1:10" ht="12.75">
      <c r="A11" s="104"/>
      <c r="B11" s="101"/>
      <c r="C11" s="101"/>
      <c r="D11" s="101"/>
      <c r="E11" s="101"/>
      <c r="F11" s="101"/>
      <c r="G11" s="101"/>
      <c r="H11" s="101"/>
      <c r="I11" s="98"/>
      <c r="J11" s="22"/>
    </row>
    <row r="12" spans="1:9" ht="23.25" customHeight="1">
      <c r="A12" s="99" t="s">
        <v>89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1" t="s">
        <v>90</v>
      </c>
      <c r="B13" s="93" t="s">
        <v>101</v>
      </c>
      <c r="C13" s="94"/>
      <c r="D13" s="41" t="s">
        <v>103</v>
      </c>
      <c r="E13" s="93" t="s">
        <v>111</v>
      </c>
      <c r="F13" s="94"/>
      <c r="G13" s="41" t="s">
        <v>112</v>
      </c>
      <c r="H13" s="93" t="s">
        <v>126</v>
      </c>
      <c r="I13" s="94"/>
      <c r="J13" s="22"/>
    </row>
    <row r="14" spans="1:10" ht="15" customHeight="1">
      <c r="A14" s="42" t="s">
        <v>91</v>
      </c>
      <c r="B14" s="46" t="s">
        <v>102</v>
      </c>
      <c r="C14" s="49">
        <f>SUM('419 rozpočet'!R12:R68)</f>
        <v>0</v>
      </c>
      <c r="D14" s="89" t="s">
        <v>104</v>
      </c>
      <c r="E14" s="90"/>
      <c r="F14" s="49">
        <v>0</v>
      </c>
      <c r="G14" s="89" t="s">
        <v>113</v>
      </c>
      <c r="H14" s="90"/>
      <c r="I14" s="49">
        <f>ROUND(C22*(2.5/100),2)</f>
        <v>0</v>
      </c>
      <c r="J14" s="22"/>
    </row>
    <row r="15" spans="1:10" ht="15" customHeight="1">
      <c r="A15" s="43"/>
      <c r="B15" s="46" t="s">
        <v>61</v>
      </c>
      <c r="C15" s="49">
        <f>SUM('419 rozpočet'!S12:S68)</f>
        <v>0</v>
      </c>
      <c r="D15" s="89" t="s">
        <v>105</v>
      </c>
      <c r="E15" s="90"/>
      <c r="F15" s="49">
        <v>0</v>
      </c>
      <c r="G15" s="89" t="s">
        <v>114</v>
      </c>
      <c r="H15" s="90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SUM('419 rozpočet'!T12:T68)</f>
        <v>0</v>
      </c>
      <c r="D16" s="89" t="s">
        <v>106</v>
      </c>
      <c r="E16" s="90"/>
      <c r="F16" s="49">
        <v>0</v>
      </c>
      <c r="G16" s="89" t="s">
        <v>115</v>
      </c>
      <c r="H16" s="90"/>
      <c r="I16" s="49">
        <v>0</v>
      </c>
      <c r="J16" s="22"/>
    </row>
    <row r="17" spans="1:10" ht="15" customHeight="1">
      <c r="A17" s="43"/>
      <c r="B17" s="46" t="s">
        <v>61</v>
      </c>
      <c r="C17" s="49">
        <f>SUM('419 rozpočet'!U12:U68)</f>
        <v>0</v>
      </c>
      <c r="D17" s="89"/>
      <c r="E17" s="90"/>
      <c r="F17" s="50"/>
      <c r="G17" s="89" t="s">
        <v>116</v>
      </c>
      <c r="H17" s="90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SUM('419 rozpočet'!V12:V68)</f>
        <v>0</v>
      </c>
      <c r="D18" s="89"/>
      <c r="E18" s="90"/>
      <c r="F18" s="50"/>
      <c r="G18" s="89" t="s">
        <v>117</v>
      </c>
      <c r="H18" s="90"/>
      <c r="I18" s="49">
        <v>0</v>
      </c>
      <c r="J18" s="22"/>
    </row>
    <row r="19" spans="1:10" ht="15" customHeight="1">
      <c r="A19" s="43"/>
      <c r="B19" s="46" t="s">
        <v>61</v>
      </c>
      <c r="C19" s="49">
        <f>SUM('419 rozpočet'!W12:W68)</f>
        <v>0</v>
      </c>
      <c r="D19" s="89"/>
      <c r="E19" s="90"/>
      <c r="F19" s="50"/>
      <c r="G19" s="89" t="s">
        <v>118</v>
      </c>
      <c r="H19" s="90"/>
      <c r="I19" s="49">
        <v>0</v>
      </c>
      <c r="J19" s="22"/>
    </row>
    <row r="20" spans="1:10" ht="15" customHeight="1">
      <c r="A20" s="91" t="s">
        <v>42</v>
      </c>
      <c r="B20" s="92"/>
      <c r="C20" s="49">
        <f>SUM('419 rozpočet'!X12:X68)</f>
        <v>0</v>
      </c>
      <c r="D20" s="89"/>
      <c r="E20" s="90"/>
      <c r="F20" s="50"/>
      <c r="G20" s="89"/>
      <c r="H20" s="90"/>
      <c r="I20" s="50"/>
      <c r="J20" s="22"/>
    </row>
    <row r="21" spans="1:10" ht="15" customHeight="1">
      <c r="A21" s="91" t="s">
        <v>94</v>
      </c>
      <c r="B21" s="92"/>
      <c r="C21" s="49">
        <f>SUM('419 rozpočet'!P12:P68)</f>
        <v>0</v>
      </c>
      <c r="D21" s="89"/>
      <c r="E21" s="90"/>
      <c r="F21" s="50"/>
      <c r="G21" s="89"/>
      <c r="H21" s="90"/>
      <c r="I21" s="50"/>
      <c r="J21" s="22"/>
    </row>
    <row r="22" spans="1:10" ht="16.5" customHeight="1">
      <c r="A22" s="91" t="s">
        <v>95</v>
      </c>
      <c r="B22" s="92"/>
      <c r="C22" s="49">
        <f>SUM(C14:C21)</f>
        <v>0</v>
      </c>
      <c r="D22" s="91" t="s">
        <v>107</v>
      </c>
      <c r="E22" s="92"/>
      <c r="F22" s="49">
        <f>SUM(F14:F21)</f>
        <v>0</v>
      </c>
      <c r="G22" s="91" t="s">
        <v>119</v>
      </c>
      <c r="H22" s="92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84" t="s">
        <v>96</v>
      </c>
      <c r="B24" s="85"/>
      <c r="C24" s="51">
        <f>ROUND(SUM('419 rozpočet'!Z12:Z68),2)</f>
        <v>0</v>
      </c>
      <c r="D24" s="47"/>
      <c r="E24" s="48"/>
      <c r="F24" s="48"/>
      <c r="G24" s="48"/>
      <c r="H24" s="48"/>
      <c r="I24" s="48"/>
    </row>
    <row r="25" spans="1:10" ht="15" customHeight="1">
      <c r="A25" s="84" t="s">
        <v>97</v>
      </c>
      <c r="B25" s="85"/>
      <c r="C25" s="51">
        <f>ROUND(SUM('419 rozpočet'!AA12:AA68),2)</f>
        <v>0</v>
      </c>
      <c r="D25" s="84" t="s">
        <v>108</v>
      </c>
      <c r="E25" s="85"/>
      <c r="F25" s="51">
        <f>ROUND(C25*(15/100),2)</f>
        <v>0</v>
      </c>
      <c r="G25" s="84" t="s">
        <v>120</v>
      </c>
      <c r="H25" s="85"/>
      <c r="I25" s="51">
        <f>SUM(C24:C26)</f>
        <v>0</v>
      </c>
      <c r="J25" s="22"/>
    </row>
    <row r="26" spans="1:10" ht="15" customHeight="1">
      <c r="A26" s="84" t="s">
        <v>98</v>
      </c>
      <c r="B26" s="85"/>
      <c r="C26" s="51">
        <f>ROUND(SUM('419 rozpočet'!AB12:AB68)+(F22+I22),2)</f>
        <v>0</v>
      </c>
      <c r="D26" s="84" t="s">
        <v>109</v>
      </c>
      <c r="E26" s="85"/>
      <c r="F26" s="51">
        <f>ROUND(C26*(21/100),2)</f>
        <v>0</v>
      </c>
      <c r="G26" s="84" t="s">
        <v>121</v>
      </c>
      <c r="H26" s="85"/>
      <c r="I26" s="51">
        <f>ROUND(SUM(F25:F26)+I25,2)</f>
        <v>0</v>
      </c>
      <c r="J26" s="22"/>
    </row>
    <row r="27" spans="1:9" ht="13.5" thickBot="1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86" t="s">
        <v>99</v>
      </c>
      <c r="B28" s="87"/>
      <c r="C28" s="88"/>
      <c r="D28" s="86" t="s">
        <v>110</v>
      </c>
      <c r="E28" s="87"/>
      <c r="F28" s="88"/>
      <c r="G28" s="86" t="s">
        <v>122</v>
      </c>
      <c r="H28" s="87"/>
      <c r="I28" s="88"/>
      <c r="J28" s="23"/>
    </row>
    <row r="29" spans="1:10" ht="14.25" customHeight="1">
      <c r="A29" s="78"/>
      <c r="B29" s="79"/>
      <c r="C29" s="80"/>
      <c r="D29" s="78"/>
      <c r="E29" s="79"/>
      <c r="F29" s="80"/>
      <c r="G29" s="78"/>
      <c r="H29" s="79"/>
      <c r="I29" s="80"/>
      <c r="J29" s="23"/>
    </row>
    <row r="30" spans="1:10" ht="14.25" customHeight="1">
      <c r="A30" s="78"/>
      <c r="B30" s="79"/>
      <c r="C30" s="80"/>
      <c r="D30" s="78"/>
      <c r="E30" s="79"/>
      <c r="F30" s="80"/>
      <c r="G30" s="78"/>
      <c r="H30" s="79"/>
      <c r="I30" s="80"/>
      <c r="J30" s="23"/>
    </row>
    <row r="31" spans="1:10" ht="14.25" customHeight="1">
      <c r="A31" s="78"/>
      <c r="B31" s="79"/>
      <c r="C31" s="80"/>
      <c r="D31" s="78"/>
      <c r="E31" s="79"/>
      <c r="F31" s="80"/>
      <c r="G31" s="78"/>
      <c r="H31" s="79"/>
      <c r="I31" s="80"/>
      <c r="J31" s="23"/>
    </row>
    <row r="32" spans="1:10" ht="14.25" customHeight="1" thickBot="1">
      <c r="A32" s="81" t="s">
        <v>100</v>
      </c>
      <c r="B32" s="82"/>
      <c r="C32" s="83"/>
      <c r="D32" s="81" t="s">
        <v>100</v>
      </c>
      <c r="E32" s="82"/>
      <c r="F32" s="83"/>
      <c r="G32" s="81" t="s">
        <v>100</v>
      </c>
      <c r="H32" s="82"/>
      <c r="I32" s="83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8:E18"/>
    <mergeCell ref="D19:E19"/>
    <mergeCell ref="D20:E20"/>
    <mergeCell ref="D21:E21"/>
    <mergeCell ref="D22:E22"/>
    <mergeCell ref="A20:B20"/>
    <mergeCell ref="A21:B21"/>
    <mergeCell ref="A22:B22"/>
    <mergeCell ref="G19:H19"/>
    <mergeCell ref="G20:H20"/>
    <mergeCell ref="G21:H21"/>
    <mergeCell ref="G22:H22"/>
    <mergeCell ref="A24:B24"/>
    <mergeCell ref="A25:B25"/>
    <mergeCell ref="D25:E25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91.7109375" style="0" customWidth="1"/>
    <col min="5" max="5" width="4.28125" style="0" customWidth="1"/>
    <col min="6" max="6" width="10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>
      <c r="A2" s="73" t="s">
        <v>1</v>
      </c>
      <c r="B2" s="66"/>
      <c r="C2" s="66"/>
      <c r="D2" s="53" t="s">
        <v>286</v>
      </c>
      <c r="E2" s="62" t="s">
        <v>44</v>
      </c>
      <c r="F2" s="66"/>
      <c r="G2" s="62"/>
      <c r="H2" s="66"/>
      <c r="I2" s="62" t="s">
        <v>57</v>
      </c>
      <c r="J2" s="62" t="s">
        <v>285</v>
      </c>
      <c r="K2" s="66"/>
      <c r="L2" s="67"/>
      <c r="M2" s="22"/>
    </row>
    <row r="3" spans="1:13" ht="12.75">
      <c r="A3" s="74"/>
      <c r="B3" s="63"/>
      <c r="C3" s="63"/>
      <c r="D3" s="77"/>
      <c r="E3" s="63"/>
      <c r="F3" s="63"/>
      <c r="G3" s="63"/>
      <c r="H3" s="63"/>
      <c r="I3" s="63"/>
      <c r="J3" s="63"/>
      <c r="K3" s="63"/>
      <c r="L3" s="68"/>
      <c r="M3" s="22"/>
    </row>
    <row r="4" spans="1:13" ht="12.75">
      <c r="A4" s="75" t="s">
        <v>2</v>
      </c>
      <c r="B4" s="63"/>
      <c r="C4" s="63"/>
      <c r="D4" s="64" t="s">
        <v>284</v>
      </c>
      <c r="E4" s="64" t="s">
        <v>45</v>
      </c>
      <c r="F4" s="63"/>
      <c r="G4" s="64" t="s">
        <v>5</v>
      </c>
      <c r="H4" s="63"/>
      <c r="I4" s="64" t="s">
        <v>58</v>
      </c>
      <c r="J4" s="64" t="s">
        <v>63</v>
      </c>
      <c r="K4" s="63"/>
      <c r="L4" s="68"/>
      <c r="M4" s="22"/>
    </row>
    <row r="5" spans="1:13" ht="12.75">
      <c r="A5" s="74"/>
      <c r="B5" s="63"/>
      <c r="C5" s="63"/>
      <c r="D5" s="63"/>
      <c r="E5" s="63"/>
      <c r="F5" s="63"/>
      <c r="G5" s="63"/>
      <c r="H5" s="63"/>
      <c r="I5" s="63"/>
      <c r="J5" s="63"/>
      <c r="K5" s="63"/>
      <c r="L5" s="68"/>
      <c r="M5" s="22"/>
    </row>
    <row r="6" spans="1:13" ht="12.75">
      <c r="A6" s="75" t="s">
        <v>3</v>
      </c>
      <c r="B6" s="63"/>
      <c r="C6" s="63"/>
      <c r="D6" s="64" t="s">
        <v>29</v>
      </c>
      <c r="E6" s="64" t="s">
        <v>46</v>
      </c>
      <c r="F6" s="63"/>
      <c r="G6" s="63"/>
      <c r="H6" s="63"/>
      <c r="I6" s="64" t="s">
        <v>59</v>
      </c>
      <c r="J6" s="64"/>
      <c r="K6" s="63"/>
      <c r="L6" s="68"/>
      <c r="M6" s="22"/>
    </row>
    <row r="7" spans="1:13" ht="12.75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8"/>
      <c r="M7" s="22"/>
    </row>
    <row r="8" spans="1:13" ht="12.75">
      <c r="A8" s="75" t="s">
        <v>4</v>
      </c>
      <c r="B8" s="63"/>
      <c r="C8" s="63"/>
      <c r="D8" s="64" t="s">
        <v>283</v>
      </c>
      <c r="E8" s="64" t="s">
        <v>47</v>
      </c>
      <c r="F8" s="63"/>
      <c r="G8" s="70"/>
      <c r="H8" s="63"/>
      <c r="I8" s="64" t="s">
        <v>60</v>
      </c>
      <c r="J8" s="64"/>
      <c r="K8" s="63"/>
      <c r="L8" s="68"/>
      <c r="M8" s="22"/>
    </row>
    <row r="9" spans="1:13" ht="13.5" thickBot="1">
      <c r="A9" s="76"/>
      <c r="B9" s="65"/>
      <c r="C9" s="65"/>
      <c r="D9" s="65"/>
      <c r="E9" s="65"/>
      <c r="F9" s="65"/>
      <c r="G9" s="65"/>
      <c r="H9" s="65"/>
      <c r="I9" s="65"/>
      <c r="J9" s="65"/>
      <c r="K9" s="65"/>
      <c r="L9" s="6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52</v>
      </c>
      <c r="H10" s="55" t="s">
        <v>54</v>
      </c>
      <c r="I10" s="56"/>
      <c r="J10" s="57"/>
      <c r="K10" s="55" t="s">
        <v>65</v>
      </c>
      <c r="L10" s="57"/>
      <c r="M10" s="23"/>
    </row>
    <row r="11" spans="1:24" ht="13.5" thickBot="1">
      <c r="A11" s="2" t="s">
        <v>6</v>
      </c>
      <c r="B11" s="9" t="s">
        <v>15</v>
      </c>
      <c r="C11" s="9" t="s">
        <v>16</v>
      </c>
      <c r="D11" s="9" t="s">
        <v>31</v>
      </c>
      <c r="E11" s="9" t="s">
        <v>48</v>
      </c>
      <c r="F11" s="12" t="s">
        <v>51</v>
      </c>
      <c r="G11" s="16" t="s">
        <v>53</v>
      </c>
      <c r="H11" s="17" t="s">
        <v>55</v>
      </c>
      <c r="I11" s="18" t="s">
        <v>61</v>
      </c>
      <c r="J11" s="19" t="s">
        <v>64</v>
      </c>
      <c r="K11" s="17" t="s">
        <v>52</v>
      </c>
      <c r="L11" s="19" t="s">
        <v>64</v>
      </c>
      <c r="M11" s="23"/>
      <c r="P11" s="21" t="s">
        <v>67</v>
      </c>
      <c r="Q11" s="21" t="s">
        <v>68</v>
      </c>
      <c r="R11" s="21" t="s">
        <v>72</v>
      </c>
      <c r="S11" s="21" t="s">
        <v>73</v>
      </c>
      <c r="T11" s="21" t="s">
        <v>74</v>
      </c>
      <c r="U11" s="21" t="s">
        <v>75</v>
      </c>
      <c r="V11" s="21" t="s">
        <v>76</v>
      </c>
      <c r="W11" s="21" t="s">
        <v>77</v>
      </c>
      <c r="X11" s="21" t="s">
        <v>78</v>
      </c>
    </row>
    <row r="12" spans="1:37" ht="12.75">
      <c r="A12" s="3"/>
      <c r="B12" s="3"/>
      <c r="C12" s="10" t="s">
        <v>176</v>
      </c>
      <c r="D12" s="58" t="s">
        <v>175</v>
      </c>
      <c r="E12" s="59"/>
      <c r="F12" s="59"/>
      <c r="G12" s="59"/>
      <c r="H12" s="27">
        <f>SUM(H13:H13)</f>
        <v>0</v>
      </c>
      <c r="I12" s="27">
        <f>SUM(I13:I13)</f>
        <v>0</v>
      </c>
      <c r="J12" s="27">
        <f>H12+I12</f>
        <v>0</v>
      </c>
      <c r="K12" s="20"/>
      <c r="L12" s="27">
        <f>SUM(L13:L13)</f>
        <v>0</v>
      </c>
      <c r="P12" s="28">
        <f>IF(Q12="PR",J12,SUM(O13:O13))</f>
        <v>0</v>
      </c>
      <c r="Q12" s="21" t="s">
        <v>71</v>
      </c>
      <c r="R12" s="28">
        <f>IF(Q12="HS",H12,0)</f>
        <v>0</v>
      </c>
      <c r="S12" s="28">
        <f>IF(Q12="HS",I12-P12,0)</f>
        <v>0</v>
      </c>
      <c r="T12" s="28">
        <f>IF(Q12="PS",H12,0)</f>
        <v>0</v>
      </c>
      <c r="U12" s="28">
        <f>IF(Q12="PS",I12-P12,0)</f>
        <v>0</v>
      </c>
      <c r="V12" s="28">
        <f>IF(Q12="MP",H12,0)</f>
        <v>0</v>
      </c>
      <c r="W12" s="28">
        <f>IF(Q12="MP",I12-P12,0)</f>
        <v>0</v>
      </c>
      <c r="X12" s="28">
        <f>IF(Q12="OM",H12,0)</f>
        <v>0</v>
      </c>
      <c r="Y12" s="21"/>
      <c r="AI12" s="28">
        <f>SUM(Z13:Z13)</f>
        <v>0</v>
      </c>
      <c r="AJ12" s="28">
        <f>SUM(AA13:AA13)</f>
        <v>0</v>
      </c>
      <c r="AK12" s="28">
        <f>SUM(AB13:AB13)</f>
        <v>0</v>
      </c>
    </row>
    <row r="13" spans="1:32" ht="12.75">
      <c r="A13" s="4" t="s">
        <v>7</v>
      </c>
      <c r="B13" s="4"/>
      <c r="C13" s="4" t="s">
        <v>173</v>
      </c>
      <c r="D13" s="4" t="s">
        <v>282</v>
      </c>
      <c r="E13" s="4" t="s">
        <v>171</v>
      </c>
      <c r="F13" s="13">
        <v>120</v>
      </c>
      <c r="G13" s="13"/>
      <c r="H13" s="13">
        <f>ROUND(F13*AE13,2)</f>
        <v>0</v>
      </c>
      <c r="I13" s="13">
        <f>J13-H13</f>
        <v>0</v>
      </c>
      <c r="J13" s="13">
        <f>ROUND(F13*G13,2)</f>
        <v>0</v>
      </c>
      <c r="K13" s="13">
        <v>0</v>
      </c>
      <c r="L13" s="13">
        <f>F13*K13</f>
        <v>0</v>
      </c>
      <c r="N13" s="24" t="s">
        <v>7</v>
      </c>
      <c r="O13" s="13">
        <f>IF(N13="5",I13,0)</f>
        <v>0</v>
      </c>
      <c r="Z13" s="13">
        <f>IF(AD13=0,J13,0)</f>
        <v>0</v>
      </c>
      <c r="AA13" s="13">
        <f>IF(AD13=15,J13,0)</f>
        <v>0</v>
      </c>
      <c r="AB13" s="13">
        <f>IF(AD13=21,J13,0)</f>
        <v>0</v>
      </c>
      <c r="AD13" s="26">
        <v>21</v>
      </c>
      <c r="AE13" s="26">
        <f>G13*0</f>
        <v>0</v>
      </c>
      <c r="AF13" s="26">
        <f>G13*(1-0)</f>
        <v>0</v>
      </c>
    </row>
    <row r="14" spans="1:37" ht="12.75">
      <c r="A14" s="5"/>
      <c r="B14" s="5"/>
      <c r="C14" s="11"/>
      <c r="D14" s="60" t="s">
        <v>42</v>
      </c>
      <c r="E14" s="61"/>
      <c r="F14" s="61"/>
      <c r="G14" s="61"/>
      <c r="H14" s="28">
        <f>SUM(H15:H16)</f>
        <v>0</v>
      </c>
      <c r="I14" s="28">
        <f>SUM(I15:I16)</f>
        <v>0</v>
      </c>
      <c r="J14" s="28">
        <f>H14+I14</f>
        <v>0</v>
      </c>
      <c r="K14" s="21"/>
      <c r="L14" s="28">
        <f>SUM(L15:L15)</f>
        <v>0</v>
      </c>
      <c r="P14" s="28">
        <f>IF(Q14="PR",J14,SUM(O15:O15))</f>
        <v>0</v>
      </c>
      <c r="Q14" s="21" t="s">
        <v>69</v>
      </c>
      <c r="R14" s="28">
        <f>IF(Q14="HS",H14,0)</f>
        <v>0</v>
      </c>
      <c r="S14" s="28">
        <f>IF(Q14="HS",I14-P14,0)</f>
        <v>0</v>
      </c>
      <c r="T14" s="28">
        <f>IF(Q14="PS",H14,0)</f>
        <v>0</v>
      </c>
      <c r="U14" s="28">
        <f>IF(Q14="PS",I14-P14,0)</f>
        <v>0</v>
      </c>
      <c r="V14" s="28">
        <f>IF(Q14="MP",H14,0)</f>
        <v>0</v>
      </c>
      <c r="W14" s="28">
        <f>IF(Q14="MP",I14-P14,0)</f>
        <v>0</v>
      </c>
      <c r="X14" s="28">
        <f>IF(Q14="OM",H14,0)</f>
        <v>0</v>
      </c>
      <c r="Y14" s="21"/>
      <c r="AI14" s="28">
        <f>SUM(Z15:Z15)</f>
        <v>0</v>
      </c>
      <c r="AJ14" s="28">
        <f>SUM(AA15:AA15)</f>
        <v>0</v>
      </c>
      <c r="AK14" s="28">
        <f>SUM(AB15:AB15)</f>
        <v>0</v>
      </c>
    </row>
    <row r="15" spans="1:32" ht="12.75">
      <c r="A15" s="6" t="s">
        <v>8</v>
      </c>
      <c r="B15" s="6"/>
      <c r="C15" s="6" t="s">
        <v>281</v>
      </c>
      <c r="D15" s="6" t="s">
        <v>292</v>
      </c>
      <c r="E15" s="6" t="s">
        <v>132</v>
      </c>
      <c r="F15" s="14">
        <v>2</v>
      </c>
      <c r="G15" s="14"/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</v>
      </c>
      <c r="L15" s="14">
        <f>F15*K15</f>
        <v>0</v>
      </c>
      <c r="N15" s="25" t="s">
        <v>66</v>
      </c>
      <c r="O15" s="30">
        <f>IF(N15="5",I15,0)</f>
        <v>0</v>
      </c>
      <c r="Z15" s="30">
        <f>IF(AD15=0,J15,0)</f>
        <v>0</v>
      </c>
      <c r="AA15" s="30">
        <f>IF(AD15=15,J15,0)</f>
        <v>0</v>
      </c>
      <c r="AB15" s="30">
        <f>IF(AD15=21,J15,0)</f>
        <v>0</v>
      </c>
      <c r="AD15" s="26">
        <v>21</v>
      </c>
      <c r="AE15" s="26">
        <f>G15*1</f>
        <v>0</v>
      </c>
      <c r="AF15" s="26">
        <f>G15*(1-1)</f>
        <v>0</v>
      </c>
    </row>
    <row r="16" spans="1:32" ht="12.75">
      <c r="A16" s="34"/>
      <c r="B16" s="34"/>
      <c r="C16" s="6" t="s">
        <v>281</v>
      </c>
      <c r="D16" s="6" t="s">
        <v>293</v>
      </c>
      <c r="E16" s="6" t="s">
        <v>132</v>
      </c>
      <c r="F16" s="30">
        <v>1</v>
      </c>
      <c r="G16" s="30"/>
      <c r="H16" s="14">
        <f>ROUND(F16*AE16,2)</f>
        <v>0</v>
      </c>
      <c r="I16" s="14">
        <f>J16-H16</f>
        <v>0</v>
      </c>
      <c r="J16" s="14">
        <f>ROUND(F16*G16,2)</f>
        <v>0</v>
      </c>
      <c r="K16" s="14">
        <v>0</v>
      </c>
      <c r="L16" s="14">
        <f>F16*K16</f>
        <v>0</v>
      </c>
      <c r="N16" s="25"/>
      <c r="O16" s="30"/>
      <c r="Z16" s="30"/>
      <c r="AA16" s="30"/>
      <c r="AB16" s="30"/>
      <c r="AD16" s="26"/>
      <c r="AE16" s="26"/>
      <c r="AF16" s="26"/>
    </row>
    <row r="17" spans="1:28" ht="12.75">
      <c r="A17" s="7"/>
      <c r="B17" s="7"/>
      <c r="C17" s="7"/>
      <c r="D17" s="7"/>
      <c r="E17" s="7"/>
      <c r="F17" s="7"/>
      <c r="G17" s="7"/>
      <c r="H17" s="53" t="s">
        <v>56</v>
      </c>
      <c r="I17" s="54"/>
      <c r="J17" s="29">
        <f>J12+J14</f>
        <v>0</v>
      </c>
      <c r="K17" s="7"/>
      <c r="L17" s="7"/>
      <c r="Z17" s="31">
        <f>SUM(Z13:Z15)</f>
        <v>0</v>
      </c>
      <c r="AA17" s="31">
        <f>SUM(AA13:AA15)</f>
        <v>0</v>
      </c>
      <c r="AB17" s="31">
        <f>SUM(AB13:AB15)</f>
        <v>0</v>
      </c>
    </row>
  </sheetData>
  <sheetProtection/>
  <mergeCells count="30">
    <mergeCell ref="D4:D5"/>
    <mergeCell ref="D6:D7"/>
    <mergeCell ref="D8:D9"/>
    <mergeCell ref="E2:F3"/>
    <mergeCell ref="G2:H3"/>
    <mergeCell ref="G4:H5"/>
    <mergeCell ref="G6:H7"/>
    <mergeCell ref="G8:H9"/>
    <mergeCell ref="E6:F7"/>
    <mergeCell ref="E8:F9"/>
    <mergeCell ref="A1:L1"/>
    <mergeCell ref="A2:C3"/>
    <mergeCell ref="A4:C5"/>
    <mergeCell ref="A6:C7"/>
    <mergeCell ref="A8:C9"/>
    <mergeCell ref="D2:D3"/>
    <mergeCell ref="J4:L5"/>
    <mergeCell ref="J6:L7"/>
    <mergeCell ref="J8:L9"/>
    <mergeCell ref="E4:F5"/>
    <mergeCell ref="H10:J10"/>
    <mergeCell ref="K10:L10"/>
    <mergeCell ref="D12:G12"/>
    <mergeCell ref="D14:G14"/>
    <mergeCell ref="H17:I17"/>
    <mergeCell ref="I2:I3"/>
    <mergeCell ref="I4:I5"/>
    <mergeCell ref="I6:I7"/>
    <mergeCell ref="I8:I9"/>
    <mergeCell ref="J2:L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2" width="11.421875" style="0" customWidth="1"/>
    <col min="3" max="3" width="13.28125" style="0" customWidth="1"/>
    <col min="4" max="4" width="91.7109375" style="0" customWidth="1"/>
    <col min="5" max="5" width="16.8515625" style="0" customWidth="1"/>
    <col min="6" max="6" width="15.57421875" style="0" customWidth="1"/>
    <col min="7" max="7" width="20.421875" style="0" customWidth="1"/>
    <col min="8" max="8" width="10.00390625" style="0" customWidth="1"/>
  </cols>
  <sheetData>
    <row r="1" spans="1:7" ht="21.75" customHeight="1">
      <c r="A1" s="71" t="s">
        <v>79</v>
      </c>
      <c r="B1" s="72"/>
      <c r="C1" s="72"/>
      <c r="D1" s="72"/>
      <c r="E1" s="72"/>
      <c r="F1" s="72"/>
      <c r="G1" s="72"/>
    </row>
    <row r="2" spans="1:8" ht="12.75">
      <c r="A2" s="73" t="s">
        <v>1</v>
      </c>
      <c r="B2" s="66"/>
      <c r="C2" s="53" t="s">
        <v>286</v>
      </c>
      <c r="D2" s="54"/>
      <c r="E2" s="62" t="s">
        <v>57</v>
      </c>
      <c r="F2" s="62" t="s">
        <v>285</v>
      </c>
      <c r="G2" s="67"/>
      <c r="H2" s="22"/>
    </row>
    <row r="3" spans="1:8" ht="12.75">
      <c r="A3" s="74"/>
      <c r="B3" s="63"/>
      <c r="C3" s="77"/>
      <c r="D3" s="77"/>
      <c r="E3" s="63"/>
      <c r="F3" s="63"/>
      <c r="G3" s="68"/>
      <c r="H3" s="22"/>
    </row>
    <row r="4" spans="1:8" ht="12.75">
      <c r="A4" s="75" t="s">
        <v>2</v>
      </c>
      <c r="B4" s="63"/>
      <c r="C4" s="64" t="s">
        <v>284</v>
      </c>
      <c r="D4" s="63"/>
      <c r="E4" s="64" t="s">
        <v>58</v>
      </c>
      <c r="F4" s="64" t="s">
        <v>63</v>
      </c>
      <c r="G4" s="68"/>
      <c r="H4" s="22"/>
    </row>
    <row r="5" spans="1:8" ht="12.75">
      <c r="A5" s="74"/>
      <c r="B5" s="63"/>
      <c r="C5" s="63"/>
      <c r="D5" s="63"/>
      <c r="E5" s="63"/>
      <c r="F5" s="63"/>
      <c r="G5" s="68"/>
      <c r="H5" s="22"/>
    </row>
    <row r="6" spans="1:8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8"/>
      <c r="H6" s="22"/>
    </row>
    <row r="7" spans="1:8" ht="12.75">
      <c r="A7" s="74"/>
      <c r="B7" s="63"/>
      <c r="C7" s="63"/>
      <c r="D7" s="63"/>
      <c r="E7" s="63"/>
      <c r="F7" s="63"/>
      <c r="G7" s="68"/>
      <c r="H7" s="22"/>
    </row>
    <row r="8" spans="1:8" ht="12.75">
      <c r="A8" s="75" t="s">
        <v>60</v>
      </c>
      <c r="B8" s="63"/>
      <c r="C8" s="64"/>
      <c r="D8" s="63"/>
      <c r="E8" s="64" t="s">
        <v>47</v>
      </c>
      <c r="F8" s="70"/>
      <c r="G8" s="68"/>
      <c r="H8" s="22"/>
    </row>
    <row r="9" spans="1:8" ht="13.5" thickBot="1">
      <c r="A9" s="76"/>
      <c r="B9" s="65"/>
      <c r="C9" s="65"/>
      <c r="D9" s="65"/>
      <c r="E9" s="65"/>
      <c r="F9" s="65"/>
      <c r="G9" s="69"/>
      <c r="H9" s="38"/>
    </row>
    <row r="10" spans="1:9" ht="13.5" thickBot="1">
      <c r="A10" s="32" t="s">
        <v>6</v>
      </c>
      <c r="B10" s="35" t="s">
        <v>15</v>
      </c>
      <c r="C10" s="35" t="s">
        <v>16</v>
      </c>
      <c r="D10" s="35" t="s">
        <v>31</v>
      </c>
      <c r="E10" s="35" t="s">
        <v>48</v>
      </c>
      <c r="F10" s="35" t="s">
        <v>80</v>
      </c>
      <c r="G10" s="36" t="s">
        <v>51</v>
      </c>
      <c r="H10" s="39" t="s">
        <v>87</v>
      </c>
      <c r="I10" s="23"/>
    </row>
    <row r="11" spans="1:8" ht="12.75">
      <c r="A11" s="33" t="s">
        <v>7</v>
      </c>
      <c r="B11" s="33"/>
      <c r="C11" s="33" t="s">
        <v>173</v>
      </c>
      <c r="D11" s="33" t="s">
        <v>282</v>
      </c>
      <c r="E11" s="33" t="s">
        <v>171</v>
      </c>
      <c r="F11" s="33"/>
      <c r="G11" s="37">
        <v>120</v>
      </c>
      <c r="H11" s="40"/>
    </row>
    <row r="12" spans="1:7" ht="12.75">
      <c r="A12" s="34" t="s">
        <v>8</v>
      </c>
      <c r="B12" s="34"/>
      <c r="C12" s="34" t="s">
        <v>281</v>
      </c>
      <c r="D12" s="34" t="s">
        <v>280</v>
      </c>
      <c r="E12" s="34" t="s">
        <v>291</v>
      </c>
      <c r="F12" s="34" t="s">
        <v>288</v>
      </c>
      <c r="G12" s="30">
        <v>1</v>
      </c>
    </row>
    <row r="13" spans="1:7" ht="12.75">
      <c r="A13" s="34"/>
      <c r="B13" s="34"/>
      <c r="C13" s="34"/>
      <c r="D13" s="34"/>
      <c r="E13" s="34" t="s">
        <v>290</v>
      </c>
      <c r="F13" s="34" t="s">
        <v>287</v>
      </c>
      <c r="G13" s="30">
        <v>2</v>
      </c>
    </row>
  </sheetData>
  <sheetProtection/>
  <mergeCells count="17"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  <mergeCell ref="E4:E5"/>
    <mergeCell ref="E6:E7"/>
    <mergeCell ref="E8:E9"/>
    <mergeCell ref="F2:G3"/>
    <mergeCell ref="F4:G5"/>
    <mergeCell ref="F6:G7"/>
    <mergeCell ref="F8:G9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J38" sqref="E34:J38"/>
    </sheetView>
  </sheetViews>
  <sheetFormatPr defaultColWidth="11.421875" defaultRowHeight="12.75"/>
  <cols>
    <col min="1" max="1" width="11.42187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5" customHeight="1">
      <c r="A1" s="102" t="s">
        <v>88</v>
      </c>
      <c r="B1" s="103"/>
      <c r="C1" s="103"/>
      <c r="D1" s="103"/>
      <c r="E1" s="103"/>
      <c r="F1" s="103"/>
      <c r="G1" s="103"/>
      <c r="H1" s="103"/>
      <c r="I1" s="103"/>
    </row>
    <row r="2" spans="1:10" ht="12.75">
      <c r="A2" s="73" t="s">
        <v>1</v>
      </c>
      <c r="B2" s="66"/>
      <c r="C2" s="53" t="s">
        <v>286</v>
      </c>
      <c r="D2" s="54"/>
      <c r="E2" s="62" t="s">
        <v>57</v>
      </c>
      <c r="F2" s="62" t="s">
        <v>285</v>
      </c>
      <c r="G2" s="66"/>
      <c r="H2" s="62" t="s">
        <v>123</v>
      </c>
      <c r="I2" s="95"/>
      <c r="J2" s="22"/>
    </row>
    <row r="3" spans="1:10" ht="12.75">
      <c r="A3" s="74"/>
      <c r="B3" s="63"/>
      <c r="C3" s="77"/>
      <c r="D3" s="77"/>
      <c r="E3" s="63"/>
      <c r="F3" s="63"/>
      <c r="G3" s="63"/>
      <c r="H3" s="63"/>
      <c r="I3" s="68"/>
      <c r="J3" s="22"/>
    </row>
    <row r="4" spans="1:10" ht="12.75">
      <c r="A4" s="75" t="s">
        <v>2</v>
      </c>
      <c r="B4" s="63"/>
      <c r="C4" s="64" t="s">
        <v>284</v>
      </c>
      <c r="D4" s="63"/>
      <c r="E4" s="64" t="s">
        <v>58</v>
      </c>
      <c r="F4" s="64" t="s">
        <v>63</v>
      </c>
      <c r="G4" s="63"/>
      <c r="H4" s="64" t="s">
        <v>123</v>
      </c>
      <c r="I4" s="96"/>
      <c r="J4" s="22"/>
    </row>
    <row r="5" spans="1:10" ht="12.75">
      <c r="A5" s="74"/>
      <c r="B5" s="63"/>
      <c r="C5" s="63"/>
      <c r="D5" s="63"/>
      <c r="E5" s="63"/>
      <c r="F5" s="63"/>
      <c r="G5" s="63"/>
      <c r="H5" s="63"/>
      <c r="I5" s="68"/>
      <c r="J5" s="22"/>
    </row>
    <row r="6" spans="1:10" ht="12.75">
      <c r="A6" s="75" t="s">
        <v>3</v>
      </c>
      <c r="B6" s="63"/>
      <c r="C6" s="64" t="s">
        <v>29</v>
      </c>
      <c r="D6" s="63"/>
      <c r="E6" s="64" t="s">
        <v>59</v>
      </c>
      <c r="F6" s="64"/>
      <c r="G6" s="63"/>
      <c r="H6" s="64" t="s">
        <v>123</v>
      </c>
      <c r="I6" s="96"/>
      <c r="J6" s="22"/>
    </row>
    <row r="7" spans="1:10" ht="12.75">
      <c r="A7" s="74"/>
      <c r="B7" s="63"/>
      <c r="C7" s="63"/>
      <c r="D7" s="63"/>
      <c r="E7" s="63"/>
      <c r="F7" s="63"/>
      <c r="G7" s="63"/>
      <c r="H7" s="63"/>
      <c r="I7" s="68"/>
      <c r="J7" s="22"/>
    </row>
    <row r="8" spans="1:10" ht="12.75">
      <c r="A8" s="75" t="s">
        <v>45</v>
      </c>
      <c r="B8" s="63"/>
      <c r="C8" s="64" t="s">
        <v>5</v>
      </c>
      <c r="D8" s="63"/>
      <c r="E8" s="64" t="s">
        <v>46</v>
      </c>
      <c r="F8" s="63"/>
      <c r="G8" s="63"/>
      <c r="H8" s="64" t="s">
        <v>124</v>
      </c>
      <c r="I8" s="96"/>
      <c r="J8" s="22"/>
    </row>
    <row r="9" spans="1:10" ht="12.75">
      <c r="A9" s="74"/>
      <c r="B9" s="63"/>
      <c r="C9" s="63"/>
      <c r="D9" s="63"/>
      <c r="E9" s="63"/>
      <c r="F9" s="63"/>
      <c r="G9" s="63"/>
      <c r="H9" s="63"/>
      <c r="I9" s="68"/>
      <c r="J9" s="22"/>
    </row>
    <row r="10" spans="1:10" ht="12.75">
      <c r="A10" s="75" t="s">
        <v>4</v>
      </c>
      <c r="B10" s="63"/>
      <c r="C10" s="64" t="s">
        <v>283</v>
      </c>
      <c r="D10" s="63"/>
      <c r="E10" s="64" t="s">
        <v>60</v>
      </c>
      <c r="F10" s="64"/>
      <c r="G10" s="63"/>
      <c r="H10" s="64" t="s">
        <v>125</v>
      </c>
      <c r="I10" s="97"/>
      <c r="J10" s="22"/>
    </row>
    <row r="11" spans="1:10" ht="12.75">
      <c r="A11" s="104"/>
      <c r="B11" s="101"/>
      <c r="C11" s="101"/>
      <c r="D11" s="101"/>
      <c r="E11" s="101"/>
      <c r="F11" s="101"/>
      <c r="G11" s="101"/>
      <c r="H11" s="101"/>
      <c r="I11" s="98"/>
      <c r="J11" s="22"/>
    </row>
    <row r="12" spans="1:9" ht="23.25" customHeight="1">
      <c r="A12" s="99" t="s">
        <v>89</v>
      </c>
      <c r="B12" s="100"/>
      <c r="C12" s="100"/>
      <c r="D12" s="100"/>
      <c r="E12" s="100"/>
      <c r="F12" s="100"/>
      <c r="G12" s="100"/>
      <c r="H12" s="100"/>
      <c r="I12" s="100"/>
    </row>
    <row r="13" spans="1:10" ht="26.25" customHeight="1">
      <c r="A13" s="41" t="s">
        <v>90</v>
      </c>
      <c r="B13" s="93" t="s">
        <v>101</v>
      </c>
      <c r="C13" s="94"/>
      <c r="D13" s="41" t="s">
        <v>103</v>
      </c>
      <c r="E13" s="93" t="s">
        <v>111</v>
      </c>
      <c r="F13" s="94"/>
      <c r="G13" s="41" t="s">
        <v>112</v>
      </c>
      <c r="H13" s="93" t="s">
        <v>126</v>
      </c>
      <c r="I13" s="94"/>
      <c r="J13" s="22"/>
    </row>
    <row r="14" spans="1:10" ht="15" customHeight="1">
      <c r="A14" s="42" t="s">
        <v>91</v>
      </c>
      <c r="B14" s="46" t="s">
        <v>102</v>
      </c>
      <c r="C14" s="49">
        <f>SUM('Rozpočet 649 668'!R12:R15)</f>
        <v>0</v>
      </c>
      <c r="D14" s="89" t="s">
        <v>104</v>
      </c>
      <c r="E14" s="90"/>
      <c r="F14" s="49">
        <v>0</v>
      </c>
      <c r="G14" s="89" t="s">
        <v>113</v>
      </c>
      <c r="H14" s="90"/>
      <c r="I14" s="49">
        <v>0</v>
      </c>
      <c r="J14" s="22"/>
    </row>
    <row r="15" spans="1:10" ht="15" customHeight="1">
      <c r="A15" s="43"/>
      <c r="B15" s="46" t="s">
        <v>61</v>
      </c>
      <c r="C15" s="49">
        <f>SUM('Rozpočet 649 668'!S12:S15)</f>
        <v>0</v>
      </c>
      <c r="D15" s="89" t="s">
        <v>105</v>
      </c>
      <c r="E15" s="90"/>
      <c r="F15" s="49">
        <v>0</v>
      </c>
      <c r="G15" s="89" t="s">
        <v>114</v>
      </c>
      <c r="H15" s="90"/>
      <c r="I15" s="49">
        <v>0</v>
      </c>
      <c r="J15" s="22"/>
    </row>
    <row r="16" spans="1:10" ht="15" customHeight="1">
      <c r="A16" s="42" t="s">
        <v>92</v>
      </c>
      <c r="B16" s="46" t="s">
        <v>102</v>
      </c>
      <c r="C16" s="49">
        <f>SUM('Rozpočet 649 668'!T12:T15)</f>
        <v>0</v>
      </c>
      <c r="D16" s="89" t="s">
        <v>106</v>
      </c>
      <c r="E16" s="90"/>
      <c r="F16" s="49">
        <v>0</v>
      </c>
      <c r="G16" s="89" t="s">
        <v>115</v>
      </c>
      <c r="H16" s="90"/>
      <c r="I16" s="49">
        <v>0</v>
      </c>
      <c r="J16" s="22"/>
    </row>
    <row r="17" spans="1:10" ht="15" customHeight="1">
      <c r="A17" s="43"/>
      <c r="B17" s="46" t="s">
        <v>61</v>
      </c>
      <c r="C17" s="49">
        <f>SUM('Rozpočet 649 668'!U12:U15)</f>
        <v>0</v>
      </c>
      <c r="D17" s="89"/>
      <c r="E17" s="90"/>
      <c r="F17" s="50"/>
      <c r="G17" s="89" t="s">
        <v>116</v>
      </c>
      <c r="H17" s="90"/>
      <c r="I17" s="49">
        <v>0</v>
      </c>
      <c r="J17" s="22"/>
    </row>
    <row r="18" spans="1:10" ht="15" customHeight="1">
      <c r="A18" s="42" t="s">
        <v>93</v>
      </c>
      <c r="B18" s="46" t="s">
        <v>102</v>
      </c>
      <c r="C18" s="49">
        <f>SUM('Rozpočet 649 668'!V12:V15)</f>
        <v>0</v>
      </c>
      <c r="D18" s="89"/>
      <c r="E18" s="90"/>
      <c r="F18" s="50"/>
      <c r="G18" s="89" t="s">
        <v>117</v>
      </c>
      <c r="H18" s="90"/>
      <c r="I18" s="49">
        <v>0</v>
      </c>
      <c r="J18" s="22"/>
    </row>
    <row r="19" spans="1:10" ht="15" customHeight="1">
      <c r="A19" s="43"/>
      <c r="B19" s="46" t="s">
        <v>61</v>
      </c>
      <c r="C19" s="49">
        <f>SUM('Rozpočet 649 668'!W12:W15)</f>
        <v>0</v>
      </c>
      <c r="D19" s="89"/>
      <c r="E19" s="90"/>
      <c r="F19" s="50"/>
      <c r="G19" s="89" t="s">
        <v>118</v>
      </c>
      <c r="H19" s="90"/>
      <c r="I19" s="49">
        <v>0</v>
      </c>
      <c r="J19" s="22"/>
    </row>
    <row r="20" spans="1:10" ht="15" customHeight="1">
      <c r="A20" s="91" t="s">
        <v>42</v>
      </c>
      <c r="B20" s="92"/>
      <c r="C20" s="49">
        <f>SUM('Rozpočet 649 668'!X12:X15)</f>
        <v>0</v>
      </c>
      <c r="D20" s="89"/>
      <c r="E20" s="90"/>
      <c r="F20" s="50"/>
      <c r="G20" s="89"/>
      <c r="H20" s="90"/>
      <c r="I20" s="50"/>
      <c r="J20" s="22"/>
    </row>
    <row r="21" spans="1:10" ht="15" customHeight="1">
      <c r="A21" s="91" t="s">
        <v>94</v>
      </c>
      <c r="B21" s="92"/>
      <c r="C21" s="49">
        <f>SUM('Rozpočet 649 668'!P12:P15)</f>
        <v>0</v>
      </c>
      <c r="D21" s="89"/>
      <c r="E21" s="90"/>
      <c r="F21" s="50"/>
      <c r="G21" s="89"/>
      <c r="H21" s="90"/>
      <c r="I21" s="50"/>
      <c r="J21" s="22"/>
    </row>
    <row r="22" spans="1:10" ht="16.5" customHeight="1">
      <c r="A22" s="91" t="s">
        <v>95</v>
      </c>
      <c r="B22" s="92"/>
      <c r="C22" s="49">
        <f>SUM(C14:C21)</f>
        <v>0</v>
      </c>
      <c r="D22" s="91" t="s">
        <v>107</v>
      </c>
      <c r="E22" s="92"/>
      <c r="F22" s="49">
        <f>SUM(F14:F21)</f>
        <v>0</v>
      </c>
      <c r="G22" s="91" t="s">
        <v>119</v>
      </c>
      <c r="H22" s="92"/>
      <c r="I22" s="49">
        <f>SUM(I14:I21)</f>
        <v>0</v>
      </c>
      <c r="J22" s="22"/>
    </row>
    <row r="23" spans="1:9" ht="12.75">
      <c r="A23" s="44"/>
      <c r="B23" s="44"/>
      <c r="C23" s="44"/>
      <c r="D23" s="7"/>
      <c r="E23" s="7"/>
      <c r="F23" s="7"/>
      <c r="G23" s="7"/>
      <c r="H23" s="7"/>
      <c r="I23" s="7"/>
    </row>
    <row r="24" spans="1:9" ht="15" customHeight="1">
      <c r="A24" s="84" t="s">
        <v>96</v>
      </c>
      <c r="B24" s="85"/>
      <c r="C24" s="51">
        <f>ROUND(SUM('Rozpočet 649 668'!Z12:Z15),2)</f>
        <v>0</v>
      </c>
      <c r="D24" s="47"/>
      <c r="E24" s="48"/>
      <c r="F24" s="48"/>
      <c r="G24" s="48"/>
      <c r="H24" s="48"/>
      <c r="I24" s="48"/>
    </row>
    <row r="25" spans="1:10" ht="15" customHeight="1">
      <c r="A25" s="84" t="s">
        <v>97</v>
      </c>
      <c r="B25" s="85"/>
      <c r="C25" s="51">
        <f>ROUND(SUM('Rozpočet 649 668'!AA12:AA15),2)</f>
        <v>0</v>
      </c>
      <c r="D25" s="84" t="s">
        <v>108</v>
      </c>
      <c r="E25" s="85"/>
      <c r="F25" s="51">
        <f>ROUND(C25*(15/100),2)</f>
        <v>0</v>
      </c>
      <c r="G25" s="84" t="s">
        <v>120</v>
      </c>
      <c r="H25" s="85"/>
      <c r="I25" s="51">
        <f>SUM(C24:C26)</f>
        <v>0</v>
      </c>
      <c r="J25" s="22"/>
    </row>
    <row r="26" spans="1:10" ht="15" customHeight="1">
      <c r="A26" s="84" t="s">
        <v>98</v>
      </c>
      <c r="B26" s="85"/>
      <c r="C26" s="51">
        <f>ROUND(SUM('Rozpočet 649 668'!AB12:AB15)+(F22+I22),2)</f>
        <v>0</v>
      </c>
      <c r="D26" s="84" t="s">
        <v>109</v>
      </c>
      <c r="E26" s="85"/>
      <c r="F26" s="51">
        <f>ROUND(C26*(21/100),2)</f>
        <v>0</v>
      </c>
      <c r="G26" s="84" t="s">
        <v>121</v>
      </c>
      <c r="H26" s="85"/>
      <c r="I26" s="51">
        <f>ROUND(SUM(F25:F26)+I25,2)</f>
        <v>0</v>
      </c>
      <c r="J26" s="22"/>
    </row>
    <row r="27" spans="1:9" ht="13.5" thickBot="1">
      <c r="A27" s="45"/>
      <c r="B27" s="45"/>
      <c r="C27" s="45"/>
      <c r="D27" s="45"/>
      <c r="E27" s="45"/>
      <c r="F27" s="45"/>
      <c r="G27" s="45"/>
      <c r="H27" s="45"/>
      <c r="I27" s="45"/>
    </row>
    <row r="28" spans="1:10" ht="14.25" customHeight="1">
      <c r="A28" s="86" t="s">
        <v>99</v>
      </c>
      <c r="B28" s="87"/>
      <c r="C28" s="88"/>
      <c r="D28" s="86" t="s">
        <v>110</v>
      </c>
      <c r="E28" s="87"/>
      <c r="F28" s="88"/>
      <c r="G28" s="86" t="s">
        <v>122</v>
      </c>
      <c r="H28" s="87"/>
      <c r="I28" s="88"/>
      <c r="J28" s="23"/>
    </row>
    <row r="29" spans="1:10" ht="14.25" customHeight="1">
      <c r="A29" s="78"/>
      <c r="B29" s="79"/>
      <c r="C29" s="80"/>
      <c r="D29" s="78"/>
      <c r="E29" s="79"/>
      <c r="F29" s="80"/>
      <c r="G29" s="78"/>
      <c r="H29" s="79"/>
      <c r="I29" s="80"/>
      <c r="J29" s="23"/>
    </row>
    <row r="30" spans="1:10" ht="14.25" customHeight="1">
      <c r="A30" s="78"/>
      <c r="B30" s="79"/>
      <c r="C30" s="80"/>
      <c r="D30" s="78"/>
      <c r="E30" s="79"/>
      <c r="F30" s="80"/>
      <c r="G30" s="78"/>
      <c r="H30" s="79"/>
      <c r="I30" s="80"/>
      <c r="J30" s="23"/>
    </row>
    <row r="31" spans="1:10" ht="14.25" customHeight="1">
      <c r="A31" s="78"/>
      <c r="B31" s="79"/>
      <c r="C31" s="80"/>
      <c r="D31" s="78"/>
      <c r="E31" s="79"/>
      <c r="F31" s="80"/>
      <c r="G31" s="78"/>
      <c r="H31" s="79"/>
      <c r="I31" s="80"/>
      <c r="J31" s="23"/>
    </row>
    <row r="32" spans="1:10" ht="14.25" customHeight="1" thickBot="1">
      <c r="A32" s="81" t="s">
        <v>100</v>
      </c>
      <c r="B32" s="82"/>
      <c r="C32" s="83"/>
      <c r="D32" s="81" t="s">
        <v>100</v>
      </c>
      <c r="E32" s="82"/>
      <c r="F32" s="83"/>
      <c r="G32" s="81" t="s">
        <v>100</v>
      </c>
      <c r="H32" s="82"/>
      <c r="I32" s="83"/>
      <c r="J32" s="23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8:E18"/>
    <mergeCell ref="D19:E19"/>
    <mergeCell ref="D20:E20"/>
    <mergeCell ref="D21:E21"/>
    <mergeCell ref="D22:E22"/>
    <mergeCell ref="A20:B20"/>
    <mergeCell ref="A21:B21"/>
    <mergeCell ref="A22:B22"/>
    <mergeCell ref="G19:H19"/>
    <mergeCell ref="G20:H20"/>
    <mergeCell ref="G21:H21"/>
    <mergeCell ref="G22:H22"/>
    <mergeCell ref="A24:B24"/>
    <mergeCell ref="A25:B25"/>
    <mergeCell ref="D25:E25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Filip_Kessler</dc:creator>
  <cp:keywords/>
  <dc:description/>
  <cp:lastModifiedBy>Filip_Kessler</cp:lastModifiedBy>
  <cp:lastPrinted>2018-06-07T09:33:37Z</cp:lastPrinted>
  <dcterms:created xsi:type="dcterms:W3CDTF">2018-04-06T13:08:41Z</dcterms:created>
  <dcterms:modified xsi:type="dcterms:W3CDTF">2018-06-07T14:09:45Z</dcterms:modified>
  <cp:category/>
  <cp:version/>
  <cp:contentType/>
  <cp:contentStatus/>
</cp:coreProperties>
</file>