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35" windowWidth="15480" windowHeight="10920" tabRatio="767" activeTab="4"/>
  </bookViews>
  <sheets>
    <sheet name="Rekapitulace" sheetId="10" r:id="rId1"/>
    <sheet name="stavba_sanita_A" sheetId="3" r:id="rId2"/>
    <sheet name="stavba_sanita_B" sheetId="7" r:id="rId3"/>
    <sheet name="stavba_chodby" sheetId="9" r:id="rId4"/>
    <sheet name="ELEKRO_A" sheetId="4" r:id="rId5"/>
    <sheet name="ELEKTRO_B" sheetId="8" r:id="rId6"/>
    <sheet name="1011-1111" sheetId="11" r:id="rId7"/>
    <sheet name="elektro 1011-1111" sheetId="12" r:id="rId8"/>
    <sheet name="společné WC" sheetId="13" r:id="rId9"/>
    <sheet name="stavební výtah" sheetId="14" r:id="rId10"/>
    <sheet name="schema podlazi" sheetId="15" r:id="rId11"/>
  </sheets>
  <externalReferences>
    <externalReference r:id="rId14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'stavba_sanita_A'!#REF!</definedName>
    <definedName name="HSV">#REF!</definedName>
    <definedName name="HSV0">'stavba_sanita_A'!#REF!</definedName>
    <definedName name="HZS">#REF!</definedName>
    <definedName name="HZS0">'stavba_sanita_A'!#REF!</definedName>
    <definedName name="JKSO">#REF!</definedName>
    <definedName name="MJ">#REF!</definedName>
    <definedName name="Mont">#REF!</definedName>
    <definedName name="Montaz0">'stavba_sanita_A'!#REF!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'ELEKRO_A'!$A$1:$H$54</definedName>
    <definedName name="_xlnm.Print_Area" localSheetId="1">'stavba_sanita_A'!$A$1:$K$203</definedName>
    <definedName name="PocetMJ">#REF!</definedName>
    <definedName name="Poznamka">#REF!</definedName>
    <definedName name="Projektant">#REF!</definedName>
    <definedName name="PSV">#REF!</definedName>
    <definedName name="PSV0">'stavba_sanita_A'!#REF!</definedName>
    <definedName name="s">'[1]Krycí list'!$C$4</definedName>
    <definedName name="SloupecCC">'stavba_sanita_A'!$G$6</definedName>
    <definedName name="SloupecCisloPol">'stavba_sanita_A'!$B$6</definedName>
    <definedName name="SloupecCH">'stavba_sanita_A'!$I$6</definedName>
    <definedName name="SloupecJC">'stavba_sanita_A'!$F$6</definedName>
    <definedName name="SloupecJH">'stavba_sanita_A'!$H$6</definedName>
    <definedName name="SloupecMJ">'stavba_sanita_A'!$D$6</definedName>
    <definedName name="SloupecMnozstvi">'stavba_sanita_A'!$E$6</definedName>
    <definedName name="SloupecNazPol">'stavba_sanita_A'!$C$6</definedName>
    <definedName name="SloupecPC">'stavba_sanita_A'!$A$6</definedName>
    <definedName name="solver_lin" localSheetId="1" hidden="1">0</definedName>
    <definedName name="solver_num" localSheetId="1" hidden="1">0</definedName>
    <definedName name="solver_opt" localSheetId="1" hidden="1">'stavba_sanita_A'!#REF!</definedName>
    <definedName name="solver_typ" localSheetId="1" hidden="1">1</definedName>
    <definedName name="solver_val" localSheetId="1" hidden="1">0</definedName>
    <definedName name="Typ">'stavba_sanita_A'!#REF!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'stavba_sanita_A'!$1:$6</definedName>
  </definedNames>
  <calcPr calcId="145621"/>
</workbook>
</file>

<file path=xl/sharedStrings.xml><?xml version="1.0" encoding="utf-8"?>
<sst xmlns="http://schemas.openxmlformats.org/spreadsheetml/2006/main" count="2842" uniqueCount="816">
  <si>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</si>
  <si>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</si>
  <si>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</si>
  <si>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</si>
  <si>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</si>
  <si>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</si>
  <si>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</si>
  <si>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</si>
  <si>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</si>
  <si>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</si>
  <si>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</si>
  <si>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</si>
  <si>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</si>
  <si>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</si>
  <si>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</si>
  <si>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</si>
  <si>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</si>
  <si>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</si>
  <si>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Příčky z desek Ytong tl. 10 cm</t>
  </si>
  <si>
    <t>m2</t>
  </si>
  <si>
    <t>Těsnění styku příčky se stáv. konstrukcí PU pěnou</t>
  </si>
  <si>
    <t>m</t>
  </si>
  <si>
    <t>Ukotvení příček k cihel.konstr. kotvami na hmožd.</t>
  </si>
  <si>
    <t>Překlad nenosný porobeton, světlost otv. do 105 cm překlad nenosný NEP 10 P3,3 124 x 24,9 x 10</t>
  </si>
  <si>
    <t>kus</t>
  </si>
  <si>
    <t>4</t>
  </si>
  <si>
    <t>Vodorovné konstrukce</t>
  </si>
  <si>
    <t>Podhledy SDK,ocel.dvouúrov.křížový rošt,1x RB 12,5</t>
  </si>
  <si>
    <t>Podhledy SDK, kovová.kce CD. 1x deska RBI 12,5 mm</t>
  </si>
  <si>
    <t>SDK podhled skoková změna v do 0,5 m</t>
  </si>
  <si>
    <t>Příplatek k podhledu sádrokart. za plochu do 10 m2 pro plochy 2 - 5 m2</t>
  </si>
  <si>
    <t>61</t>
  </si>
  <si>
    <t>Upravy povrchů vnitřní</t>
  </si>
  <si>
    <t>Zakrývání výplní vnitřních otvorů</t>
  </si>
  <si>
    <t>Oprava váp.omítek stropů do 10% plochy - štukových</t>
  </si>
  <si>
    <t>Oprava vápen.omítek stěn do 10 % pl. - štukových</t>
  </si>
  <si>
    <t>Montáž výztužné sítě (perlinky) do stěrky-stěny včetně výztužné sítě a stěrkového tmelu</t>
  </si>
  <si>
    <t>Úprava vnitřních stěn aktivovaným štukem</t>
  </si>
  <si>
    <t>Oprava omítky na stropech o ploše do 0,25 m2</t>
  </si>
  <si>
    <t>Omítka malých ploch vnitřních stěn do 1 m2</t>
  </si>
  <si>
    <t>64</t>
  </si>
  <si>
    <t>Výplně otvorů</t>
  </si>
  <si>
    <t>Osazení parapetních desek dřevěných š. do 25 cm</t>
  </si>
  <si>
    <t>Osazení zárubní dveřních ocelových, pl. do 2,5 m2</t>
  </si>
  <si>
    <t>Zárubeň ocelová HSE ''U'' 100, 700x1970 L, P</t>
  </si>
  <si>
    <t>90</t>
  </si>
  <si>
    <t>Přípočty</t>
  </si>
  <si>
    <t>HZS stavební dělník v tarifní třídě 4 stavební přípomoce</t>
  </si>
  <si>
    <t>h</t>
  </si>
  <si>
    <t>94</t>
  </si>
  <si>
    <t>Lešení a stavební výtahy</t>
  </si>
  <si>
    <t>Lešení lehké pomocné, výška podlahy do 1,2 m</t>
  </si>
  <si>
    <t>95</t>
  </si>
  <si>
    <t>Dokončovací kce na pozem.stav.</t>
  </si>
  <si>
    <t>Vyčištění budov o výšce podlaží do 4 m</t>
  </si>
  <si>
    <t>96</t>
  </si>
  <si>
    <t>Bourání konstrukcí</t>
  </si>
  <si>
    <t>Řezání cihelného zdiva hl. řezu 100 mm</t>
  </si>
  <si>
    <t>Bourání příček z plynosilikátu a siporexu  tl. do 15 cm</t>
  </si>
  <si>
    <t>Bourání příček deskových,sádrokartonových tl. 5 cm</t>
  </si>
  <si>
    <t>Vyvěšení dřevěných dveřních křídel pl. do 2 m2</t>
  </si>
  <si>
    <t>Vybourání kovových dveřních zárubní pl. do 2 m2</t>
  </si>
  <si>
    <t>Bourání parapetů dřevěných š. do 25 cm</t>
  </si>
  <si>
    <t>Vybourání vodovod., plynového vedení DN do 52 mm</t>
  </si>
  <si>
    <t>Vybourání kanalizačního potrubí DN do 100 mm</t>
  </si>
  <si>
    <t>Demontáž soklíků nebo lišt, pryžových nebo z PVC</t>
  </si>
  <si>
    <t>Odstranění PVC a koberců lepených s podložkou</t>
  </si>
  <si>
    <t>Odstranění zbytků lepidla z podlahové plochy</t>
  </si>
  <si>
    <t>Odstranění malby oškrábáním v místnosti H do 3,8 m</t>
  </si>
  <si>
    <t>Otlučení omítek vnitřních stěn v rozsahu do 10 %</t>
  </si>
  <si>
    <t>Otlučení omítek vnitřních vápenných stropů do 10 %</t>
  </si>
  <si>
    <t>Demontáž vestavěných skříní 1křídlových</t>
  </si>
  <si>
    <t>Demontáž vestavěných skříní 2křídlových</t>
  </si>
  <si>
    <t>Demontáž garnýže</t>
  </si>
  <si>
    <t>Demontáž klozetů kombinovaných</t>
  </si>
  <si>
    <t>soubor</t>
  </si>
  <si>
    <t>Demontáž ocelové vany</t>
  </si>
  <si>
    <t>Demontáž umyvadel bez výtokových armatur</t>
  </si>
  <si>
    <t>Demontáž baterie nástěnné do G 3/4</t>
  </si>
  <si>
    <t>Demontáž uzávěrek zápachových jednoduchých</t>
  </si>
  <si>
    <t>Demontáž ventilu výtokového nástěnného</t>
  </si>
  <si>
    <t>210</t>
  </si>
  <si>
    <t>Demontáž rozvodů elektro</t>
  </si>
  <si>
    <t>kpl</t>
  </si>
  <si>
    <t>220</t>
  </si>
  <si>
    <t>Demontáž rozhlasu vč. lišty s přívodním kabelem</t>
  </si>
  <si>
    <t>Svislá doprava suti a vybour. hmot za 2.NP nošením</t>
  </si>
  <si>
    <t>t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</si>
  <si>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</si>
  <si>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</si>
  <si>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</si>
  <si>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</si>
  <si>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</si>
  <si>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</si>
  <si>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25 m</t>
  </si>
  <si>
    <t>711</t>
  </si>
  <si>
    <t>Izolace proti vodě</t>
  </si>
  <si>
    <t>Penetrace podkladu pod hydroizolační nátěr</t>
  </si>
  <si>
    <t>Stěrka hydroizolační těsnicí hmotou</t>
  </si>
  <si>
    <t>Těsnicí pás do spoje podlaha - stěna</t>
  </si>
  <si>
    <t>Těsnicí roh vnější, vnitřní do spoje podlaha-stěna</t>
  </si>
  <si>
    <t>Přesun hmot pro izolace proti vodě, výšky do 60 m</t>
  </si>
  <si>
    <t>721</t>
  </si>
  <si>
    <t>Vnitřní kanalizace</t>
  </si>
  <si>
    <t>Potrubí HT připojovací D 40 x 1,8 mm</t>
  </si>
  <si>
    <t>Redukce nesouosá HTR DN  40/  50 mm PP</t>
  </si>
  <si>
    <t>Koleno připojovací 90° HTSW DN 40/50 36/40 mm PP</t>
  </si>
  <si>
    <t>Potrubí HT připojovací D 50 x 1,8 mm</t>
  </si>
  <si>
    <t>Odbočka HTEA DN  50/ 40 mm 45° PP</t>
  </si>
  <si>
    <t>Koleno HTB DN  50 mm 45° PP</t>
  </si>
  <si>
    <t>Koleno připojovací 90° HTSW DN 50/50 46/55 mm PP</t>
  </si>
  <si>
    <t>Potrubí HT připojovací D 110 x 2,7 mm</t>
  </si>
  <si>
    <t>Koleno HTB DN 100 mm 87° PP</t>
  </si>
  <si>
    <t>HL200/1 manžeta pro připojení WC DN 110</t>
  </si>
  <si>
    <t>Připojení na stoupací potrubí D 50 x 1,8</t>
  </si>
  <si>
    <t>Připojení na stoupací potrubí D 110 x 2,3</t>
  </si>
  <si>
    <t>Vyvedení odpadních výpustek D 40 x 1,8</t>
  </si>
  <si>
    <t>Vyvedení odpadních výpustek D 50 x 1,8</t>
  </si>
  <si>
    <t>Vyvedení odpadních výpustek D 110 x 2,3</t>
  </si>
  <si>
    <t>Zkouška těsnosti kanalizace vodou DN 125</t>
  </si>
  <si>
    <t>Přesun hmot pro vnitřní kanalizaci, výšky do 24 m</t>
  </si>
  <si>
    <t>722</t>
  </si>
  <si>
    <t>Vnitřní vodovod</t>
  </si>
  <si>
    <t>Potrubí z PPR Instaplast, studená, D 20x2,8 mm</t>
  </si>
  <si>
    <t>Potrubí z PPR Instaplast, teplá, D 20x3,4 mm</t>
  </si>
  <si>
    <t>Příplatek za malý rozsah do 20 m rozvodu</t>
  </si>
  <si>
    <t>Příplatek za malý rozsah do 15 svarů do DN 32</t>
  </si>
  <si>
    <t>Izolace návleková MIRELON PRO tl. stěny 13 mm vnitřní průměr 22 mm</t>
  </si>
  <si>
    <t>Napojení na stávající rozvod - připojení DN 20</t>
  </si>
  <si>
    <t>Vyvedení a upevnění výpustek DN 15</t>
  </si>
  <si>
    <t>Tlaková zkouška vodovodního potrubí DN 32</t>
  </si>
  <si>
    <t>Proplach a dezinfekce vodovod.potrubí DN 80</t>
  </si>
  <si>
    <t>Nástěnka K 247, pro výtokový ventil G 3/4</t>
  </si>
  <si>
    <t>Přesun hmot pro vnitřní vodovod, výšky do 24 m</t>
  </si>
  <si>
    <t>725</t>
  </si>
  <si>
    <t>Zařizovací předměty</t>
  </si>
  <si>
    <t>Montáž umyvadel na šrouby do zdiva</t>
  </si>
  <si>
    <t>Montáž sprchových mís a vaniček</t>
  </si>
  <si>
    <t>Montáž sprchových koutů</t>
  </si>
  <si>
    <t>Sedátko klozetové s poklopem bílé</t>
  </si>
  <si>
    <t>Montáž baterie umyv.a dřezové stojánkové</t>
  </si>
  <si>
    <t>Baterie umyvadlová stojánková</t>
  </si>
  <si>
    <t>Montáž baterií sprchových, pevná výška</t>
  </si>
  <si>
    <t>Sifon ke sprchové vaničce PP HL 522, D 40/50 mm</t>
  </si>
  <si>
    <t>Ventil rohový s filtrem IVAR.KING DN 15 x DN 10</t>
  </si>
  <si>
    <t>Montáž koupelnového vybavení</t>
  </si>
  <si>
    <t>KV01</t>
  </si>
  <si>
    <t>KV02</t>
  </si>
  <si>
    <t>KV03</t>
  </si>
  <si>
    <t>KV04</t>
  </si>
  <si>
    <t>WC štětka stojící</t>
  </si>
  <si>
    <t>KV05</t>
  </si>
  <si>
    <t>KV06</t>
  </si>
  <si>
    <t>Pevný vysoušeč vlasů pistolový</t>
  </si>
  <si>
    <t>Přesun hmot pro zařizovací předměty, výšky do 24 m</t>
  </si>
  <si>
    <t>766</t>
  </si>
  <si>
    <t>Konstrukce truhlářské</t>
  </si>
  <si>
    <t>Montáž dveří do zárubně,otevíravých 1kř.do 0,8 m</t>
  </si>
  <si>
    <t>Montáž dveří protipožár.1kř.do 80 cm, bez kukátka</t>
  </si>
  <si>
    <t>Montáž kliky a štítku</t>
  </si>
  <si>
    <t>Přesun hmot pro truhlářské konstr., výšky do 24 m</t>
  </si>
  <si>
    <t>767</t>
  </si>
  <si>
    <t>Konstrukce zámečnické</t>
  </si>
  <si>
    <t>Montáž větracích mřížek, typ VM</t>
  </si>
  <si>
    <t>Mřížka kruhová KMM pr.125, na konec potrubí</t>
  </si>
  <si>
    <t>Přesun hmot pro zámečnické konstr., výšky do 24 m</t>
  </si>
  <si>
    <t>771</t>
  </si>
  <si>
    <t>Podlahy z dlaždic a obklady</t>
  </si>
  <si>
    <t>Vyrovnání podk.samoniv.hmotou Planolit 315 inter. nivelační hmota tl. 3 mm, penetrace</t>
  </si>
  <si>
    <t>Příplatek za plochu podlah keram. do 5 m2 jednotl.</t>
  </si>
  <si>
    <t>Spára podlaha - stěna, silikonem</t>
  </si>
  <si>
    <t>Přesun hmot pro podlahy z dlaždic, výšky do 24 m</t>
  </si>
  <si>
    <t>776</t>
  </si>
  <si>
    <t>Podlahy povlakové</t>
  </si>
  <si>
    <t>Provedení penetrace podkladu</t>
  </si>
  <si>
    <t>Lišta hliníková přechodová, různá výška krytin</t>
  </si>
  <si>
    <t>Přesun hmot pro podlahy povlakové, výšky do 24 m</t>
  </si>
  <si>
    <t>777</t>
  </si>
  <si>
    <t>Podlahy ze syntetických hmot</t>
  </si>
  <si>
    <t>Přesun hmot pro podlahy syntetické, výšky do 24 m</t>
  </si>
  <si>
    <t>781</t>
  </si>
  <si>
    <t>Obklady keramické</t>
  </si>
  <si>
    <t>Penetrace podkladu pod obklady</t>
  </si>
  <si>
    <t>Příplatek k obkladu stěn za plochu do 10 m2 jedntl</t>
  </si>
  <si>
    <t>Lišta hliníková rohová k obkladům</t>
  </si>
  <si>
    <t>Spára vnitřních rohů stěn, silikonem</t>
  </si>
  <si>
    <t>Lepení zrcadel na lepidlo</t>
  </si>
  <si>
    <t>Zrcadlo nemontované čiré tl. 8 mm</t>
  </si>
  <si>
    <t>Přesun hmot pro obklady keramické, výšky do 24 m</t>
  </si>
  <si>
    <t>783</t>
  </si>
  <si>
    <t>Nátěry</t>
  </si>
  <si>
    <t>Nátěr syntetický kovových zárubní dvojnásobný</t>
  </si>
  <si>
    <t>784</t>
  </si>
  <si>
    <t>Malby</t>
  </si>
  <si>
    <t>Penetrace podkladu univerzální Primalex 1x</t>
  </si>
  <si>
    <t>Malba tekutá Primalex Plus, bílá, 2 x</t>
  </si>
  <si>
    <t>Malba tekutá Primalex Plus, barva, 2 x</t>
  </si>
  <si>
    <t>342255024R00</t>
  </si>
  <si>
    <t>342668111R00</t>
  </si>
  <si>
    <t>342948111R00</t>
  </si>
  <si>
    <t>317121047RT2</t>
  </si>
  <si>
    <t>347015199R00</t>
  </si>
  <si>
    <t>347015116R00</t>
  </si>
  <si>
    <t>346244313R00</t>
  </si>
  <si>
    <t>342263420R00</t>
  </si>
  <si>
    <t>342263526R00</t>
  </si>
  <si>
    <t>416022121R00</t>
  </si>
  <si>
    <t>416021123R00</t>
  </si>
  <si>
    <t>416131721R00</t>
  </si>
  <si>
    <t>442264098RT2</t>
  </si>
  <si>
    <t>610991111R00</t>
  </si>
  <si>
    <t>611421231R00</t>
  </si>
  <si>
    <t>612421231R00</t>
  </si>
  <si>
    <t>612481211RT2</t>
  </si>
  <si>
    <t>612471411R00</t>
  </si>
  <si>
    <t>611401211R00</t>
  </si>
  <si>
    <t>612401391R00</t>
  </si>
  <si>
    <t>648951411R00</t>
  </si>
  <si>
    <t>642942111R00</t>
  </si>
  <si>
    <t>900R01</t>
  </si>
  <si>
    <t>941955001R00</t>
  </si>
  <si>
    <t>952901111R00</t>
  </si>
  <si>
    <t>970231100R00</t>
  </si>
  <si>
    <t>962086111R00</t>
  </si>
  <si>
    <t>962084121R00</t>
  </si>
  <si>
    <t>968061125R00</t>
  </si>
  <si>
    <t>968072455R00</t>
  </si>
  <si>
    <t>968095001R00</t>
  </si>
  <si>
    <t>969011121R00</t>
  </si>
  <si>
    <t>969021111R00</t>
  </si>
  <si>
    <t>776401800R00</t>
  </si>
  <si>
    <t>776511820R00</t>
  </si>
  <si>
    <t>776511822RX0</t>
  </si>
  <si>
    <t>784402801R00</t>
  </si>
  <si>
    <t>978013121R00</t>
  </si>
  <si>
    <t>978011121R00</t>
  </si>
  <si>
    <t>766825811R00</t>
  </si>
  <si>
    <t>766825821R00</t>
  </si>
  <si>
    <t>766662899RX0</t>
  </si>
  <si>
    <t>725110814R00</t>
  </si>
  <si>
    <t>725220841R00</t>
  </si>
  <si>
    <t>725210821R00</t>
  </si>
  <si>
    <t>725820801R00</t>
  </si>
  <si>
    <t>725860811R00</t>
  </si>
  <si>
    <t>725810811R00</t>
  </si>
  <si>
    <t>979011211R00</t>
  </si>
  <si>
    <t>979082111R00</t>
  </si>
  <si>
    <t>979082121R00</t>
  </si>
  <si>
    <t>979088212R00</t>
  </si>
  <si>
    <t>979981101R00</t>
  </si>
  <si>
    <t>999281111R00</t>
  </si>
  <si>
    <t>711212000R00</t>
  </si>
  <si>
    <t>711212002R00</t>
  </si>
  <si>
    <t>711212601R00</t>
  </si>
  <si>
    <t>711212602R00</t>
  </si>
  <si>
    <t>998711103R00</t>
  </si>
  <si>
    <t>721176102R00</t>
  </si>
  <si>
    <t>28615402A</t>
  </si>
  <si>
    <t>28615463A</t>
  </si>
  <si>
    <t>721176103R00</t>
  </si>
  <si>
    <t>28615335A</t>
  </si>
  <si>
    <t>28615287A</t>
  </si>
  <si>
    <t>28615466A</t>
  </si>
  <si>
    <t>721176105R00</t>
  </si>
  <si>
    <t>28615299A</t>
  </si>
  <si>
    <t>55162357A0</t>
  </si>
  <si>
    <t>721194105RX1</t>
  </si>
  <si>
    <t>721194106RX1</t>
  </si>
  <si>
    <t>721194104R00</t>
  </si>
  <si>
    <t>721194105R00</t>
  </si>
  <si>
    <t>721194109R00</t>
  </si>
  <si>
    <t>721290111R00</t>
  </si>
  <si>
    <t>998721103R00</t>
  </si>
  <si>
    <t>722172311R00</t>
  </si>
  <si>
    <t>722172331R00</t>
  </si>
  <si>
    <t>722179191R00</t>
  </si>
  <si>
    <t>722179192R00</t>
  </si>
  <si>
    <t>722181213RT7</t>
  </si>
  <si>
    <t>722190222R00</t>
  </si>
  <si>
    <t>722190401R00</t>
  </si>
  <si>
    <t>722280106R00</t>
  </si>
  <si>
    <t>722290234R00</t>
  </si>
  <si>
    <t>722220112R00</t>
  </si>
  <si>
    <t>998722103R00</t>
  </si>
  <si>
    <t>725219401R00</t>
  </si>
  <si>
    <t>725249102R00</t>
  </si>
  <si>
    <t>725249103R00</t>
  </si>
  <si>
    <t>725119305R00</t>
  </si>
  <si>
    <t>725829301R00</t>
  </si>
  <si>
    <t>725849201R00</t>
  </si>
  <si>
    <t>725860224R00</t>
  </si>
  <si>
    <t>725860251R00</t>
  </si>
  <si>
    <t>725814101R00</t>
  </si>
  <si>
    <t>725529299R00</t>
  </si>
  <si>
    <t>998725103R00</t>
  </si>
  <si>
    <t>766661112R00</t>
  </si>
  <si>
    <t>D02</t>
  </si>
  <si>
    <t>766661413R00</t>
  </si>
  <si>
    <t>D01</t>
  </si>
  <si>
    <t>766670021R00</t>
  </si>
  <si>
    <t>K02</t>
  </si>
  <si>
    <t>K01</t>
  </si>
  <si>
    <t>998766103R00</t>
  </si>
  <si>
    <t>767811100R00</t>
  </si>
  <si>
    <t>998767103R00</t>
  </si>
  <si>
    <t>771100010RAA</t>
  </si>
  <si>
    <t>771575111RV4</t>
  </si>
  <si>
    <t>771579791R00</t>
  </si>
  <si>
    <t>771578011R00</t>
  </si>
  <si>
    <t>998771103R00</t>
  </si>
  <si>
    <t>776101121R00</t>
  </si>
  <si>
    <t>776421100RU1</t>
  </si>
  <si>
    <t>776521100RT1</t>
  </si>
  <si>
    <t>28412262A</t>
  </si>
  <si>
    <t>776981113R00</t>
  </si>
  <si>
    <t>998776103R00</t>
  </si>
  <si>
    <t>777561020R00</t>
  </si>
  <si>
    <t>998777103R00</t>
  </si>
  <si>
    <t>781101210R00</t>
  </si>
  <si>
    <t>781415016RT3</t>
  </si>
  <si>
    <t>781419711R00</t>
  </si>
  <si>
    <t>781497121R00</t>
  </si>
  <si>
    <t>781578011R00</t>
  </si>
  <si>
    <t>781485136R00</t>
  </si>
  <si>
    <t>998781103R00</t>
  </si>
  <si>
    <t>783222100R00</t>
  </si>
  <si>
    <t>784191101R00</t>
  </si>
  <si>
    <t>784195212R00</t>
  </si>
  <si>
    <t>784195222R00</t>
  </si>
  <si>
    <t>Kování rozetové, WC klička, povrch a úprava dle specifikace investora</t>
  </si>
  <si>
    <t>979011219R00</t>
  </si>
  <si>
    <t>Přípl.k svislé dopr.suti za každé další NP nošením</t>
  </si>
  <si>
    <t>ELEKTROINSTALACE (var. A)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</si>
  <si>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</si>
  <si>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</si>
  <si>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</si>
  <si>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</si>
  <si>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</si>
  <si>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</si>
  <si>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</si>
  <si>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</si>
  <si>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</si>
  <si>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</si>
  <si>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Jednotková</t>
  </si>
  <si>
    <t>Celkem</t>
  </si>
  <si>
    <t>KONCOVÉ PRVKY PRO ELEKTROINSTALACI</t>
  </si>
  <si>
    <t>1.1</t>
  </si>
  <si>
    <t>SV.01</t>
  </si>
  <si>
    <t>1.2</t>
  </si>
  <si>
    <t>SV.02</t>
  </si>
  <si>
    <t>Stropní přisazené svítidlo, kruhové ∅ 300mm, skleněné matované stínítko, LED zdroj, min. 800lm, barva světla 2700-3000K (teplá bílá)</t>
  </si>
  <si>
    <t>1.3</t>
  </si>
  <si>
    <t>SV.03</t>
  </si>
  <si>
    <t>LED pásek, 12W/bm, barva světla 2700-3000K (teplá bílá), Al profil, matný difuzor, trafo umístěno v rozváděči</t>
  </si>
  <si>
    <t>1.4</t>
  </si>
  <si>
    <t>SV.04</t>
  </si>
  <si>
    <t>Nástěnné svítidlo, kruhové ∅ 350mm, skleněné matované stínítko, LED zdroj, min. 1800lm, barva světla 2700-3000K (teplá bílá)</t>
  </si>
  <si>
    <t>1.5</t>
  </si>
  <si>
    <t>1.6</t>
  </si>
  <si>
    <t>1.7</t>
  </si>
  <si>
    <t>1.8</t>
  </si>
  <si>
    <t>Reproduktor evakuační vestavný dle rozvodů v objektu</t>
  </si>
  <si>
    <t>1.9</t>
  </si>
  <si>
    <t>1.10</t>
  </si>
  <si>
    <t>1.11</t>
  </si>
  <si>
    <t>1.14</t>
  </si>
  <si>
    <t>KTS - kartový nástěnný šetřič elektrické energie on/off</t>
  </si>
  <si>
    <t>1.15</t>
  </si>
  <si>
    <t>Drobný a montážní materiál</t>
  </si>
  <si>
    <t>2</t>
  </si>
  <si>
    <t>ELEKTROINSTALAČNÍ MATERIÁL</t>
  </si>
  <si>
    <t>2.1</t>
  </si>
  <si>
    <t>PVC chránička 23mm</t>
  </si>
  <si>
    <t>2.2</t>
  </si>
  <si>
    <t>Elektroinstalační krabice včetně víka nad podhled</t>
  </si>
  <si>
    <t>2.3</t>
  </si>
  <si>
    <t>Přístrojová instalační krabice</t>
  </si>
  <si>
    <t>2.4</t>
  </si>
  <si>
    <t>Koaxiální kabel DIGI110 75 Ohm</t>
  </si>
  <si>
    <t>2.5</t>
  </si>
  <si>
    <t>Kabel kroucený čtyřpár UTP4p cat.5e</t>
  </si>
  <si>
    <t>2.6</t>
  </si>
  <si>
    <t>JYSTY 2x2x0,5</t>
  </si>
  <si>
    <t>2.7</t>
  </si>
  <si>
    <t>Kabel CYKY-O 3x1.5</t>
  </si>
  <si>
    <t>2.8</t>
  </si>
  <si>
    <t>Kabel CYKY 3Jx1.5</t>
  </si>
  <si>
    <t>2.9</t>
  </si>
  <si>
    <t>Kabel CYKY 3Jx2.5</t>
  </si>
  <si>
    <t>2.10</t>
  </si>
  <si>
    <t>Vodič CYY 4mm2 zeleno-žlutý</t>
  </si>
  <si>
    <t>2.11</t>
  </si>
  <si>
    <t>2.12</t>
  </si>
  <si>
    <t>2.13</t>
  </si>
  <si>
    <t>2.14</t>
  </si>
  <si>
    <t>2.15</t>
  </si>
  <si>
    <t>Uvedení do provozu</t>
  </si>
  <si>
    <t>2.16</t>
  </si>
  <si>
    <t>Výchozí revize, měření</t>
  </si>
  <si>
    <t>2.17</t>
  </si>
  <si>
    <t>Zaškolení obsluhy</t>
  </si>
  <si>
    <t>2.18</t>
  </si>
  <si>
    <t>ROZVÁDĚČE A JEJICH VÝZBROJ</t>
  </si>
  <si>
    <t>3.1</t>
  </si>
  <si>
    <t>3.2</t>
  </si>
  <si>
    <t>Vypínač IA 32A/3</t>
  </si>
  <si>
    <t>3.3</t>
  </si>
  <si>
    <t>Jednofázový jistič 10A/1/B</t>
  </si>
  <si>
    <t>3.4</t>
  </si>
  <si>
    <t>Jednofázový jistič 16A/1/B</t>
  </si>
  <si>
    <t>3.5</t>
  </si>
  <si>
    <t>Proudový chránič BD-FI 4N/30/40A</t>
  </si>
  <si>
    <t>3.6</t>
  </si>
  <si>
    <t>Proudový chránič s jističem  LFI 16B/2N/0,03</t>
  </si>
  <si>
    <t>3.7</t>
  </si>
  <si>
    <t>Zdroj na DIN lištu 230V/12VDC, 70VA</t>
  </si>
  <si>
    <t>3.8</t>
  </si>
  <si>
    <t>Drobný a montážní materiál, revize a měření</t>
  </si>
  <si>
    <t>Dveře jednkořídlé plné EI 30 DP3, 800/1970, L/P, hladké, PÚ lamino, zvýšený požadavek na neprůzvučnost křídla</t>
  </si>
  <si>
    <t xml:space="preserve">Dveře jednkořídlé plné 800/1970, L/P, hladké, PÚ lamino hladké </t>
  </si>
  <si>
    <t xml:space="preserve">Elektromontáže </t>
  </si>
  <si>
    <t>Vypínač řazení S1,  L bílá, 10A, 230V, 50Hz, IP20</t>
  </si>
  <si>
    <t>Vypínač řazení S6+6,  L bílá, 10A, 230V, 50Hz, IP20</t>
  </si>
  <si>
    <t>Zásuvka jednonásobná,  L bílá, 16A, 230V, 50Hz, IP20</t>
  </si>
  <si>
    <t xml:space="preserve">Datová zásuvka pod omítku 2xRJ 45, cat.5 včetně kostek RJ, L bílá </t>
  </si>
  <si>
    <t>Zásuvka TV+R+SAT koncová, L bílá</t>
  </si>
  <si>
    <r>
      <t xml:space="preserve">PLASTOVÁ NÁSTĚNNÁ ROZVODNICE
N24CW
Pro 24 modulů , pro umístění na omítku včetně kompletní výzbroje, vnitřního vydrátování a pomocného materiálu, včetně výrobní a průvodní dokumentace:  
označení rozváděče:     Rx.y
Rozvodnice, napěťová soustava:                                            3 NPE/50Hz 400V-TN-C-S
ochrana před nebezpečným dotykem - odpojením od zdroje
krytí:       IP40/20
rozměry: 287x361x112  (šxvxh) 
přívody a vývody:   horem, spodem
nápisy a popisy:   černé
zkratové hodnoty:  Iks-max 10kA
barva typová:  dle výrobce
výklopná klika                                                                            provedení dle výkresu </t>
    </r>
    <r>
      <rPr>
        <b/>
        <sz val="10"/>
        <rFont val="Arial CE"/>
        <family val="2"/>
      </rPr>
      <t>D.1.4.EI.b.02</t>
    </r>
  </si>
  <si>
    <t>Izolace návleková tl. stěny 13 mm vnitřní průměr 22 mm</t>
  </si>
  <si>
    <t>346244311R00</t>
  </si>
  <si>
    <t>Obezdívky van z desek Ytong tl. 50 mm</t>
  </si>
  <si>
    <t>28615282A</t>
  </si>
  <si>
    <t>Koleno HTB DN  40 mm 45° PP</t>
  </si>
  <si>
    <t>725229102R00</t>
  </si>
  <si>
    <t>Montáž van ocel. a plastových s uzávěr.</t>
  </si>
  <si>
    <t>55421009A</t>
  </si>
  <si>
    <t>Vana smaltovaná 160x70x41 bílá 140 litrů</t>
  </si>
  <si>
    <t>725839204R00</t>
  </si>
  <si>
    <t>Montáž baterie vanové nástěnné G 3/4</t>
  </si>
  <si>
    <t>Baterie vanová směšov nástěnná s příslušenstvím</t>
  </si>
  <si>
    <t>725860310R00</t>
  </si>
  <si>
    <t>Odtok vanový HL560N, odpad D 40/50 mm</t>
  </si>
  <si>
    <t>725980113R00</t>
  </si>
  <si>
    <t>Dvířka vanová 400 x 400 mm</t>
  </si>
  <si>
    <t>ELEKTROINSTALACE (var. B)</t>
  </si>
  <si>
    <t>Výkaz výměr - stavba</t>
  </si>
  <si>
    <t>Vypínač řazení S1, L bílá, 10A, 230V, 50Hz, IP20</t>
  </si>
  <si>
    <t>Vypínač řazení S6+6, L bílá, 10A, 230V, 50Hz, IP20</t>
  </si>
  <si>
    <t>Zásuvka jednonásobná, L bílá, 16A, 230V, 50Hz, IP20</t>
  </si>
  <si>
    <t>416061122RX0</t>
  </si>
  <si>
    <t>Podhled minerální kazetový 60/60, atest na index šíření plamene is&lt;75mm/min, bez odkapávání při hoření, třída reakce na oheň A nebo B</t>
  </si>
  <si>
    <t>767581802R00</t>
  </si>
  <si>
    <t>Demontáž podhledů - lamel</t>
  </si>
  <si>
    <t>767584801R00</t>
  </si>
  <si>
    <t>Demontáž doplňků podhledů-zářivkových těles</t>
  </si>
  <si>
    <t>776511821R00</t>
  </si>
  <si>
    <t>Dveře jednkořídlé plné EI 30 DP3, 800/1970, hladké, PÚ lamino, zvýšený požadavek na neprůzvučnost křídla</t>
  </si>
  <si>
    <t>776431010R00</t>
  </si>
  <si>
    <t>Montáž podlahových soklíků z koberc. pásů na lištu</t>
  </si>
  <si>
    <t>776572100RT1</t>
  </si>
  <si>
    <t>Lepení povlakových podlah z pásů textilních pouze položení - koberec ve specifikaci</t>
  </si>
  <si>
    <t>Koberec zátěžový, třída 33, smyčkový, polyamid třída reakce na oheň nejméně Cfl-s1</t>
  </si>
  <si>
    <t>M21</t>
  </si>
  <si>
    <t>Elektromontáže</t>
  </si>
  <si>
    <t>210a02</t>
  </si>
  <si>
    <t>210a03</t>
  </si>
  <si>
    <t>210a04</t>
  </si>
  <si>
    <t>210a05</t>
  </si>
  <si>
    <t>210a06</t>
  </si>
  <si>
    <t>210a07</t>
  </si>
  <si>
    <t>210a08</t>
  </si>
  <si>
    <t>Montáž svítidel</t>
  </si>
  <si>
    <t>210a09</t>
  </si>
  <si>
    <t>chodby</t>
  </si>
  <si>
    <t>Výkaz výměr - stavba chodby</t>
  </si>
  <si>
    <t>210a10</t>
  </si>
  <si>
    <t>Lepení podlahových soklíků z vinylu včetně dodávky soklíku</t>
  </si>
  <si>
    <t>Montáž klozetových mís závěsných</t>
  </si>
  <si>
    <t>Stropní přisazené svítidlo, kruhové, bílý rámeček, zdroj GU10, LED 450lm, 2700-3000K (teplá bílá)</t>
  </si>
  <si>
    <t>Umyvadlo min. 60x47 cm otvor pro baterii bílé</t>
  </si>
  <si>
    <t>Sifon umyvadlový kovový</t>
  </si>
  <si>
    <t>Nástěnný držák na toaletní papír, kovový</t>
  </si>
  <si>
    <t>Nástěnný držák na hygienické sáčky, kovový</t>
  </si>
  <si>
    <t>Odpadkový koš na hygienické sáčky, kovový</t>
  </si>
  <si>
    <t>Nástěnný závěs na ručníky š.min. 600mm, kovový</t>
  </si>
  <si>
    <t>KRYCÍ LIST ROZPOČTU</t>
  </si>
  <si>
    <t>Projektant :</t>
  </si>
  <si>
    <t>Ing. arch. Ondřej Freudl</t>
  </si>
  <si>
    <t>Objednatel :</t>
  </si>
  <si>
    <t>ROZPOČTOVÉ NÁKLADY</t>
  </si>
  <si>
    <t>ZRN celkem</t>
  </si>
  <si>
    <t>VRN celkem</t>
  </si>
  <si>
    <t>Vypracoval</t>
  </si>
  <si>
    <t>Za zhotovitele</t>
  </si>
  <si>
    <t>Jméno :</t>
  </si>
  <si>
    <t>Datum :</t>
  </si>
  <si>
    <t>Podpis:</t>
  </si>
  <si>
    <t>Základ pro DPH</t>
  </si>
  <si>
    <t>%  činí :</t>
  </si>
  <si>
    <t>DPH</t>
  </si>
  <si>
    <t>CENA ZA OBJEKT CELKEM</t>
  </si>
  <si>
    <t>Poznámka :</t>
  </si>
  <si>
    <t>část zakázky :</t>
  </si>
  <si>
    <t>počet pokojů - varianta A</t>
  </si>
  <si>
    <t>počet pokojů - varianta B</t>
  </si>
  <si>
    <t>Zhotovitel:</t>
  </si>
  <si>
    <t>cena za jednotku bez DPH</t>
  </si>
  <si>
    <t>počet jednotek</t>
  </si>
  <si>
    <t>Kabel silový bezhalogenový 3x4</t>
  </si>
  <si>
    <t>Demontáž stávajících rozvodů</t>
  </si>
  <si>
    <t>Vyrovnání podlahy stěrkou Unirovnal tloušťky 4 mm</t>
  </si>
  <si>
    <t>Předstěna Ytong tl. 10 cm</t>
  </si>
  <si>
    <t>Revizní dvířka plast/nerez, 500x500 mm</t>
  </si>
  <si>
    <t>Osazení revizních dvířek do 0,50 m2</t>
  </si>
  <si>
    <t>Předstěna Ytong, tl.10 cm</t>
  </si>
  <si>
    <t>Obezdívky vaniček z desek Ytong tl. 10 cm</t>
  </si>
  <si>
    <t>Montáž klozetových mís závěsných včetně obezdívky nádrže</t>
  </si>
  <si>
    <t>Vanička sprchová - litý mramor obd. 100x80 cm, výška okraje min 5 cm</t>
  </si>
  <si>
    <t>KV07</t>
  </si>
  <si>
    <t>Háček na dveře nerez</t>
  </si>
  <si>
    <t>Vyrovnání podlahy stěrkou Unirovnal tloušťky 5 mm</t>
  </si>
  <si>
    <t>Vyrovnání podk.samoniv.hmotou Planolit 315 inter. nivelační hmota tl. 5 mm, penetrace</t>
  </si>
  <si>
    <t>pokládka povlakových podlah z vinylových dílců pouze položení - vinyl ve specifikaci</t>
  </si>
  <si>
    <t>Svítidlo LED, zapuštěné,  barva světla teplá bílá, 29W 2000lm</t>
  </si>
  <si>
    <t>Osazení revizních dvířek do příček, do 0,50 m2</t>
  </si>
  <si>
    <t>Revizní dvířka do příček, 500x500 mm</t>
  </si>
  <si>
    <t>Univerzita Karlova</t>
  </si>
  <si>
    <t>akce: UK - Revitalizace ubytování na 12. a 15. NP - Krystal</t>
  </si>
  <si>
    <t>UK - Revitalizace ubytování na 12. a 15. NP - Krystal</t>
  </si>
  <si>
    <t>Dveře sprchové zalamovací nebo posuvné , profily AL-elox  nebo leštěný, výplň čiré  tvrzeného skla o síle min 6 mm</t>
  </si>
  <si>
    <t>Klozet závěsný keramický bílý s předstěnovým závěsným systémem</t>
  </si>
  <si>
    <t>Baterie umyvadlová stojánková páková s keramickou kartuší a perlátorem výška výtoku min. 90 mm</t>
  </si>
  <si>
    <t>Set sprchový hadice kovová 175 cm, sprchová hlavice úsporná s reduktorem průtoku vody a provzdušňujícím zařízením jednopolohová,  růžice, držák kovový</t>
  </si>
  <si>
    <t>Baterie sprchová nástěnná páková s keramickou kartuší</t>
  </si>
  <si>
    <t>Tapeta strukturovaná nehořlavá , světlostálá , omyvatelná , tapeta odstranitelná bez poškození omítky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</si>
  <si>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Ostatní výrobky ve stejné kategorii:</t>
  </si>
  <si>
    <t xml:space="preserve">pokládka povlakových podlah z vinylových dílců pouze položení - vinyl ve specifikaci                                               </t>
  </si>
  <si>
    <t>Centrum Krystal</t>
  </si>
  <si>
    <t>Přezbrojení patrového rozvaděče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</si>
  <si>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</t>
  </si>
  <si>
    <t>Bezpečnostní kování s off-line bateriovou čtečkou na magnetická/RIFD média, zámek - elektromechanický samozamykací, kompatibilní se čtečkou, s požární odolností, funkce antipanic (spol. dodávka se čtečkou+kováním v barvě matný nerez) Chipové karty odpovídající již užívanému systému na 4 a 5 NP</t>
  </si>
  <si>
    <t xml:space="preserve">Dveře jednkořídlé 2/3 prosklené 800/1970, L/P, hladké, PÚ lamino hladké </t>
  </si>
  <si>
    <t>Kování rozetové, povrch a úprava dle specifikace investora</t>
  </si>
  <si>
    <t>ELEKTROINSTALACE</t>
  </si>
  <si>
    <t>Montáž podlah keram.,hladké, tmel, 30x30 cm Unifix 2K (lepidlo), ASO-Flexfuge (spár.hmota)</t>
  </si>
  <si>
    <t>Dlaždice keramická min. 30 x 30 cm např. RAKO CONCEPT</t>
  </si>
  <si>
    <t>Obkládačka keramická min. 200x400x7 mm např. RAKO CONCEPT  Zadavatel umožňuje použití i jiných, kvalitativně a technicky obdobných řešení, pokud bude vymezený kvalitativní standard dodržen  a nebo bude mít lepší parametry .</t>
  </si>
  <si>
    <t>Penetrace podkladu univerzální Primalex 1x  Zadavatel umožňuje použití i jiných, kvalitativně a technicky obdobných řešení, pokud bude vymezený kvalitativní standard dodržen  a nebo bude mít lepší parametry .</t>
  </si>
  <si>
    <t>Malba tekutá Primalex Plus, bílá, 2 x  Zadavatel umožňuje použití i jiných, kvalitativně a technicky obdobných řešení, pokud bude vymezený kvalitativní standard dodržen  a nebo bude mít lepší parametry .</t>
  </si>
  <si>
    <t>Malba tekutá Primalex Plus, barva, 2 x  Zadavatel umožňuje použití i jiných, kvalitativně a technicky obdobných řešení, pokud bude vymezený kvalitativní standard dodržen  a nebo bude mít lepší parametry .</t>
  </si>
  <si>
    <t>Montáž obkladů stěn, porovin.,tmel, nad 400x200 mm Unifix 2K (lepidlo), ASO-Flexfuge (spár.hmota)  Zadavatel umožňuje použití i jiných, kvalitativně a technicky obdobných řešení, pokud bude vymezený kvalitativní standard dodržen  a nebo bude mít lepší parametry .</t>
  </si>
  <si>
    <t>Montáž podlah keram.,hladké, tmel, 300x300 Unifix 2K (lepidlo), ASO-Flexfuge (spár.hmota)  Zadavatel umožňuje použití i jiných, kvalitativně a technicky obdobných řešení, pokud bude vymezený kvalitativní standard dodržen  a nebo bude mít lepší parametry .</t>
  </si>
  <si>
    <t>Dlaždice keramická rozměr min. 300 x300  např. RAKO CONCEPT  Zadavatel umožňuje použití i jiných, kvalitativně a technicky obdobných řešení, pokud bude vymezený kvalitativní standard dodržen  a nebo bude mít lepší parametry .</t>
  </si>
  <si>
    <t>Montáž obkladů stěn, porovin.,tmel, nad 40x20 cm Unifix 2K (lepidlo), ASO-Flexfuge (spár.hmota)  Zadavatel umožňuje použití i jiných, kvalitativně a technicky obdobných řešení, pokud bude vymezený kvalitativní standard dodržen  a nebo bude mít lepší parametry .</t>
  </si>
  <si>
    <t>Obkládačka keramická rozměr min. 200x400x7 mm např. RAKO CONCEPT  Zadavatel umožňuje použití i jiných, kvalitativně a technicky obdobných řešení, pokud bude vymezený kvalitativní standard dodržen  a nebo bude mít lepší parametry .</t>
  </si>
  <si>
    <t xml:space="preserve"> včerněě </t>
  </si>
  <si>
    <t>Tapeta strukturovaná nehořlavá , světlostálá , omyvatelná , tapeta odstranitelná bez poškození omítky včetně potřebného lepidla</t>
  </si>
  <si>
    <t>Lepení podlahových soklíků z vinylu včetně dodávky soklíku v provedení odpovídajícím podlahovým vinylovým lamelám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</si>
  <si>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zátěžová tř. odolnosti min. 33, reakce na pořár min. Bfl-s1</t>
  </si>
  <si>
    <t>Lepení podlahových soklíků včetně dodávky soklíku  v provedení odpovídajícím podlahovým vinylovým lamelám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</si>
  <si>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 viz. specifikace v příleze 6B</t>
  </si>
  <si>
    <t>Podlahová soklová lišta - s pružnými okraji, které přiléhají ke každému povrchu a tím kryjí nerovnosti stěn a podlah typu IZZI. Rozměr: 21 x55 mm</t>
  </si>
  <si>
    <t>Samostatný tank prázdný IZZI</t>
  </si>
  <si>
    <t>lištové spojky a přechodky</t>
  </si>
  <si>
    <t>Název stavby:</t>
  </si>
  <si>
    <t>Doba výstavby:</t>
  </si>
  <si>
    <t>Objednatel:</t>
  </si>
  <si>
    <t>Univerzita Karlova v Praze 
Univerzita Karlova v</t>
  </si>
  <si>
    <t>Druh stavby:</t>
  </si>
  <si>
    <t>Začátek výstavby:</t>
  </si>
  <si>
    <t>Projektant:</t>
  </si>
  <si>
    <t>Lokalita:</t>
  </si>
  <si>
    <t>Jose Martího 2/407, Praha 6 - Veleslavín</t>
  </si>
  <si>
    <t>Konec výstavby: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</si>
  <si>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</si>
  <si>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</si>
  <si>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</si>
  <si>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</si>
  <si>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</si>
  <si>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</si>
  <si>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</si>
  <si>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</si>
  <si>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</si>
  <si>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</si>
  <si>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</si>
  <si>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</si>
  <si>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</si>
  <si>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</si>
  <si>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</si>
  <si>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</si>
  <si>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</si>
  <si>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</si>
  <si>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</si>
  <si>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</si>
  <si>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</si>
  <si>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</si>
  <si>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</si>
  <si>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</si>
  <si>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</si>
  <si>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</si>
  <si>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</si>
  <si>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</si>
  <si>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Úprava povrchů vnitřní</t>
  </si>
  <si>
    <t>HS</t>
  </si>
  <si>
    <t>1</t>
  </si>
  <si>
    <t>612421411R00</t>
  </si>
  <si>
    <t>Oprava vápen.omítek stěn do 50 % pl. - hrubých</t>
  </si>
  <si>
    <t>RTS I / 2015</t>
  </si>
  <si>
    <t>61_</t>
  </si>
  <si>
    <t>6_</t>
  </si>
  <si>
    <t>_</t>
  </si>
  <si>
    <t>611421331RT2</t>
  </si>
  <si>
    <t>Oprava váp.omítek stropů do 30% plochy - štukových</t>
  </si>
  <si>
    <t>62</t>
  </si>
  <si>
    <t>622471115R00</t>
  </si>
  <si>
    <t>Úprava stěn aktivovaným štukem</t>
  </si>
  <si>
    <t>62_</t>
  </si>
  <si>
    <t>63</t>
  </si>
  <si>
    <t>630900030RAB</t>
  </si>
  <si>
    <t>Vybourání dlažby a podkladního betonu</t>
  </si>
  <si>
    <t>63_</t>
  </si>
  <si>
    <t>PS</t>
  </si>
  <si>
    <t>5</t>
  </si>
  <si>
    <t>711_</t>
  </si>
  <si>
    <t>71_</t>
  </si>
  <si>
    <t>6</t>
  </si>
  <si>
    <t>Hydroizolační povlak - nátěr nebo stěrka</t>
  </si>
  <si>
    <t>7</t>
  </si>
  <si>
    <t>8</t>
  </si>
  <si>
    <t>9</t>
  </si>
  <si>
    <t>721_</t>
  </si>
  <si>
    <t>72_</t>
  </si>
  <si>
    <t>10</t>
  </si>
  <si>
    <t>11</t>
  </si>
  <si>
    <t>12</t>
  </si>
  <si>
    <t>13</t>
  </si>
  <si>
    <t>721194105RX</t>
  </si>
  <si>
    <t>14</t>
  </si>
  <si>
    <t>721194109RX1</t>
  </si>
  <si>
    <t>15</t>
  </si>
  <si>
    <t>16</t>
  </si>
  <si>
    <t>17</t>
  </si>
  <si>
    <t>18</t>
  </si>
  <si>
    <t>722_</t>
  </si>
  <si>
    <t>19</t>
  </si>
  <si>
    <t>20</t>
  </si>
  <si>
    <t>21</t>
  </si>
  <si>
    <t>22</t>
  </si>
  <si>
    <t>Izolace návleková MIRELON PRO tl. stěny 13 mm</t>
  </si>
  <si>
    <t>23</t>
  </si>
  <si>
    <t>Přípojky vodovodní pro pevné připojení DN 20</t>
  </si>
  <si>
    <t>24</t>
  </si>
  <si>
    <t>25</t>
  </si>
  <si>
    <t>26</t>
  </si>
  <si>
    <t>27</t>
  </si>
  <si>
    <t>28</t>
  </si>
  <si>
    <t>725_</t>
  </si>
  <si>
    <t>29</t>
  </si>
  <si>
    <t>30</t>
  </si>
  <si>
    <t>31</t>
  </si>
  <si>
    <t>32</t>
  </si>
  <si>
    <t>33</t>
  </si>
  <si>
    <t>34</t>
  </si>
  <si>
    <t>725119401R00</t>
  </si>
  <si>
    <t>Montáž předstěnových systémů pro zazdění</t>
  </si>
  <si>
    <t>35</t>
  </si>
  <si>
    <t>725119306R00</t>
  </si>
  <si>
    <t>Montáž klozetu závěsného</t>
  </si>
  <si>
    <t>36</t>
  </si>
  <si>
    <t>725014121R00</t>
  </si>
  <si>
    <t>Klozet závěsný , hlub. splach., bílý včetně tlačítka</t>
  </si>
  <si>
    <t>37</t>
  </si>
  <si>
    <t>38</t>
  </si>
  <si>
    <t>Sifon umyvadlový chromovaný</t>
  </si>
  <si>
    <t>Podlahy z dlaždic</t>
  </si>
  <si>
    <t>39</t>
  </si>
  <si>
    <t>771_</t>
  </si>
  <si>
    <t>77_</t>
  </si>
  <si>
    <t>40</t>
  </si>
  <si>
    <t>Vyrovnání podk.samoniv.hmotou Planolit 315 inter.</t>
  </si>
  <si>
    <t>41</t>
  </si>
  <si>
    <t>Montáž podlah keram.,hladké, tmel, 45x45 cm</t>
  </si>
  <si>
    <t>42</t>
  </si>
  <si>
    <t>43</t>
  </si>
  <si>
    <t>44</t>
  </si>
  <si>
    <t>771475014RT8</t>
  </si>
  <si>
    <t>Obklad soklíků keram.rovných, tmel,výška 10 cm</t>
  </si>
  <si>
    <t>Obklady (keramické)</t>
  </si>
  <si>
    <t>45</t>
  </si>
  <si>
    <t>781900010RA0</t>
  </si>
  <si>
    <t>Odsekání obkladů vnitřních</t>
  </si>
  <si>
    <t>781_</t>
  </si>
  <si>
    <t>78_</t>
  </si>
  <si>
    <t>46</t>
  </si>
  <si>
    <t>47</t>
  </si>
  <si>
    <t>Montáž obkladů stěn, porovin.,tmel, nad 20x25 cm</t>
  </si>
  <si>
    <t>48</t>
  </si>
  <si>
    <t>49</t>
  </si>
  <si>
    <t>Nátěr syntetický kovových konstrukcí dvojnásobný</t>
  </si>
  <si>
    <t>783_</t>
  </si>
  <si>
    <t>50</t>
  </si>
  <si>
    <t>784_</t>
  </si>
  <si>
    <t>51</t>
  </si>
  <si>
    <t>52</t>
  </si>
  <si>
    <t>96_</t>
  </si>
  <si>
    <t>9_</t>
  </si>
  <si>
    <t>53</t>
  </si>
  <si>
    <t>97</t>
  </si>
  <si>
    <t>54</t>
  </si>
  <si>
    <t>978013161R00</t>
  </si>
  <si>
    <t>Otlučení omítek vnitřních stěn v rozsahu do 50 %</t>
  </si>
  <si>
    <t>97_</t>
  </si>
  <si>
    <t>55</t>
  </si>
  <si>
    <t>978011141R00</t>
  </si>
  <si>
    <t>Otlučení omítek vnitřních vápenných stropů do 30 %</t>
  </si>
  <si>
    <t>H711</t>
  </si>
  <si>
    <t>56</t>
  </si>
  <si>
    <t>H711_</t>
  </si>
  <si>
    <t>H721</t>
  </si>
  <si>
    <t>57</t>
  </si>
  <si>
    <t>H721_</t>
  </si>
  <si>
    <t>H722</t>
  </si>
  <si>
    <t>58</t>
  </si>
  <si>
    <t>H722_</t>
  </si>
  <si>
    <t>H725</t>
  </si>
  <si>
    <t>59</t>
  </si>
  <si>
    <t>H725_</t>
  </si>
  <si>
    <t>H771</t>
  </si>
  <si>
    <t>60</t>
  </si>
  <si>
    <t>H771_</t>
  </si>
  <si>
    <t>H781</t>
  </si>
  <si>
    <t>H781_</t>
  </si>
  <si>
    <t>MP</t>
  </si>
  <si>
    <t>demontáž rozvodů elektro</t>
  </si>
  <si>
    <t>M21_</t>
  </si>
  <si>
    <t>210110054RT6</t>
  </si>
  <si>
    <t>Spínač zapuštěný střídavý dvojitý,  řazení 6+6</t>
  </si>
  <si>
    <t>210290681R00</t>
  </si>
  <si>
    <t>65</t>
  </si>
  <si>
    <t>210112041R00</t>
  </si>
  <si>
    <t>Montáž vypínače</t>
  </si>
  <si>
    <t>S</t>
  </si>
  <si>
    <t>Přesuny sutí</t>
  </si>
  <si>
    <t>66</t>
  </si>
  <si>
    <t>S_</t>
  </si>
  <si>
    <t>67</t>
  </si>
  <si>
    <t>68</t>
  </si>
  <si>
    <t>69</t>
  </si>
  <si>
    <t>70</t>
  </si>
  <si>
    <t>71</t>
  </si>
  <si>
    <t>Ostatní materiál</t>
  </si>
  <si>
    <t>OM</t>
  </si>
  <si>
    <t>72</t>
  </si>
  <si>
    <t>28615402.A</t>
  </si>
  <si>
    <t>Redukce nesouosá HTR DN  70/  50 mm PP</t>
  </si>
  <si>
    <t>0</t>
  </si>
  <si>
    <t>Z99999_</t>
  </si>
  <si>
    <t>Z_</t>
  </si>
  <si>
    <t>73</t>
  </si>
  <si>
    <t>28615463.A</t>
  </si>
  <si>
    <t>74</t>
  </si>
  <si>
    <t>28615466.A</t>
  </si>
  <si>
    <t>75</t>
  </si>
  <si>
    <t>28615287.A</t>
  </si>
  <si>
    <t>Koleno HTB D 50 mm 45° PP</t>
  </si>
  <si>
    <t>76</t>
  </si>
  <si>
    <t>28615335.A</t>
  </si>
  <si>
    <t>Odbočka HTEA D 50/ 40 mm 45° PP</t>
  </si>
  <si>
    <t>77</t>
  </si>
  <si>
    <t>78</t>
  </si>
  <si>
    <t>28615299.A</t>
  </si>
  <si>
    <t>Koleno HTB D 110 mm 87° PP</t>
  </si>
  <si>
    <t>79</t>
  </si>
  <si>
    <t>55162357.A0</t>
  </si>
  <si>
    <t>80</t>
  </si>
  <si>
    <t>55141112</t>
  </si>
  <si>
    <t>Ventil rohový mosazný IVAR.ART 224 1/2" x 3/8"</t>
  </si>
  <si>
    <t>81</t>
  </si>
  <si>
    <t>64214452</t>
  </si>
  <si>
    <t>Umyvadlo MIO 60x47 cm otvor pro baterii bílé</t>
  </si>
  <si>
    <t>82</t>
  </si>
  <si>
    <t>551674064</t>
  </si>
  <si>
    <t>83</t>
  </si>
  <si>
    <t>55144200</t>
  </si>
  <si>
    <t>84</t>
  </si>
  <si>
    <t>55149005</t>
  </si>
  <si>
    <t>Držák toaletního papíru kovový</t>
  </si>
  <si>
    <t>85</t>
  </si>
  <si>
    <t>597813700</t>
  </si>
  <si>
    <t>Obkládačka Cuarcita</t>
  </si>
  <si>
    <t>86</t>
  </si>
  <si>
    <t>597623142</t>
  </si>
  <si>
    <t>Dlaždice 45*45 Cuarcita</t>
  </si>
  <si>
    <t>87</t>
  </si>
  <si>
    <t>34823010</t>
  </si>
  <si>
    <t>Stropní přisazené svítidlo, kruhové ? 300mm, skleněné matované stínítko, LED zdroj, min. 800lm, barva světla 2700-3000K (teplá bílá)</t>
  </si>
  <si>
    <t>Celkem:</t>
  </si>
  <si>
    <t>Poznámka:</t>
  </si>
  <si>
    <t>Centrum Krystal - sociální zařízení 12. - 15.NP</t>
  </si>
  <si>
    <t>Stavební rozpočet pro jedno podlaží</t>
  </si>
  <si>
    <t>společné WC na bloku A2</t>
  </si>
  <si>
    <t>Podlahová soklová lišta pro vedení kabeláže v dekoru podlahy - s pružnými okraji, které přiléhají ke každému povrchu a tím kryjí nerovnosti stěn a podlah typu        Rozměr max. 25 x65 mm</t>
  </si>
  <si>
    <t>Nástěnná instalační krabice pro libovolné zásuvky 230V, TV, telefon a internet</t>
  </si>
  <si>
    <t>stavební výtah</t>
  </si>
  <si>
    <t>Stavební výtah pro obsluhu staveniště</t>
  </si>
  <si>
    <t>umístění :</t>
  </si>
  <si>
    <t>vnější plášť budovy</t>
  </si>
  <si>
    <t>počet stanic :</t>
  </si>
  <si>
    <t>1+ 6</t>
  </si>
  <si>
    <t>(nástupní + 10. - 15. NP)</t>
  </si>
  <si>
    <t>Celkem cena bez DPH:</t>
  </si>
  <si>
    <t>pokoje 1011-1111</t>
  </si>
  <si>
    <t>pokoj 1011 - 1111</t>
  </si>
  <si>
    <t>pokoj varianta A (37 pokojů)</t>
  </si>
  <si>
    <t>pokoj varianta B (19 pokojů)</t>
  </si>
  <si>
    <t>pokoj bez koupelny (1011,1111)</t>
  </si>
  <si>
    <t>vyhrazené plnění - stavební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</si>
</sst>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000"/>
    <numFmt numFmtId="165" formatCode="#,##0.0"/>
    <numFmt numFmtId="166" formatCode="#,##0.00\ _K_č"/>
    <numFmt numFmtId="167" formatCode="dd/mm/yy"/>
    <numFmt numFmtId="168" formatCode="#,##0.00\ &quot;Kč&quot;"/>
  </numFmts>
  <fonts count="40">
    <font>
      <sz val="10"/>
      <name val="Arial CE"/>
      <family val="2"/>
    </font>
    <font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Times New Roman CE"/>
      <family val="1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.5"/>
      <name val="Cambria"/>
      <family val="1"/>
      <scheme val="major"/>
    </font>
    <font>
      <sz val="11.5"/>
      <name val="Cambria"/>
      <family val="1"/>
      <scheme val="major"/>
    </font>
    <font>
      <sz val="9"/>
      <name val="Cambria"/>
      <family val="1"/>
      <scheme val="major"/>
    </font>
    <font>
      <b/>
      <sz val="18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/>
      <top/>
      <bottom style="thin"/>
    </border>
    <border>
      <left style="hair"/>
      <right style="medium"/>
      <top style="hair"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0" fillId="0" borderId="0">
      <alignment/>
      <protection/>
    </xf>
  </cellStyleXfs>
  <cellXfs count="387">
    <xf numFmtId="0" fontId="0" fillId="0" borderId="0" xfId="0"/>
    <xf numFmtId="0" fontId="2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right"/>
      <protection/>
    </xf>
    <xf numFmtId="0" fontId="2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3" xfId="20" applyFont="1" applyBorder="1">
      <alignment/>
      <protection/>
    </xf>
    <xf numFmtId="0" fontId="7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/>
      <protection/>
    </xf>
    <xf numFmtId="49" fontId="4" fillId="0" borderId="4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5" xfId="20" applyNumberFormat="1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11" fillId="0" borderId="4" xfId="20" applyFont="1" applyFill="1" applyBorder="1">
      <alignment/>
      <protection/>
    </xf>
    <xf numFmtId="0" fontId="5" fillId="0" borderId="6" xfId="20" applyFont="1" applyFill="1" applyBorder="1" applyAlignment="1">
      <alignment horizontal="center"/>
      <protection/>
    </xf>
    <xf numFmtId="49" fontId="5" fillId="0" borderId="6" xfId="20" applyNumberFormat="1" applyFont="1" applyFill="1" applyBorder="1" applyAlignment="1">
      <alignment horizontal="left"/>
      <protection/>
    </xf>
    <xf numFmtId="0" fontId="5" fillId="0" borderId="6" xfId="20" applyFont="1" applyFill="1" applyBorder="1">
      <alignment/>
      <protection/>
    </xf>
    <xf numFmtId="0" fontId="3" fillId="0" borderId="6" xfId="20" applyFont="1" applyFill="1" applyBorder="1" applyAlignment="1">
      <alignment horizontal="center"/>
      <protection/>
    </xf>
    <xf numFmtId="0" fontId="3" fillId="0" borderId="6" xfId="20" applyNumberFormat="1" applyFont="1" applyFill="1" applyBorder="1" applyAlignment="1">
      <alignment horizontal="right"/>
      <protection/>
    </xf>
    <xf numFmtId="0" fontId="3" fillId="0" borderId="6" xfId="20" applyNumberFormat="1" applyFont="1" applyFill="1" applyBorder="1">
      <alignment/>
      <protection/>
    </xf>
    <xf numFmtId="0" fontId="6" fillId="0" borderId="7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Border="1" applyAlignment="1">
      <alignment horizontal="right"/>
      <protection/>
    </xf>
    <xf numFmtId="0" fontId="3" fillId="0" borderId="6" xfId="20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0" fontId="3" fillId="0" borderId="6" xfId="20" applyFont="1" applyFill="1" applyBorder="1" applyAlignment="1">
      <alignment vertical="center" wrapText="1"/>
      <protection/>
    </xf>
    <xf numFmtId="49" fontId="3" fillId="0" borderId="6" xfId="20" applyNumberFormat="1" applyFont="1" applyFill="1" applyBorder="1" applyAlignment="1">
      <alignment horizontal="center" vertical="center" shrinkToFit="1"/>
      <protection/>
    </xf>
    <xf numFmtId="4" fontId="3" fillId="0" borderId="6" xfId="20" applyNumberFormat="1" applyFont="1" applyFill="1" applyBorder="1" applyAlignment="1">
      <alignment horizontal="right" vertical="center"/>
      <protection/>
    </xf>
    <xf numFmtId="4" fontId="3" fillId="0" borderId="6" xfId="20" applyNumberFormat="1" applyFont="1" applyFill="1" applyBorder="1" applyAlignment="1">
      <alignment vertical="center"/>
      <protection/>
    </xf>
    <xf numFmtId="164" fontId="3" fillId="0" borderId="6" xfId="20" applyNumberFormat="1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49" fontId="2" fillId="0" borderId="8" xfId="20" applyNumberFormat="1" applyFont="1" applyFill="1" applyBorder="1" applyAlignment="1">
      <alignment horizontal="left" vertical="center"/>
      <protection/>
    </xf>
    <xf numFmtId="0" fontId="2" fillId="0" borderId="8" xfId="20" applyFont="1" applyFill="1" applyBorder="1" applyAlignment="1">
      <alignment vertical="center"/>
      <protection/>
    </xf>
    <xf numFmtId="4" fontId="3" fillId="0" borderId="8" xfId="20" applyNumberFormat="1" applyFont="1" applyFill="1" applyBorder="1" applyAlignment="1">
      <alignment horizontal="right" vertical="center"/>
      <protection/>
    </xf>
    <xf numFmtId="4" fontId="5" fillId="0" borderId="8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64" fontId="5" fillId="0" borderId="8" xfId="20" applyNumberFormat="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49" fontId="5" fillId="0" borderId="6" xfId="20" applyNumberFormat="1" applyFont="1" applyFill="1" applyBorder="1" applyAlignment="1">
      <alignment horizontal="left" vertical="center"/>
      <protection/>
    </xf>
    <xf numFmtId="0" fontId="5" fillId="0" borderId="6" xfId="20" applyFont="1" applyFill="1" applyBorder="1" applyAlignment="1">
      <alignment vertical="center"/>
      <protection/>
    </xf>
    <xf numFmtId="0" fontId="3" fillId="0" borderId="6" xfId="20" applyNumberFormat="1" applyFont="1" applyFill="1" applyBorder="1" applyAlignment="1">
      <alignment horizontal="right" vertical="center"/>
      <protection/>
    </xf>
    <xf numFmtId="0" fontId="3" fillId="0" borderId="6" xfId="20" applyNumberFormat="1" applyFont="1" applyFill="1" applyBorder="1" applyAlignment="1">
      <alignment vertical="center"/>
      <protection/>
    </xf>
    <xf numFmtId="0" fontId="6" fillId="0" borderId="7" xfId="20" applyNumberFormat="1" applyFont="1" applyFill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4" fontId="13" fillId="0" borderId="0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16" fillId="0" borderId="0" xfId="0" applyFont="1" applyBorder="1"/>
    <xf numFmtId="0" fontId="16" fillId="0" borderId="0" xfId="0" applyFont="1"/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19" fillId="0" borderId="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20" fillId="0" borderId="18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left" vertical="top" wrapText="1"/>
    </xf>
    <xf numFmtId="2" fontId="19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Border="1" applyAlignment="1" applyProtection="1">
      <alignment horizontal="left" vertical="top" wrapText="1"/>
      <protection/>
    </xf>
    <xf numFmtId="49" fontId="18" fillId="0" borderId="24" xfId="0" applyNumberFormat="1" applyFont="1" applyBorder="1" applyAlignment="1">
      <alignment horizontal="center"/>
    </xf>
    <xf numFmtId="0" fontId="18" fillId="0" borderId="24" xfId="0" applyFont="1" applyBorder="1"/>
    <xf numFmtId="0" fontId="18" fillId="0" borderId="0" xfId="0" applyFont="1" applyBorder="1"/>
    <xf numFmtId="0" fontId="18" fillId="0" borderId="0" xfId="0" applyFont="1"/>
    <xf numFmtId="0" fontId="18" fillId="0" borderId="24" xfId="0" applyFont="1" applyFill="1" applyBorder="1"/>
    <xf numFmtId="0" fontId="23" fillId="0" borderId="24" xfId="0" applyFont="1" applyFill="1" applyBorder="1" applyAlignment="1" applyProtection="1">
      <alignment horizontal="left" vertical="top" wrapText="1"/>
      <protection/>
    </xf>
    <xf numFmtId="0" fontId="24" fillId="0" borderId="24" xfId="0" applyFont="1" applyFill="1" applyBorder="1" applyAlignment="1">
      <alignment horizontal="left" vertical="top"/>
    </xf>
    <xf numFmtId="0" fontId="0" fillId="0" borderId="23" xfId="0" applyNumberFormat="1" applyFont="1" applyBorder="1" applyAlignment="1">
      <alignment horizontal="center"/>
    </xf>
    <xf numFmtId="0" fontId="21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center" vertical="center"/>
    </xf>
    <xf numFmtId="0" fontId="23" fillId="0" borderId="24" xfId="0" applyFont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>
      <alignment horizontal="left" vertical="center"/>
    </xf>
    <xf numFmtId="49" fontId="18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18" fillId="0" borderId="26" xfId="0" applyFont="1" applyBorder="1"/>
    <xf numFmtId="0" fontId="23" fillId="0" borderId="26" xfId="0" applyFont="1" applyBorder="1" applyAlignment="1" applyProtection="1">
      <alignment horizontal="left" vertical="top" wrapText="1"/>
      <protection/>
    </xf>
    <xf numFmtId="0" fontId="24" fillId="0" borderId="26" xfId="0" applyFont="1" applyFill="1" applyBorder="1" applyAlignment="1">
      <alignment horizontal="left" vertical="top"/>
    </xf>
    <xf numFmtId="49" fontId="0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18" fillId="0" borderId="28" xfId="0" applyFont="1" applyBorder="1"/>
    <xf numFmtId="0" fontId="23" fillId="0" borderId="28" xfId="0" applyFont="1" applyBorder="1" applyAlignment="1" applyProtection="1">
      <alignment horizontal="left" vertical="top" wrapText="1"/>
      <protection/>
    </xf>
    <xf numFmtId="0" fontId="24" fillId="0" borderId="28" xfId="0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7" fillId="0" borderId="0" xfId="0" applyFont="1" applyBorder="1"/>
    <xf numFmtId="0" fontId="1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1" fontId="0" fillId="0" borderId="0" xfId="0" applyNumberFormat="1" applyBorder="1"/>
    <xf numFmtId="165" fontId="0" fillId="0" borderId="0" xfId="0" applyNumberFormat="1" applyFont="1" applyBorder="1" applyAlignment="1">
      <alignment vertical="top"/>
    </xf>
    <xf numFmtId="165" fontId="0" fillId="0" borderId="0" xfId="0" applyNumberFormat="1" applyBorder="1"/>
    <xf numFmtId="166" fontId="17" fillId="0" borderId="0" xfId="0" applyNumberFormat="1" applyFont="1" applyBorder="1"/>
    <xf numFmtId="0" fontId="0" fillId="0" borderId="29" xfId="0" applyBorder="1"/>
    <xf numFmtId="0" fontId="0" fillId="0" borderId="18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20" fillId="0" borderId="0" xfId="0" applyNumberFormat="1" applyFont="1" applyBorder="1"/>
    <xf numFmtId="4" fontId="20" fillId="0" borderId="25" xfId="0" applyNumberFormat="1" applyFont="1" applyBorder="1" applyAlignment="1">
      <alignment horizontal="center" vertical="top"/>
    </xf>
    <xf numFmtId="0" fontId="20" fillId="0" borderId="24" xfId="0" applyFont="1" applyBorder="1" applyAlignment="1">
      <alignment horizontal="right"/>
    </xf>
    <xf numFmtId="4" fontId="20" fillId="0" borderId="25" xfId="0" applyNumberFormat="1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/>
    </xf>
    <xf numFmtId="0" fontId="5" fillId="0" borderId="0" xfId="20" applyFont="1" applyFill="1" applyBorder="1" applyAlignment="1">
      <alignment vertical="center"/>
      <protection/>
    </xf>
    <xf numFmtId="49" fontId="2" fillId="0" borderId="0" xfId="20" applyNumberFormat="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49" fontId="0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3" fillId="0" borderId="11" xfId="20" applyFont="1" applyFill="1" applyBorder="1" applyAlignment="1">
      <alignment vertical="center" wrapText="1"/>
      <protection/>
    </xf>
    <xf numFmtId="0" fontId="18" fillId="0" borderId="11" xfId="0" applyFont="1" applyBorder="1"/>
    <xf numFmtId="0" fontId="18" fillId="0" borderId="11" xfId="0" applyFont="1" applyBorder="1" applyAlignment="1">
      <alignment horizontal="left"/>
    </xf>
    <xf numFmtId="4" fontId="18" fillId="0" borderId="11" xfId="0" applyNumberFormat="1" applyFont="1" applyBorder="1" applyAlignment="1">
      <alignment horizontal="left"/>
    </xf>
    <xf numFmtId="4" fontId="20" fillId="0" borderId="11" xfId="0" applyNumberFormat="1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8" fillId="0" borderId="0" xfId="0" applyFont="1"/>
    <xf numFmtId="0" fontId="0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3" fillId="0" borderId="8" xfId="20" applyFont="1" applyFill="1" applyBorder="1" applyAlignment="1">
      <alignment horizontal="center"/>
      <protection/>
    </xf>
    <xf numFmtId="49" fontId="2" fillId="0" borderId="8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4" fontId="3" fillId="0" borderId="8" xfId="20" applyNumberFormat="1" applyFont="1" applyFill="1" applyBorder="1" applyAlignment="1">
      <alignment horizontal="right"/>
      <protection/>
    </xf>
    <xf numFmtId="4" fontId="5" fillId="0" borderId="8" xfId="20" applyNumberFormat="1" applyFont="1" applyFill="1" applyBorder="1">
      <alignment/>
      <protection/>
    </xf>
    <xf numFmtId="0" fontId="5" fillId="0" borderId="8" xfId="20" applyFont="1" applyFill="1" applyBorder="1">
      <alignment/>
      <protection/>
    </xf>
    <xf numFmtId="164" fontId="5" fillId="0" borderId="8" xfId="20" applyNumberFormat="1" applyFont="1" applyFill="1" applyBorder="1">
      <alignment/>
      <protection/>
    </xf>
    <xf numFmtId="0" fontId="12" fillId="0" borderId="0" xfId="20" applyFont="1" applyAlignment="1">
      <alignment/>
      <protection/>
    </xf>
    <xf numFmtId="0" fontId="13" fillId="0" borderId="0" xfId="20" applyFont="1" applyBorder="1">
      <alignment/>
      <protection/>
    </xf>
    <xf numFmtId="3" fontId="13" fillId="0" borderId="0" xfId="20" applyNumberFormat="1" applyFont="1" applyBorder="1" applyAlignment="1">
      <alignment horizontal="right"/>
      <protection/>
    </xf>
    <xf numFmtId="4" fontId="13" fillId="0" borderId="0" xfId="20" applyNumberFormat="1" applyFont="1" applyBorder="1">
      <alignment/>
      <protection/>
    </xf>
    <xf numFmtId="0" fontId="12" fillId="0" borderId="0" xfId="20" applyFont="1" applyBorder="1" applyAlignment="1">
      <alignment/>
      <protection/>
    </xf>
    <xf numFmtId="0" fontId="3" fillId="2" borderId="6" xfId="20" applyFont="1" applyFill="1" applyBorder="1" applyAlignment="1">
      <alignment vertical="center" wrapText="1"/>
      <protection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/>
    <xf numFmtId="0" fontId="26" fillId="0" borderId="0" xfId="0" applyFont="1" applyBorder="1" applyAlignment="1">
      <alignment horizontal="centerContinuous"/>
    </xf>
    <xf numFmtId="0" fontId="26" fillId="0" borderId="9" xfId="0" applyFont="1" applyBorder="1"/>
    <xf numFmtId="0" fontId="26" fillId="0" borderId="0" xfId="0" applyFont="1"/>
    <xf numFmtId="0" fontId="27" fillId="0" borderId="0" xfId="0" applyFont="1" applyAlignment="1">
      <alignment horizontal="left"/>
    </xf>
    <xf numFmtId="0" fontId="27" fillId="0" borderId="15" xfId="0" applyFont="1" applyBorder="1"/>
    <xf numFmtId="0" fontId="27" fillId="0" borderId="14" xfId="0" applyFont="1" applyBorder="1"/>
    <xf numFmtId="0" fontId="27" fillId="0" borderId="31" xfId="0" applyFont="1" applyBorder="1"/>
    <xf numFmtId="0" fontId="27" fillId="0" borderId="18" xfId="0" applyFont="1" applyBorder="1"/>
    <xf numFmtId="0" fontId="27" fillId="0" borderId="10" xfId="0" applyFont="1" applyBorder="1"/>
    <xf numFmtId="0" fontId="27" fillId="0" borderId="32" xfId="0" applyFont="1" applyBorder="1"/>
    <xf numFmtId="0" fontId="27" fillId="0" borderId="33" xfId="0" applyFont="1" applyBorder="1"/>
    <xf numFmtId="0" fontId="27" fillId="0" borderId="34" xfId="0" applyFont="1" applyBorder="1"/>
    <xf numFmtId="0" fontId="27" fillId="0" borderId="35" xfId="0" applyFont="1" applyBorder="1"/>
    <xf numFmtId="0" fontId="27" fillId="0" borderId="36" xfId="0" applyFont="1" applyBorder="1"/>
    <xf numFmtId="0" fontId="27" fillId="0" borderId="0" xfId="0" applyFont="1" applyBorder="1"/>
    <xf numFmtId="0" fontId="27" fillId="0" borderId="29" xfId="0" applyFont="1" applyBorder="1"/>
    <xf numFmtId="0" fontId="27" fillId="0" borderId="0" xfId="0" applyFont="1" applyBorder="1" applyAlignment="1">
      <alignment horizontal="right"/>
    </xf>
    <xf numFmtId="167" fontId="27" fillId="0" borderId="0" xfId="0" applyNumberFormat="1" applyFont="1" applyBorder="1"/>
    <xf numFmtId="0" fontId="27" fillId="0" borderId="34" xfId="0" applyNumberFormat="1" applyFont="1" applyBorder="1" applyAlignment="1">
      <alignment horizontal="right"/>
    </xf>
    <xf numFmtId="168" fontId="27" fillId="0" borderId="37" xfId="0" applyNumberFormat="1" applyFont="1" applyBorder="1"/>
    <xf numFmtId="168" fontId="27" fillId="0" borderId="0" xfId="0" applyNumberFormat="1" applyFont="1" applyBorder="1"/>
    <xf numFmtId="0" fontId="26" fillId="0" borderId="38" xfId="0" applyFont="1" applyFill="1" applyBorder="1"/>
    <xf numFmtId="0" fontId="26" fillId="0" borderId="39" xfId="0" applyFont="1" applyFill="1" applyBorder="1"/>
    <xf numFmtId="0" fontId="26" fillId="0" borderId="40" xfId="0" applyFont="1" applyFill="1" applyBorder="1"/>
    <xf numFmtId="168" fontId="26" fillId="0" borderId="39" xfId="0" applyNumberFormat="1" applyFont="1" applyFill="1" applyBorder="1"/>
    <xf numFmtId="0" fontId="26" fillId="0" borderId="12" xfId="0" applyFont="1" applyFill="1" applyBorder="1"/>
    <xf numFmtId="0" fontId="27" fillId="0" borderId="0" xfId="0" applyFont="1" applyAlignment="1">
      <alignment/>
    </xf>
    <xf numFmtId="0" fontId="27" fillId="0" borderId="0" xfId="0" applyFont="1" applyAlignment="1">
      <alignment vertical="justify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41" xfId="0" applyFont="1" applyBorder="1"/>
    <xf numFmtId="0" fontId="27" fillId="0" borderId="0" xfId="0" applyFont="1" applyBorder="1" applyAlignment="1">
      <alignment horizontal="centerContinuous"/>
    </xf>
    <xf numFmtId="44" fontId="27" fillId="0" borderId="0" xfId="21" applyFont="1" applyBorder="1" applyAlignment="1">
      <alignment horizontal="left"/>
    </xf>
    <xf numFmtId="0" fontId="27" fillId="0" borderId="4" xfId="0" applyFont="1" applyBorder="1" applyAlignment="1">
      <alignment horizontal="centerContinuous"/>
    </xf>
    <xf numFmtId="0" fontId="26" fillId="0" borderId="9" xfId="0" applyFont="1" applyFill="1" applyBorder="1"/>
    <xf numFmtId="0" fontId="26" fillId="0" borderId="0" xfId="0" applyFont="1" applyFill="1" applyBorder="1"/>
    <xf numFmtId="0" fontId="26" fillId="0" borderId="18" xfId="0" applyFont="1" applyFill="1" applyBorder="1"/>
    <xf numFmtId="168" fontId="26" fillId="0" borderId="0" xfId="0" applyNumberFormat="1" applyFont="1" applyFill="1" applyBorder="1"/>
    <xf numFmtId="0" fontId="26" fillId="0" borderId="10" xfId="0" applyFont="1" applyFill="1" applyBorder="1"/>
    <xf numFmtId="0" fontId="27" fillId="0" borderId="42" xfId="0" applyFont="1" applyBorder="1"/>
    <xf numFmtId="0" fontId="29" fillId="0" borderId="0" xfId="0" applyFont="1" applyAlignment="1">
      <alignment horizontal="centerContinuous"/>
    </xf>
    <xf numFmtId="0" fontId="3" fillId="0" borderId="6" xfId="20" applyNumberFormat="1" applyFont="1" applyFill="1" applyBorder="1" applyAlignment="1" applyProtection="1">
      <alignment horizontal="right"/>
      <protection locked="0"/>
    </xf>
    <xf numFmtId="4" fontId="3" fillId="0" borderId="6" xfId="20" applyNumberFormat="1" applyFont="1" applyFill="1" applyBorder="1" applyAlignment="1" applyProtection="1">
      <alignment horizontal="right" vertical="center"/>
      <protection locked="0"/>
    </xf>
    <xf numFmtId="4" fontId="3" fillId="0" borderId="8" xfId="20" applyNumberFormat="1" applyFont="1" applyFill="1" applyBorder="1" applyAlignment="1" applyProtection="1">
      <alignment horizontal="right" vertical="center"/>
      <protection locked="0"/>
    </xf>
    <xf numFmtId="0" fontId="3" fillId="0" borderId="6" xfId="20" applyNumberFormat="1" applyFont="1" applyFill="1" applyBorder="1" applyAlignment="1" applyProtection="1">
      <alignment horizontal="right" vertical="center"/>
      <protection locked="0"/>
    </xf>
    <xf numFmtId="0" fontId="4" fillId="0" borderId="5" xfId="20" applyFont="1" applyFill="1" applyBorder="1" applyAlignment="1">
      <alignment horizontal="center" wrapText="1"/>
      <protection/>
    </xf>
    <xf numFmtId="0" fontId="4" fillId="0" borderId="5" xfId="20" applyNumberFormat="1" applyFont="1" applyFill="1" applyBorder="1" applyAlignment="1">
      <alignment horizontal="center" wrapText="1"/>
      <protection/>
    </xf>
    <xf numFmtId="0" fontId="4" fillId="0" borderId="4" xfId="20" applyFont="1" applyFill="1" applyBorder="1" applyAlignment="1">
      <alignment horizontal="center" wrapText="1"/>
      <protection/>
    </xf>
    <xf numFmtId="0" fontId="11" fillId="0" borderId="4" xfId="20" applyFont="1" applyFill="1" applyBorder="1" applyAlignment="1">
      <alignment wrapText="1"/>
      <protection/>
    </xf>
    <xf numFmtId="4" fontId="3" fillId="0" borderId="8" xfId="20" applyNumberFormat="1" applyFont="1" applyFill="1" applyBorder="1" applyAlignment="1" applyProtection="1">
      <alignment horizontal="right"/>
      <protection locked="0"/>
    </xf>
    <xf numFmtId="4" fontId="20" fillId="0" borderId="24" xfId="0" applyNumberFormat="1" applyFont="1" applyBorder="1" applyAlignment="1" applyProtection="1">
      <alignment horizontal="right" vertical="top"/>
      <protection locked="0"/>
    </xf>
    <xf numFmtId="4" fontId="20" fillId="0" borderId="26" xfId="0" applyNumberFormat="1" applyFont="1" applyFill="1" applyBorder="1" applyAlignment="1" applyProtection="1">
      <alignment horizontal="right" vertical="top"/>
      <protection locked="0"/>
    </xf>
    <xf numFmtId="4" fontId="20" fillId="0" borderId="24" xfId="0" applyNumberFormat="1" applyFont="1" applyBorder="1" applyAlignment="1" applyProtection="1">
      <alignment horizontal="right" vertical="center"/>
      <protection locked="0"/>
    </xf>
    <xf numFmtId="4" fontId="20" fillId="0" borderId="26" xfId="0" applyNumberFormat="1" applyFont="1" applyBorder="1" applyAlignment="1" applyProtection="1">
      <alignment horizontal="right" vertical="top"/>
      <protection locked="0"/>
    </xf>
    <xf numFmtId="4" fontId="20" fillId="0" borderId="28" xfId="0" applyNumberFormat="1" applyFont="1" applyBorder="1" applyAlignment="1" applyProtection="1">
      <alignment horizontal="right"/>
      <protection locked="0"/>
    </xf>
    <xf numFmtId="4" fontId="20" fillId="0" borderId="11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>
      <alignment horizontal="center" wrapText="1"/>
    </xf>
    <xf numFmtId="0" fontId="26" fillId="0" borderId="4" xfId="0" applyFont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7" fontId="27" fillId="0" borderId="37" xfId="21" applyNumberFormat="1" applyFont="1" applyBorder="1"/>
    <xf numFmtId="49" fontId="3" fillId="0" borderId="43" xfId="20" applyNumberFormat="1" applyFont="1" applyFill="1" applyBorder="1" applyAlignment="1">
      <alignment horizontal="center" vertical="center" shrinkToFit="1"/>
      <protection/>
    </xf>
    <xf numFmtId="0" fontId="3" fillId="0" borderId="6" xfId="20" applyFont="1" applyFill="1" applyBorder="1" applyAlignment="1">
      <alignment vertical="center"/>
      <protection/>
    </xf>
    <xf numFmtId="0" fontId="3" fillId="0" borderId="7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6" xfId="20" applyFont="1" applyBorder="1">
      <alignment/>
      <protection/>
    </xf>
    <xf numFmtId="0" fontId="31" fillId="0" borderId="6" xfId="20" applyFont="1" applyFill="1" applyBorder="1" applyAlignment="1">
      <alignment vertical="center" wrapTex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" fontId="31" fillId="0" borderId="6" xfId="20" applyNumberFormat="1" applyFont="1" applyFill="1" applyBorder="1" applyAlignment="1">
      <alignment horizontal="right" vertical="center"/>
      <protection/>
    </xf>
    <xf numFmtId="49" fontId="31" fillId="0" borderId="6" xfId="20" applyNumberFormat="1" applyFont="1" applyFill="1" applyBorder="1" applyAlignment="1">
      <alignment horizontal="left" vertical="center"/>
      <protection/>
    </xf>
    <xf numFmtId="4" fontId="31" fillId="0" borderId="6" xfId="20" applyNumberFormat="1" applyFont="1" applyFill="1" applyBorder="1" applyAlignment="1">
      <alignment vertical="center"/>
      <protection/>
    </xf>
    <xf numFmtId="164" fontId="31" fillId="0" borderId="6" xfId="20" applyNumberFormat="1" applyFont="1" applyFill="1" applyBorder="1" applyAlignment="1">
      <alignment vertical="center"/>
      <protection/>
    </xf>
    <xf numFmtId="4" fontId="31" fillId="0" borderId="6" xfId="20" applyNumberFormat="1" applyFont="1" applyFill="1" applyBorder="1" applyAlignment="1" applyProtection="1">
      <alignment horizontal="right" vertical="center"/>
      <protection locked="0"/>
    </xf>
    <xf numFmtId="0" fontId="26" fillId="0" borderId="44" xfId="0" applyFont="1" applyBorder="1" applyAlignment="1">
      <alignment horizontal="left"/>
    </xf>
    <xf numFmtId="0" fontId="27" fillId="0" borderId="5" xfId="0" applyFont="1" applyBorder="1" applyAlignment="1">
      <alignment horizontal="centerContinuous"/>
    </xf>
    <xf numFmtId="0" fontId="26" fillId="0" borderId="44" xfId="0" applyFont="1" applyBorder="1" applyAlignment="1">
      <alignment horizontal="left"/>
    </xf>
    <xf numFmtId="0" fontId="33" fillId="0" borderId="0" xfId="0" applyFont="1" applyAlignment="1">
      <alignment vertical="center"/>
    </xf>
    <xf numFmtId="0" fontId="33" fillId="0" borderId="18" xfId="0" applyNumberFormat="1" applyFont="1" applyFill="1" applyBorder="1" applyAlignment="1" applyProtection="1">
      <alignment vertical="center"/>
      <protection/>
    </xf>
    <xf numFmtId="49" fontId="34" fillId="0" borderId="45" xfId="0" applyNumberFormat="1" applyFont="1" applyFill="1" applyBorder="1" applyAlignment="1" applyProtection="1">
      <alignment horizontal="left" vertical="center"/>
      <protection/>
    </xf>
    <xf numFmtId="49" fontId="34" fillId="0" borderId="46" xfId="0" applyNumberFormat="1" applyFont="1" applyFill="1" applyBorder="1" applyAlignment="1" applyProtection="1">
      <alignment horizontal="left" vertical="center"/>
      <protection/>
    </xf>
    <xf numFmtId="49" fontId="34" fillId="0" borderId="46" xfId="0" applyNumberFormat="1" applyFont="1" applyFill="1" applyBorder="1" applyAlignment="1" applyProtection="1">
      <alignment horizontal="center" vertical="center"/>
      <protection/>
    </xf>
    <xf numFmtId="49" fontId="34" fillId="0" borderId="47" xfId="0" applyNumberFormat="1" applyFont="1" applyFill="1" applyBorder="1" applyAlignment="1" applyProtection="1">
      <alignment horizontal="center" vertical="center"/>
      <protection/>
    </xf>
    <xf numFmtId="49" fontId="34" fillId="0" borderId="48" xfId="0" applyNumberFormat="1" applyFont="1" applyFill="1" applyBorder="1" applyAlignment="1" applyProtection="1">
      <alignment horizontal="center" vertical="center"/>
      <protection/>
    </xf>
    <xf numFmtId="0" fontId="33" fillId="0" borderId="9" xfId="0" applyNumberFormat="1" applyFont="1" applyFill="1" applyBorder="1" applyAlignment="1" applyProtection="1">
      <alignment vertical="center"/>
      <protection/>
    </xf>
    <xf numFmtId="49" fontId="33" fillId="0" borderId="49" xfId="0" applyNumberFormat="1" applyFont="1" applyFill="1" applyBorder="1" applyAlignment="1" applyProtection="1">
      <alignment horizontal="left" vertical="center"/>
      <protection/>
    </xf>
    <xf numFmtId="49" fontId="33" fillId="0" borderId="50" xfId="0" applyNumberFormat="1" applyFont="1" applyFill="1" applyBorder="1" applyAlignment="1" applyProtection="1">
      <alignment horizontal="left" vertical="center"/>
      <protection/>
    </xf>
    <xf numFmtId="49" fontId="34" fillId="0" borderId="50" xfId="0" applyNumberFormat="1" applyFont="1" applyFill="1" applyBorder="1" applyAlignment="1" applyProtection="1">
      <alignment horizontal="left" vertical="center"/>
      <protection/>
    </xf>
    <xf numFmtId="49" fontId="34" fillId="0" borderId="51" xfId="0" applyNumberFormat="1" applyFont="1" applyFill="1" applyBorder="1" applyAlignment="1" applyProtection="1">
      <alignment horizontal="right" vertical="center"/>
      <protection/>
    </xf>
    <xf numFmtId="49" fontId="34" fillId="0" borderId="52" xfId="0" applyNumberFormat="1" applyFont="1" applyFill="1" applyBorder="1" applyAlignment="1" applyProtection="1">
      <alignment horizontal="center" vertical="center"/>
      <protection/>
    </xf>
    <xf numFmtId="49" fontId="34" fillId="0" borderId="53" xfId="0" applyNumberFormat="1" applyFont="1" applyFill="1" applyBorder="1" applyAlignment="1" applyProtection="1">
      <alignment horizontal="center" vertical="center"/>
      <protection/>
    </xf>
    <xf numFmtId="49" fontId="34" fillId="0" borderId="54" xfId="0" applyNumberFormat="1" applyFont="1" applyFill="1" applyBorder="1" applyAlignment="1" applyProtection="1">
      <alignment horizontal="center" vertical="center"/>
      <protection/>
    </xf>
    <xf numFmtId="49" fontId="34" fillId="0" borderId="55" xfId="0" applyNumberFormat="1" applyFont="1" applyFill="1" applyBorder="1" applyAlignment="1" applyProtection="1">
      <alignment horizontal="center" vertical="center"/>
      <protection/>
    </xf>
    <xf numFmtId="49" fontId="35" fillId="3" borderId="0" xfId="0" applyNumberFormat="1" applyFont="1" applyFill="1" applyBorder="1" applyAlignment="1" applyProtection="1">
      <alignment horizontal="right" vertical="center"/>
      <protection/>
    </xf>
    <xf numFmtId="49" fontId="36" fillId="3" borderId="15" xfId="0" applyNumberFormat="1" applyFont="1" applyFill="1" applyBorder="1" applyAlignment="1" applyProtection="1">
      <alignment horizontal="left" vertical="center"/>
      <protection/>
    </xf>
    <xf numFmtId="49" fontId="35" fillId="3" borderId="15" xfId="0" applyNumberFormat="1" applyFont="1" applyFill="1" applyBorder="1" applyAlignment="1" applyProtection="1">
      <alignment horizontal="left" vertical="center"/>
      <protection/>
    </xf>
    <xf numFmtId="4" fontId="35" fillId="3" borderId="15" xfId="0" applyNumberFormat="1" applyFont="1" applyFill="1" applyBorder="1" applyAlignment="1" applyProtection="1">
      <alignment horizontal="right" vertical="center"/>
      <protection/>
    </xf>
    <xf numFmtId="49" fontId="35" fillId="3" borderId="15" xfId="0" applyNumberFormat="1" applyFont="1" applyFill="1" applyBorder="1" applyAlignment="1" applyProtection="1">
      <alignment horizontal="right" vertical="center"/>
      <protection/>
    </xf>
    <xf numFmtId="4" fontId="35" fillId="3" borderId="0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4" fontId="33" fillId="0" borderId="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Border="1" applyAlignment="1" applyProtection="1">
      <alignment horizontal="right" vertical="center"/>
      <protection/>
    </xf>
    <xf numFmtId="49" fontId="36" fillId="3" borderId="0" xfId="0" applyNumberFormat="1" applyFont="1" applyFill="1" applyBorder="1" applyAlignment="1" applyProtection="1">
      <alignment horizontal="left" vertical="center"/>
      <protection/>
    </xf>
    <xf numFmtId="49" fontId="35" fillId="3" borderId="0" xfId="0" applyNumberFormat="1" applyFont="1" applyFill="1" applyBorder="1" applyAlignment="1" applyProtection="1">
      <alignment horizontal="left" vertical="center"/>
      <protection/>
    </xf>
    <xf numFmtId="49" fontId="38" fillId="0" borderId="0" xfId="0" applyNumberFormat="1" applyFont="1" applyFill="1" applyBorder="1" applyAlignment="1" applyProtection="1">
      <alignment horizontal="left" vertical="center"/>
      <protection/>
    </xf>
    <xf numFmtId="4" fontId="38" fillId="0" borderId="0" xfId="0" applyNumberFormat="1" applyFont="1" applyFill="1" applyBorder="1" applyAlignment="1" applyProtection="1">
      <alignment horizontal="right" vertical="center"/>
      <protection/>
    </xf>
    <xf numFmtId="49" fontId="38" fillId="0" borderId="0" xfId="0" applyNumberFormat="1" applyFont="1" applyFill="1" applyBorder="1" applyAlignment="1" applyProtection="1">
      <alignment horizontal="right" vertical="center"/>
      <protection/>
    </xf>
    <xf numFmtId="49" fontId="38" fillId="0" borderId="29" xfId="0" applyNumberFormat="1" applyFont="1" applyFill="1" applyBorder="1" applyAlignment="1" applyProtection="1">
      <alignment horizontal="left" vertical="center"/>
      <protection/>
    </xf>
    <xf numFmtId="4" fontId="38" fillId="0" borderId="29" xfId="0" applyNumberFormat="1" applyFont="1" applyFill="1" applyBorder="1" applyAlignment="1" applyProtection="1">
      <alignment horizontal="right" vertical="center"/>
      <protection/>
    </xf>
    <xf numFmtId="49" fontId="38" fillId="0" borderId="29" xfId="0" applyNumberFormat="1" applyFont="1" applyFill="1" applyBorder="1" applyAlignment="1" applyProtection="1">
      <alignment horizontal="right" vertical="center"/>
      <protection/>
    </xf>
    <xf numFmtId="0" fontId="33" fillId="0" borderId="33" xfId="0" applyNumberFormat="1" applyFont="1" applyFill="1" applyBorder="1" applyAlignment="1" applyProtection="1">
      <alignment vertical="center"/>
      <protection/>
    </xf>
    <xf numFmtId="4" fontId="34" fillId="0" borderId="33" xfId="0" applyNumberFormat="1" applyFont="1" applyFill="1" applyBorder="1" applyAlignment="1" applyProtection="1">
      <alignment horizontal="right" vertical="center"/>
      <protection/>
    </xf>
    <xf numFmtId="4" fontId="34" fillId="0" borderId="0" xfId="0" applyNumberFormat="1" applyFont="1" applyFill="1" applyBorder="1" applyAlignment="1" applyProtection="1">
      <alignment horizontal="right" vertical="center"/>
      <protection/>
    </xf>
    <xf numFmtId="49" fontId="39" fillId="0" borderId="0" xfId="0" applyNumberFormat="1" applyFont="1" applyFill="1" applyBorder="1" applyAlignment="1" applyProtection="1">
      <alignment horizontal="left" vertical="center"/>
      <protection/>
    </xf>
    <xf numFmtId="44" fontId="0" fillId="0" borderId="0" xfId="21" applyFont="1"/>
    <xf numFmtId="44" fontId="27" fillId="0" borderId="4" xfId="0" applyNumberFormat="1" applyFont="1" applyBorder="1" applyAlignment="1">
      <alignment horizontal="centerContinuous"/>
    </xf>
    <xf numFmtId="0" fontId="27" fillId="4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56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44" xfId="0" applyFont="1" applyBorder="1" applyAlignment="1">
      <alignment/>
    </xf>
    <xf numFmtId="0" fontId="0" fillId="0" borderId="5" xfId="0" applyBorder="1" applyAlignment="1">
      <alignment/>
    </xf>
    <xf numFmtId="44" fontId="27" fillId="0" borderId="4" xfId="21" applyFont="1" applyBorder="1" applyAlignment="1">
      <alignment horizontal="left"/>
    </xf>
    <xf numFmtId="44" fontId="0" fillId="0" borderId="4" xfId="21" applyFont="1" applyBorder="1" applyAlignment="1">
      <alignment/>
    </xf>
    <xf numFmtId="44" fontId="27" fillId="0" borderId="37" xfId="21" applyFont="1" applyBorder="1" applyAlignment="1">
      <alignment horizontal="left"/>
    </xf>
    <xf numFmtId="44" fontId="0" fillId="0" borderId="5" xfId="21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4" fontId="27" fillId="0" borderId="4" xfId="21" applyFont="1" applyBorder="1" applyAlignment="1">
      <alignment horizontal="center"/>
    </xf>
    <xf numFmtId="44" fontId="0" fillId="0" borderId="4" xfId="21" applyFont="1" applyBorder="1" applyAlignment="1">
      <alignment horizontal="center"/>
    </xf>
    <xf numFmtId="0" fontId="26" fillId="4" borderId="44" xfId="0" applyFont="1" applyFill="1" applyBorder="1" applyAlignment="1">
      <alignment horizontal="left"/>
    </xf>
    <xf numFmtId="0" fontId="0" fillId="4" borderId="5" xfId="0" applyFill="1" applyBorder="1" applyAlignment="1">
      <alignment/>
    </xf>
    <xf numFmtId="0" fontId="26" fillId="0" borderId="44" xfId="0" applyFont="1" applyBorder="1" applyAlignment="1">
      <alignment horizontal="left"/>
    </xf>
    <xf numFmtId="0" fontId="8" fillId="0" borderId="0" xfId="20" applyFont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0" fontId="3" fillId="0" borderId="58" xfId="20" applyFont="1" applyBorder="1" applyAlignment="1">
      <alignment horizontal="center"/>
      <protection/>
    </xf>
    <xf numFmtId="49" fontId="3" fillId="0" borderId="59" xfId="20" applyNumberFormat="1" applyFont="1" applyBorder="1" applyAlignment="1">
      <alignment horizontal="center"/>
      <protection/>
    </xf>
    <xf numFmtId="0" fontId="3" fillId="0" borderId="60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 shrinkToFit="1"/>
      <protection/>
    </xf>
    <xf numFmtId="0" fontId="3" fillId="0" borderId="61" xfId="20" applyFont="1" applyBorder="1" applyAlignment="1">
      <alignment horizontal="left" shrinkToFi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43" xfId="0" applyNumberFormat="1" applyFont="1" applyFill="1" applyBorder="1" applyAlignment="1" applyProtection="1">
      <alignment horizontal="left" vertical="center"/>
      <protection/>
    </xf>
    <xf numFmtId="49" fontId="32" fillId="0" borderId="29" xfId="0" applyNumberFormat="1" applyFont="1" applyFill="1" applyBorder="1" applyAlignment="1" applyProtection="1">
      <alignment horizontal="center"/>
      <protection/>
    </xf>
    <xf numFmtId="0" fontId="32" fillId="0" borderId="29" xfId="0" applyNumberFormat="1" applyFont="1" applyFill="1" applyBorder="1" applyAlignment="1" applyProtection="1">
      <alignment horizontal="center" vertical="center"/>
      <protection/>
    </xf>
    <xf numFmtId="0" fontId="33" fillId="0" borderId="34" xfId="0" applyNumberFormat="1" applyFont="1" applyFill="1" applyBorder="1" applyAlignment="1" applyProtection="1">
      <alignment horizontal="left" vertical="center" wrapText="1"/>
      <protection/>
    </xf>
    <xf numFmtId="0" fontId="33" fillId="0" borderId="33" xfId="0" applyNumberFormat="1" applyFont="1" applyFill="1" applyBorder="1" applyAlignment="1" applyProtection="1">
      <alignment horizontal="left" vertical="center"/>
      <protection/>
    </xf>
    <xf numFmtId="0" fontId="33" fillId="0" borderId="18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33" xfId="0" applyNumberFormat="1" applyFont="1" applyFill="1" applyBorder="1" applyAlignment="1" applyProtection="1">
      <alignment horizontal="left" vertical="center"/>
      <protection/>
    </xf>
    <xf numFmtId="0" fontId="33" fillId="0" borderId="33" xfId="0" applyNumberFormat="1" applyFont="1" applyFill="1" applyBorder="1" applyAlignment="1" applyProtection="1">
      <alignment horizontal="left" vertical="center" wrapText="1"/>
      <protection/>
    </xf>
    <xf numFmtId="0" fontId="33" fillId="0" borderId="62" xfId="0" applyNumberFormat="1" applyFont="1" applyFill="1" applyBorder="1" applyAlignment="1" applyProtection="1">
      <alignment horizontal="left" vertical="center"/>
      <protection/>
    </xf>
    <xf numFmtId="0" fontId="33" fillId="0" borderId="18" xfId="0" applyNumberFormat="1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14" fontId="33" fillId="0" borderId="0" xfId="0" applyNumberFormat="1" applyFont="1" applyFill="1" applyBorder="1" applyAlignment="1" applyProtection="1">
      <alignment horizontal="left" vertical="center"/>
      <protection/>
    </xf>
    <xf numFmtId="49" fontId="35" fillId="3" borderId="0" xfId="0" applyNumberFormat="1" applyFont="1" applyFill="1" applyBorder="1" applyAlignment="1" applyProtection="1">
      <alignment horizontal="left" vertical="center"/>
      <protection/>
    </xf>
    <xf numFmtId="0" fontId="35" fillId="3" borderId="0" xfId="0" applyNumberFormat="1" applyFont="1" applyFill="1" applyBorder="1" applyAlignment="1" applyProtection="1">
      <alignment horizontal="left" vertical="center"/>
      <protection/>
    </xf>
    <xf numFmtId="0" fontId="33" fillId="0" borderId="63" xfId="0" applyNumberFormat="1" applyFont="1" applyFill="1" applyBorder="1" applyAlignment="1" applyProtection="1">
      <alignment horizontal="left" vertical="center"/>
      <protection/>
    </xf>
    <xf numFmtId="0" fontId="33" fillId="0" borderId="11" xfId="0" applyNumberFormat="1" applyFont="1" applyFill="1" applyBorder="1" applyAlignment="1" applyProtection="1">
      <alignment horizontal="left" vertical="center"/>
      <protection/>
    </xf>
    <xf numFmtId="49" fontId="34" fillId="0" borderId="64" xfId="0" applyNumberFormat="1" applyFont="1" applyFill="1" applyBorder="1" applyAlignment="1" applyProtection="1">
      <alignment horizontal="center" vertical="center"/>
      <protection/>
    </xf>
    <xf numFmtId="0" fontId="34" fillId="0" borderId="65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 applyProtection="1">
      <alignment horizontal="center" vertical="center"/>
      <protection/>
    </xf>
    <xf numFmtId="0" fontId="33" fillId="0" borderId="67" xfId="0" applyNumberFormat="1" applyFont="1" applyFill="1" applyBorder="1" applyAlignment="1" applyProtection="1">
      <alignment horizontal="left" vertical="center"/>
      <protection/>
    </xf>
    <xf numFmtId="49" fontId="35" fillId="3" borderId="15" xfId="0" applyNumberFormat="1" applyFont="1" applyFill="1" applyBorder="1" applyAlignment="1" applyProtection="1">
      <alignment horizontal="left" vertical="center"/>
      <protection/>
    </xf>
    <xf numFmtId="0" fontId="35" fillId="3" borderId="15" xfId="0" applyNumberFormat="1" applyFont="1" applyFill="1" applyBorder="1" applyAlignment="1" applyProtection="1">
      <alignment horizontal="left" vertical="center"/>
      <protection/>
    </xf>
    <xf numFmtId="49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Měna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114300</xdr:colOff>
      <xdr:row>43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72900" cy="7096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50</xdr:row>
      <xdr:rowOff>57150</xdr:rowOff>
    </xdr:from>
    <xdr:to>
      <xdr:col>17</xdr:col>
      <xdr:colOff>28575</xdr:colOff>
      <xdr:row>93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53400"/>
          <a:ext cx="11687175" cy="7038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ul\Dokumenty\Downloads\SU%20pokoju_Hotel%20Krystal_%20pokoj%20var%20B_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B5" sqref="B5"/>
    </sheetView>
  </sheetViews>
  <sheetFormatPr defaultColWidth="9.00390625" defaultRowHeight="12.75"/>
  <cols>
    <col min="1" max="1" width="18.75390625" style="202" customWidth="1"/>
    <col min="2" max="2" width="18.625" style="202" customWidth="1"/>
    <col min="3" max="3" width="23.25390625" style="202" customWidth="1"/>
    <col min="4" max="4" width="15.125" style="202" customWidth="1"/>
    <col min="5" max="5" width="9.125" style="202" customWidth="1"/>
    <col min="6" max="6" width="13.375" style="202" customWidth="1"/>
    <col min="7" max="7" width="19.875" style="202" customWidth="1"/>
    <col min="8" max="16384" width="9.125" style="202" customWidth="1"/>
  </cols>
  <sheetData>
    <row r="1" spans="1:7" ht="22.5">
      <c r="A1" s="245" t="s">
        <v>484</v>
      </c>
      <c r="B1" s="201"/>
      <c r="C1" s="201"/>
      <c r="D1" s="201"/>
      <c r="E1" s="201"/>
      <c r="F1" s="201"/>
      <c r="G1" s="201"/>
    </row>
    <row r="2" spans="1:7" ht="12.75">
      <c r="A2" s="200"/>
      <c r="B2" s="201"/>
      <c r="C2" s="201"/>
      <c r="D2" s="201"/>
      <c r="E2" s="201"/>
      <c r="F2" s="201"/>
      <c r="G2" s="201"/>
    </row>
    <row r="3" spans="1:7" ht="12.75">
      <c r="A3" s="203"/>
      <c r="B3" s="201"/>
      <c r="C3" s="201"/>
      <c r="D3" s="201"/>
      <c r="E3" s="201"/>
      <c r="F3" s="201"/>
      <c r="G3" s="201"/>
    </row>
    <row r="4" spans="1:7" s="205" customFormat="1" ht="12.75">
      <c r="A4" s="204" t="s">
        <v>501</v>
      </c>
      <c r="B4" s="325" t="s">
        <v>815</v>
      </c>
      <c r="C4" s="325"/>
      <c r="D4" s="200"/>
      <c r="E4" s="200"/>
      <c r="F4" s="200"/>
      <c r="G4" s="200"/>
    </row>
    <row r="5" spans="1:7" s="205" customFormat="1" ht="12.75">
      <c r="A5" s="233"/>
      <c r="B5" s="231"/>
      <c r="C5" s="231"/>
      <c r="D5" s="200"/>
      <c r="E5" s="200"/>
      <c r="F5" s="200"/>
      <c r="G5" s="200"/>
    </row>
    <row r="6" spans="1:7" s="205" customFormat="1" ht="12.75">
      <c r="A6" s="217" t="s">
        <v>485</v>
      </c>
      <c r="B6" s="326" t="s">
        <v>486</v>
      </c>
      <c r="C6" s="326"/>
      <c r="D6" s="200"/>
      <c r="E6" s="200"/>
      <c r="F6" s="200"/>
      <c r="G6" s="200"/>
    </row>
    <row r="7" spans="1:7" s="205" customFormat="1" ht="12.75">
      <c r="A7" s="217"/>
      <c r="B7" s="234"/>
      <c r="C7" s="234"/>
      <c r="D7" s="200"/>
      <c r="E7" s="200"/>
      <c r="F7" s="200"/>
      <c r="G7" s="200"/>
    </row>
    <row r="8" spans="1:7" s="205" customFormat="1" ht="12.75">
      <c r="A8" s="217" t="s">
        <v>487</v>
      </c>
      <c r="B8" s="326" t="s">
        <v>525</v>
      </c>
      <c r="C8" s="326"/>
      <c r="D8" s="200"/>
      <c r="E8" s="200"/>
      <c r="F8" s="200"/>
      <c r="G8" s="200"/>
    </row>
    <row r="9" spans="1:7" s="205" customFormat="1" ht="12.75">
      <c r="A9" s="217"/>
      <c r="B9" s="234" t="s">
        <v>536</v>
      </c>
      <c r="C9" s="234"/>
      <c r="D9" s="200"/>
      <c r="E9" s="200"/>
      <c r="F9" s="200"/>
      <c r="G9" s="200"/>
    </row>
    <row r="10" spans="1:7" s="205" customFormat="1" ht="12.75">
      <c r="A10" s="217"/>
      <c r="B10" s="234"/>
      <c r="C10" s="234"/>
      <c r="D10" s="200"/>
      <c r="E10" s="200"/>
      <c r="F10" s="200"/>
      <c r="G10" s="200"/>
    </row>
    <row r="11" spans="1:7" s="205" customFormat="1" ht="12.75">
      <c r="A11" s="217" t="s">
        <v>504</v>
      </c>
      <c r="B11" s="326"/>
      <c r="C11" s="344"/>
      <c r="D11" s="344"/>
      <c r="E11" s="200"/>
      <c r="F11" s="200"/>
      <c r="G11" s="200"/>
    </row>
    <row r="12" spans="1:7" s="205" customFormat="1" ht="12.75">
      <c r="A12" s="217"/>
      <c r="B12" s="326"/>
      <c r="C12" s="344"/>
      <c r="D12" s="344"/>
      <c r="E12" s="200"/>
      <c r="F12" s="200"/>
      <c r="G12" s="200"/>
    </row>
    <row r="13" spans="1:7" s="205" customFormat="1" ht="12.75">
      <c r="A13" s="217"/>
      <c r="B13" s="326"/>
      <c r="C13" s="344"/>
      <c r="D13" s="344"/>
      <c r="E13" s="200"/>
      <c r="F13" s="200"/>
      <c r="G13" s="200"/>
    </row>
    <row r="14" spans="1:7" s="205" customFormat="1" ht="12.75">
      <c r="A14" s="217"/>
      <c r="B14" s="326"/>
      <c r="C14" s="344"/>
      <c r="D14" s="344"/>
      <c r="E14" s="200"/>
      <c r="F14" s="200"/>
      <c r="G14" s="200"/>
    </row>
    <row r="15" spans="1:7" ht="12.75">
      <c r="A15" s="200"/>
      <c r="B15" s="201"/>
      <c r="C15" s="201"/>
      <c r="D15" s="201"/>
      <c r="E15" s="201"/>
      <c r="F15" s="201"/>
      <c r="G15" s="201"/>
    </row>
    <row r="16" spans="1:7" ht="12.75">
      <c r="A16" s="200" t="s">
        <v>526</v>
      </c>
      <c r="B16" s="201"/>
      <c r="C16" s="201"/>
      <c r="D16" s="201"/>
      <c r="E16" s="201"/>
      <c r="F16" s="201"/>
      <c r="G16" s="201"/>
    </row>
    <row r="17" spans="1:7" ht="12.75">
      <c r="A17" s="200"/>
      <c r="B17" s="201"/>
      <c r="C17" s="201"/>
      <c r="D17" s="201"/>
      <c r="E17" s="201"/>
      <c r="F17" s="201"/>
      <c r="G17" s="201"/>
    </row>
    <row r="18" spans="1:7" ht="24">
      <c r="A18" s="200"/>
      <c r="B18" s="201"/>
      <c r="C18" s="266" t="s">
        <v>506</v>
      </c>
      <c r="D18" s="263" t="s">
        <v>505</v>
      </c>
      <c r="E18" s="345" t="s">
        <v>344</v>
      </c>
      <c r="F18" s="346"/>
      <c r="G18" s="201"/>
    </row>
    <row r="19" spans="1:7" ht="12.75">
      <c r="A19" s="264" t="s">
        <v>502</v>
      </c>
      <c r="B19" s="238"/>
      <c r="C19" s="265">
        <v>37</v>
      </c>
      <c r="D19" s="238"/>
      <c r="E19" s="347">
        <f aca="true" t="shared" si="0" ref="E19:E24">+D19*C19</f>
        <v>0</v>
      </c>
      <c r="F19" s="348"/>
      <c r="G19" s="201"/>
    </row>
    <row r="20" spans="1:7" ht="12.75">
      <c r="A20" s="264" t="s">
        <v>503</v>
      </c>
      <c r="B20" s="238"/>
      <c r="C20" s="265">
        <v>19</v>
      </c>
      <c r="D20" s="238"/>
      <c r="E20" s="347">
        <f t="shared" si="0"/>
        <v>0</v>
      </c>
      <c r="F20" s="348"/>
      <c r="G20" s="201"/>
    </row>
    <row r="21" spans="1:7" ht="12.75">
      <c r="A21" s="280" t="s">
        <v>810</v>
      </c>
      <c r="B21" s="281"/>
      <c r="C21" s="265">
        <v>2</v>
      </c>
      <c r="D21" s="238"/>
      <c r="E21" s="347">
        <f t="shared" si="0"/>
        <v>0</v>
      </c>
      <c r="F21" s="348"/>
      <c r="G21" s="201"/>
    </row>
    <row r="22" spans="1:7" ht="12.75">
      <c r="A22" s="282" t="s">
        <v>799</v>
      </c>
      <c r="B22" s="281"/>
      <c r="C22" s="265">
        <v>2</v>
      </c>
      <c r="D22" s="238"/>
      <c r="E22" s="347">
        <f t="shared" si="0"/>
        <v>0</v>
      </c>
      <c r="F22" s="348"/>
      <c r="G22" s="201"/>
    </row>
    <row r="23" spans="1:7" ht="12.75">
      <c r="A23" s="351" t="s">
        <v>472</v>
      </c>
      <c r="B23" s="338"/>
      <c r="C23" s="265">
        <v>1</v>
      </c>
      <c r="D23" s="238"/>
      <c r="E23" s="347">
        <f t="shared" si="0"/>
        <v>0</v>
      </c>
      <c r="F23" s="348"/>
      <c r="G23" s="201"/>
    </row>
    <row r="24" spans="1:7" ht="12.75">
      <c r="A24" s="349" t="s">
        <v>802</v>
      </c>
      <c r="B24" s="350"/>
      <c r="C24" s="324">
        <v>1</v>
      </c>
      <c r="D24" s="323">
        <f>+'stavební výtah'!D12</f>
        <v>0</v>
      </c>
      <c r="E24" s="347">
        <f t="shared" si="0"/>
        <v>0</v>
      </c>
      <c r="F24" s="348"/>
      <c r="G24" s="201"/>
    </row>
    <row r="25" spans="1:7" ht="12.75">
      <c r="A25" s="232"/>
      <c r="B25" s="201"/>
      <c r="C25" s="206"/>
      <c r="D25" s="201"/>
      <c r="E25" s="201"/>
      <c r="F25" s="201"/>
      <c r="G25" s="201"/>
    </row>
    <row r="26" spans="1:7" ht="12.75">
      <c r="A26" s="343" t="s">
        <v>488</v>
      </c>
      <c r="B26" s="344"/>
      <c r="C26" s="344"/>
      <c r="D26" s="344"/>
      <c r="E26" s="344"/>
      <c r="F26" s="344"/>
      <c r="G26" s="344"/>
    </row>
    <row r="27" spans="1:7" ht="12.75">
      <c r="A27" s="337" t="s">
        <v>489</v>
      </c>
      <c r="B27" s="338"/>
      <c r="C27" s="339">
        <f>+E19+E20+E24</f>
        <v>0</v>
      </c>
      <c r="D27" s="340"/>
      <c r="E27" s="201"/>
      <c r="F27" s="201"/>
      <c r="G27" s="201"/>
    </row>
    <row r="28" spans="1:7" ht="12.75">
      <c r="A28" s="337" t="s">
        <v>490</v>
      </c>
      <c r="B28" s="338"/>
      <c r="C28" s="341">
        <v>0</v>
      </c>
      <c r="D28" s="342"/>
      <c r="E28" s="201"/>
      <c r="F28" s="201"/>
      <c r="G28" s="201"/>
    </row>
    <row r="29" spans="1:7" ht="12.75">
      <c r="A29" s="217"/>
      <c r="B29" s="236"/>
      <c r="C29" s="237"/>
      <c r="D29" s="201"/>
      <c r="E29" s="201"/>
      <c r="F29" s="201"/>
      <c r="G29" s="201"/>
    </row>
    <row r="30" spans="1:7" ht="12.75">
      <c r="A30" s="212" t="s">
        <v>496</v>
      </c>
      <c r="B30" s="213"/>
      <c r="C30" s="221">
        <v>0</v>
      </c>
      <c r="D30" s="213" t="s">
        <v>497</v>
      </c>
      <c r="E30" s="214"/>
      <c r="F30" s="267">
        <v>0</v>
      </c>
      <c r="G30" s="215"/>
    </row>
    <row r="31" spans="1:7" ht="12.75">
      <c r="A31" s="212" t="s">
        <v>496</v>
      </c>
      <c r="B31" s="213"/>
      <c r="C31" s="221">
        <v>15</v>
      </c>
      <c r="D31" s="213" t="s">
        <v>497</v>
      </c>
      <c r="E31" s="214"/>
      <c r="F31" s="222">
        <v>0</v>
      </c>
      <c r="G31" s="215"/>
    </row>
    <row r="32" spans="1:7" ht="12.75">
      <c r="A32" s="212" t="s">
        <v>498</v>
      </c>
      <c r="B32" s="213"/>
      <c r="C32" s="221">
        <v>15</v>
      </c>
      <c r="D32" s="213" t="s">
        <v>497</v>
      </c>
      <c r="E32" s="214"/>
      <c r="F32" s="223">
        <f>ROUND(PRODUCT(F31,C32/100),0)</f>
        <v>0</v>
      </c>
      <c r="G32" s="216"/>
    </row>
    <row r="33" spans="1:7" ht="12.75">
      <c r="A33" s="212" t="s">
        <v>496</v>
      </c>
      <c r="B33" s="213"/>
      <c r="C33" s="221">
        <v>21</v>
      </c>
      <c r="D33" s="213" t="s">
        <v>497</v>
      </c>
      <c r="E33" s="214"/>
      <c r="F33" s="222">
        <v>0</v>
      </c>
      <c r="G33" s="215"/>
    </row>
    <row r="34" spans="1:7" ht="12.75">
      <c r="A34" s="212" t="s">
        <v>498</v>
      </c>
      <c r="B34" s="213"/>
      <c r="C34" s="221">
        <v>21</v>
      </c>
      <c r="D34" s="213" t="s">
        <v>497</v>
      </c>
      <c r="E34" s="214"/>
      <c r="F34" s="223">
        <f>ROUND(PRODUCT(F33,C34/100),0)</f>
        <v>0</v>
      </c>
      <c r="G34" s="216"/>
    </row>
    <row r="35" spans="1:7" ht="15" thickBot="1">
      <c r="A35" s="224" t="s">
        <v>499</v>
      </c>
      <c r="B35" s="225"/>
      <c r="C35" s="225"/>
      <c r="D35" s="225"/>
      <c r="E35" s="226"/>
      <c r="F35" s="227">
        <f>ROUND(SUM(F30:F34),0)</f>
        <v>0</v>
      </c>
      <c r="G35" s="228"/>
    </row>
    <row r="36" spans="1:7" ht="15" thickBot="1">
      <c r="A36" s="239"/>
      <c r="B36" s="240"/>
      <c r="C36" s="240"/>
      <c r="D36" s="240"/>
      <c r="E36" s="241"/>
      <c r="F36" s="242"/>
      <c r="G36" s="243"/>
    </row>
    <row r="37" spans="1:7" ht="12.75">
      <c r="A37" s="208" t="s">
        <v>491</v>
      </c>
      <c r="B37" s="207"/>
      <c r="C37" s="208" t="s">
        <v>492</v>
      </c>
      <c r="D37" s="207"/>
      <c r="E37" s="208"/>
      <c r="F37" s="207"/>
      <c r="G37" s="209"/>
    </row>
    <row r="38" spans="1:7" ht="12.75">
      <c r="A38" s="214"/>
      <c r="B38" s="213"/>
      <c r="C38" s="214" t="s">
        <v>493</v>
      </c>
      <c r="D38" s="213"/>
      <c r="E38" s="214"/>
      <c r="F38" s="213"/>
      <c r="G38" s="215"/>
    </row>
    <row r="39" spans="1:7" ht="12.75">
      <c r="A39" s="210" t="s">
        <v>494</v>
      </c>
      <c r="B39" s="219"/>
      <c r="C39" s="210" t="s">
        <v>494</v>
      </c>
      <c r="D39" s="217"/>
      <c r="E39" s="210"/>
      <c r="F39" s="217"/>
      <c r="G39" s="211"/>
    </row>
    <row r="40" spans="1:7" ht="12.75">
      <c r="A40" s="210"/>
      <c r="B40" s="220"/>
      <c r="C40" s="210" t="s">
        <v>495</v>
      </c>
      <c r="D40" s="217"/>
      <c r="E40" s="210"/>
      <c r="F40" s="217"/>
      <c r="G40" s="211"/>
    </row>
    <row r="41" spans="1:7" ht="12.75">
      <c r="A41" s="210"/>
      <c r="B41" s="217"/>
      <c r="C41" s="210"/>
      <c r="D41" s="217"/>
      <c r="E41" s="210"/>
      <c r="F41" s="217"/>
      <c r="G41" s="211"/>
    </row>
    <row r="42" spans="1:7" ht="12.75">
      <c r="A42" s="235"/>
      <c r="B42" s="218"/>
      <c r="C42" s="235"/>
      <c r="D42" s="218"/>
      <c r="E42" s="235"/>
      <c r="F42" s="218"/>
      <c r="G42" s="244"/>
    </row>
    <row r="43" spans="2:7" ht="15" thickBot="1">
      <c r="B43" s="229"/>
      <c r="C43" s="229"/>
      <c r="D43" s="229"/>
      <c r="E43" s="229"/>
      <c r="F43" s="229"/>
      <c r="G43" s="229"/>
    </row>
    <row r="44" spans="1:7" ht="12.75">
      <c r="A44" s="229" t="s">
        <v>500</v>
      </c>
      <c r="B44" s="328"/>
      <c r="C44" s="329"/>
      <c r="D44" s="329"/>
      <c r="E44" s="329"/>
      <c r="F44" s="329"/>
      <c r="G44" s="330"/>
    </row>
    <row r="45" spans="1:7" ht="12.75">
      <c r="A45" s="230"/>
      <c r="B45" s="331"/>
      <c r="C45" s="332"/>
      <c r="D45" s="332"/>
      <c r="E45" s="332"/>
      <c r="F45" s="332"/>
      <c r="G45" s="333"/>
    </row>
    <row r="46" spans="1:7" ht="12.75">
      <c r="A46" s="230"/>
      <c r="B46" s="331"/>
      <c r="C46" s="332"/>
      <c r="D46" s="332"/>
      <c r="E46" s="332"/>
      <c r="F46" s="332"/>
      <c r="G46" s="333"/>
    </row>
    <row r="47" spans="1:7" ht="12.75">
      <c r="A47" s="230"/>
      <c r="B47" s="331"/>
      <c r="C47" s="332"/>
      <c r="D47" s="332"/>
      <c r="E47" s="332"/>
      <c r="F47" s="332"/>
      <c r="G47" s="333"/>
    </row>
    <row r="48" spans="1:7" ht="12.75">
      <c r="A48" s="230"/>
      <c r="B48" s="331"/>
      <c r="C48" s="332"/>
      <c r="D48" s="332"/>
      <c r="E48" s="332"/>
      <c r="F48" s="332"/>
      <c r="G48" s="333"/>
    </row>
    <row r="49" spans="1:7" ht="12.75">
      <c r="A49" s="230"/>
      <c r="B49" s="331"/>
      <c r="C49" s="332"/>
      <c r="D49" s="332"/>
      <c r="E49" s="332"/>
      <c r="F49" s="332"/>
      <c r="G49" s="333"/>
    </row>
    <row r="50" spans="1:7" ht="12.75">
      <c r="A50" s="230"/>
      <c r="B50" s="331"/>
      <c r="C50" s="332"/>
      <c r="D50" s="332"/>
      <c r="E50" s="332"/>
      <c r="F50" s="332"/>
      <c r="G50" s="333"/>
    </row>
    <row r="51" spans="1:7" ht="12.75">
      <c r="A51" s="230"/>
      <c r="B51" s="331"/>
      <c r="C51" s="332"/>
      <c r="D51" s="332"/>
      <c r="E51" s="332"/>
      <c r="F51" s="332"/>
      <c r="G51" s="333"/>
    </row>
    <row r="52" spans="1:7" ht="15" thickBot="1">
      <c r="A52" s="230"/>
      <c r="B52" s="334"/>
      <c r="C52" s="335"/>
      <c r="D52" s="335"/>
      <c r="E52" s="335"/>
      <c r="F52" s="335"/>
      <c r="G52" s="336"/>
    </row>
    <row r="53" spans="2:7" ht="12.75">
      <c r="B53" s="327"/>
      <c r="C53" s="327"/>
      <c r="D53" s="327"/>
      <c r="E53" s="327"/>
      <c r="F53" s="327"/>
      <c r="G53" s="327"/>
    </row>
    <row r="54" spans="2:7" ht="12.75">
      <c r="B54" s="327"/>
      <c r="C54" s="327"/>
      <c r="D54" s="327"/>
      <c r="E54" s="327"/>
      <c r="F54" s="327"/>
      <c r="G54" s="327"/>
    </row>
    <row r="55" spans="2:7" ht="12.75">
      <c r="B55" s="327"/>
      <c r="C55" s="327"/>
      <c r="D55" s="327"/>
      <c r="E55" s="327"/>
      <c r="F55" s="327"/>
      <c r="G55" s="327"/>
    </row>
    <row r="56" spans="2:7" ht="12.75">
      <c r="B56" s="327"/>
      <c r="C56" s="327"/>
      <c r="D56" s="327"/>
      <c r="E56" s="327"/>
      <c r="F56" s="327"/>
      <c r="G56" s="327"/>
    </row>
    <row r="57" spans="2:7" ht="12.75">
      <c r="B57" s="327"/>
      <c r="C57" s="327"/>
      <c r="D57" s="327"/>
      <c r="E57" s="327"/>
      <c r="F57" s="327"/>
      <c r="G57" s="327"/>
    </row>
    <row r="58" spans="2:7" ht="12.75">
      <c r="B58" s="327"/>
      <c r="C58" s="327"/>
      <c r="D58" s="327"/>
      <c r="E58" s="327"/>
      <c r="F58" s="327"/>
      <c r="G58" s="327"/>
    </row>
    <row r="59" spans="2:7" ht="12.75">
      <c r="B59" s="327"/>
      <c r="C59" s="327"/>
      <c r="D59" s="327"/>
      <c r="E59" s="327"/>
      <c r="F59" s="327"/>
      <c r="G59" s="327"/>
    </row>
    <row r="60" spans="2:7" ht="12.75">
      <c r="B60" s="327"/>
      <c r="C60" s="327"/>
      <c r="D60" s="327"/>
      <c r="E60" s="327"/>
      <c r="F60" s="327"/>
      <c r="G60" s="327"/>
    </row>
    <row r="61" spans="2:7" ht="12.75">
      <c r="B61" s="327"/>
      <c r="C61" s="327"/>
      <c r="D61" s="327"/>
      <c r="E61" s="327"/>
      <c r="F61" s="327"/>
      <c r="G61" s="327"/>
    </row>
    <row r="62" spans="2:7" ht="12.75">
      <c r="B62" s="327"/>
      <c r="C62" s="327"/>
      <c r="D62" s="327"/>
      <c r="E62" s="327"/>
      <c r="F62" s="327"/>
      <c r="G62" s="327"/>
    </row>
  </sheetData>
  <mergeCells count="32">
    <mergeCell ref="E24:F24"/>
    <mergeCell ref="B11:D11"/>
    <mergeCell ref="B12:D12"/>
    <mergeCell ref="B13:D13"/>
    <mergeCell ref="B14:D14"/>
    <mergeCell ref="A24:B24"/>
    <mergeCell ref="E21:F21"/>
    <mergeCell ref="E22:F22"/>
    <mergeCell ref="E23:F23"/>
    <mergeCell ref="A23:B23"/>
    <mergeCell ref="B61:G61"/>
    <mergeCell ref="B62:G62"/>
    <mergeCell ref="B57:G57"/>
    <mergeCell ref="B58:G58"/>
    <mergeCell ref="B59:G59"/>
    <mergeCell ref="B60:G60"/>
    <mergeCell ref="B4:C4"/>
    <mergeCell ref="B6:C6"/>
    <mergeCell ref="B8:C8"/>
    <mergeCell ref="B55:G55"/>
    <mergeCell ref="B56:G56"/>
    <mergeCell ref="B44:G52"/>
    <mergeCell ref="B53:G53"/>
    <mergeCell ref="B54:G54"/>
    <mergeCell ref="A27:B27"/>
    <mergeCell ref="A28:B28"/>
    <mergeCell ref="C27:D27"/>
    <mergeCell ref="C28:D28"/>
    <mergeCell ref="A26:G26"/>
    <mergeCell ref="E18:F18"/>
    <mergeCell ref="E19:F19"/>
    <mergeCell ref="E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D13" sqref="D13"/>
    </sheetView>
  </sheetViews>
  <sheetFormatPr defaultColWidth="9.00390625" defaultRowHeight="12.75"/>
  <sheetData>
    <row r="1" spans="1:8" s="7" customFormat="1" ht="13.5" thickTop="1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8" s="7" customFormat="1" ht="13.5" thickBot="1">
      <c r="A2" s="355" t="s">
        <v>0</v>
      </c>
      <c r="B2" s="356"/>
      <c r="C2" s="4" t="s">
        <v>802</v>
      </c>
      <c r="D2" s="5"/>
      <c r="E2" s="6"/>
      <c r="F2" s="357"/>
      <c r="G2" s="357"/>
      <c r="H2" s="358"/>
    </row>
    <row r="3" ht="13.5" thickTop="1"/>
    <row r="6" ht="12.75">
      <c r="B6" t="s">
        <v>803</v>
      </c>
    </row>
    <row r="8" spans="1:3" ht="12.75">
      <c r="A8" t="s">
        <v>804</v>
      </c>
      <c r="C8" t="s">
        <v>805</v>
      </c>
    </row>
    <row r="9" spans="1:4" ht="12.75">
      <c r="A9" t="s">
        <v>806</v>
      </c>
      <c r="C9" t="s">
        <v>807</v>
      </c>
      <c r="D9" t="s">
        <v>808</v>
      </c>
    </row>
    <row r="12" spans="1:4" ht="12.75">
      <c r="A12" t="s">
        <v>809</v>
      </c>
      <c r="D12" s="322">
        <v>0</v>
      </c>
    </row>
  </sheetData>
  <mergeCells count="3">
    <mergeCell ref="A1:B1"/>
    <mergeCell ref="A2:B2"/>
    <mergeCell ref="F2:H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53">
      <selection activeCell="A50" sqref="A50"/>
    </sheetView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showGridLines="0" showZeros="0" view="pageLayout" workbookViewId="0" topLeftCell="A1">
      <selection activeCell="B5" sqref="B5"/>
    </sheetView>
  </sheetViews>
  <sheetFormatPr defaultColWidth="9.00390625" defaultRowHeight="12.75"/>
  <cols>
    <col min="1" max="1" width="4.375" style="7" customWidth="1"/>
    <col min="2" max="2" width="14.125" style="7" customWidth="1"/>
    <col min="3" max="3" width="47.125" style="7" customWidth="1"/>
    <col min="4" max="4" width="5.625" style="7" customWidth="1"/>
    <col min="5" max="5" width="10.00390625" style="31" customWidth="1"/>
    <col min="6" max="6" width="11.25390625" style="7" customWidth="1"/>
    <col min="7" max="7" width="14.25390625" style="7" customWidth="1"/>
    <col min="8" max="8" width="13.125" style="7" customWidth="1"/>
    <col min="9" max="9" width="14.625" style="7" customWidth="1"/>
    <col min="10" max="10" width="13.125" style="7" customWidth="1"/>
    <col min="11" max="11" width="13.625" style="7" customWidth="1"/>
    <col min="12" max="16384" width="9.125" style="7" customWidth="1"/>
  </cols>
  <sheetData>
    <row r="1" spans="1:9" ht="15">
      <c r="A1" s="352" t="s">
        <v>444</v>
      </c>
      <c r="B1" s="352"/>
      <c r="C1" s="352"/>
      <c r="D1" s="352"/>
      <c r="E1" s="352"/>
      <c r="F1" s="352"/>
      <c r="G1" s="352"/>
      <c r="H1" s="352"/>
      <c r="I1" s="352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3" t="s">
        <v>1</v>
      </c>
      <c r="B3" s="354"/>
      <c r="C3" s="1" t="s">
        <v>527</v>
      </c>
      <c r="D3" s="2"/>
      <c r="E3" s="3"/>
      <c r="F3" s="2"/>
      <c r="G3" s="11"/>
      <c r="H3" s="12"/>
      <c r="I3" s="13"/>
    </row>
    <row r="4" spans="1:9" ht="13.5" thickBot="1">
      <c r="A4" s="355" t="s">
        <v>0</v>
      </c>
      <c r="B4" s="356"/>
      <c r="C4" s="4" t="s">
        <v>812</v>
      </c>
      <c r="D4" s="5"/>
      <c r="E4" s="6"/>
      <c r="F4" s="5"/>
      <c r="G4" s="357"/>
      <c r="H4" s="357"/>
      <c r="I4" s="358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12.75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ht="12.75">
      <c r="A7" s="23" t="s">
        <v>13</v>
      </c>
      <c r="B7" s="24" t="s">
        <v>16</v>
      </c>
      <c r="C7" s="25" t="s">
        <v>17</v>
      </c>
      <c r="D7" s="26"/>
      <c r="E7" s="27"/>
      <c r="F7" s="246"/>
      <c r="G7" s="28"/>
      <c r="H7" s="29"/>
      <c r="I7" s="29"/>
      <c r="J7" s="29"/>
      <c r="K7" s="29"/>
    </row>
    <row r="8" spans="1:11" s="40" customFormat="1" ht="12.75">
      <c r="A8" s="33">
        <v>1</v>
      </c>
      <c r="B8" s="34" t="s">
        <v>197</v>
      </c>
      <c r="C8" s="35" t="s">
        <v>18</v>
      </c>
      <c r="D8" s="36" t="s">
        <v>19</v>
      </c>
      <c r="E8" s="37">
        <v>3.984</v>
      </c>
      <c r="F8" s="247"/>
      <c r="G8" s="38">
        <f>CEILING(E8*F8,1)</f>
        <v>0</v>
      </c>
      <c r="H8" s="39">
        <v>0.0706</v>
      </c>
      <c r="I8" s="39">
        <f aca="true" t="shared" si="0" ref="I8:I16">E8*H8</f>
        <v>0.2812704</v>
      </c>
      <c r="J8" s="39">
        <v>0</v>
      </c>
      <c r="K8" s="39">
        <f aca="true" t="shared" si="1" ref="K8:K16">E8*J8</f>
        <v>0</v>
      </c>
    </row>
    <row r="9" spans="1:11" s="40" customFormat="1" ht="12.75">
      <c r="A9" s="33">
        <v>2</v>
      </c>
      <c r="B9" s="34" t="s">
        <v>198</v>
      </c>
      <c r="C9" s="35" t="s">
        <v>20</v>
      </c>
      <c r="D9" s="36" t="s">
        <v>21</v>
      </c>
      <c r="E9" s="37">
        <v>2.24</v>
      </c>
      <c r="F9" s="247"/>
      <c r="G9" s="38">
        <f aca="true" t="shared" si="2" ref="G9:G16">CEILING(E9*F9,1)</f>
        <v>0</v>
      </c>
      <c r="H9" s="39">
        <v>8E-05</v>
      </c>
      <c r="I9" s="39">
        <f t="shared" si="0"/>
        <v>0.00017920000000000002</v>
      </c>
      <c r="J9" s="39">
        <v>0</v>
      </c>
      <c r="K9" s="39">
        <f t="shared" si="1"/>
        <v>0</v>
      </c>
    </row>
    <row r="10" spans="1:11" s="40" customFormat="1" ht="12.75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0.00102</v>
      </c>
      <c r="I10" s="39">
        <f t="shared" si="0"/>
        <v>0.0051</v>
      </c>
      <c r="J10" s="39">
        <v>0</v>
      </c>
      <c r="K10" s="39">
        <f t="shared" si="1"/>
        <v>0</v>
      </c>
    </row>
    <row r="11" spans="1:11" s="40" customFormat="1" ht="25.5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0.02752</v>
      </c>
      <c r="I11" s="39">
        <f t="shared" si="0"/>
        <v>0.02752</v>
      </c>
      <c r="J11" s="39">
        <v>0</v>
      </c>
      <c r="K11" s="39">
        <f t="shared" si="1"/>
        <v>0</v>
      </c>
    </row>
    <row r="12" spans="1:11" s="40" customFormat="1" ht="12.75">
      <c r="A12" s="33">
        <v>5</v>
      </c>
      <c r="B12" s="34" t="s">
        <v>201</v>
      </c>
      <c r="C12" s="35" t="s">
        <v>510</v>
      </c>
      <c r="D12" s="36" t="s">
        <v>19</v>
      </c>
      <c r="E12" s="37">
        <v>8.24</v>
      </c>
      <c r="F12" s="247"/>
      <c r="G12" s="38">
        <f t="shared" si="2"/>
        <v>0</v>
      </c>
      <c r="H12" s="39">
        <v>0.01696</v>
      </c>
      <c r="I12" s="39">
        <f t="shared" si="0"/>
        <v>0.1397504</v>
      </c>
      <c r="J12" s="39">
        <v>0</v>
      </c>
      <c r="K12" s="39">
        <f t="shared" si="1"/>
        <v>0</v>
      </c>
    </row>
    <row r="13" spans="1:11" s="40" customFormat="1" ht="12.75">
      <c r="A13" s="33">
        <v>6</v>
      </c>
      <c r="B13" s="276" t="s">
        <v>202</v>
      </c>
      <c r="C13" s="273" t="s">
        <v>513</v>
      </c>
      <c r="D13" s="274" t="s">
        <v>19</v>
      </c>
      <c r="E13" s="275">
        <v>0</v>
      </c>
      <c r="F13" s="279"/>
      <c r="G13" s="277">
        <f t="shared" si="2"/>
        <v>0</v>
      </c>
      <c r="H13" s="278">
        <v>0.0163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ht="12.75">
      <c r="A14" s="33">
        <v>7</v>
      </c>
      <c r="B14" s="34" t="s">
        <v>203</v>
      </c>
      <c r="C14" s="35" t="s">
        <v>514</v>
      </c>
      <c r="D14" s="36" t="s">
        <v>19</v>
      </c>
      <c r="E14" s="37">
        <v>0.72</v>
      </c>
      <c r="F14" s="247"/>
      <c r="G14" s="38">
        <f t="shared" si="2"/>
        <v>0</v>
      </c>
      <c r="H14" s="39">
        <v>0.06981</v>
      </c>
      <c r="I14" s="39">
        <f t="shared" si="0"/>
        <v>0.050263199999999994</v>
      </c>
      <c r="J14" s="39">
        <v>0</v>
      </c>
      <c r="K14" s="39">
        <f t="shared" si="1"/>
        <v>0</v>
      </c>
    </row>
    <row r="15" spans="1:11" s="40" customFormat="1" ht="12.75">
      <c r="A15" s="33">
        <v>8</v>
      </c>
      <c r="B15" s="34" t="s">
        <v>204</v>
      </c>
      <c r="C15" s="35" t="s">
        <v>512</v>
      </c>
      <c r="D15" s="36" t="s">
        <v>24</v>
      </c>
      <c r="E15" s="37">
        <v>1</v>
      </c>
      <c r="F15" s="247"/>
      <c r="G15" s="38">
        <f t="shared" si="2"/>
        <v>0</v>
      </c>
      <c r="H15" s="39">
        <v>0.00024</v>
      </c>
      <c r="I15" s="39">
        <f t="shared" si="0"/>
        <v>0.00024</v>
      </c>
      <c r="J15" s="39">
        <v>0</v>
      </c>
      <c r="K15" s="39">
        <f t="shared" si="1"/>
        <v>0</v>
      </c>
    </row>
    <row r="16" spans="1:11" s="40" customFormat="1" ht="12.75">
      <c r="A16" s="33">
        <v>9</v>
      </c>
      <c r="B16" s="34" t="s">
        <v>205</v>
      </c>
      <c r="C16" s="35" t="s">
        <v>511</v>
      </c>
      <c r="D16" s="36" t="s">
        <v>24</v>
      </c>
      <c r="E16" s="37">
        <v>1</v>
      </c>
      <c r="F16" s="247"/>
      <c r="G16" s="38">
        <f t="shared" si="2"/>
        <v>0</v>
      </c>
      <c r="H16" s="39">
        <v>0.01334</v>
      </c>
      <c r="I16" s="39">
        <f t="shared" si="0"/>
        <v>0.01334</v>
      </c>
      <c r="J16" s="39">
        <v>0</v>
      </c>
      <c r="K16" s="39">
        <f t="shared" si="1"/>
        <v>0</v>
      </c>
    </row>
    <row r="17" spans="1:11" s="40" customFormat="1" ht="12.75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0.5176632</v>
      </c>
      <c r="J17" s="46"/>
      <c r="K17" s="47">
        <f>SUM(K7:K16)</f>
        <v>0</v>
      </c>
    </row>
    <row r="18" spans="1:11" s="40" customFormat="1" ht="12.75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ht="12.75">
      <c r="A19" s="33">
        <v>10</v>
      </c>
      <c r="B19" s="34" t="s">
        <v>206</v>
      </c>
      <c r="C19" s="35" t="s">
        <v>27</v>
      </c>
      <c r="D19" s="36" t="s">
        <v>19</v>
      </c>
      <c r="E19" s="37">
        <v>3.5</v>
      </c>
      <c r="F19" s="247"/>
      <c r="G19" s="38">
        <f aca="true" t="shared" si="3" ref="G19:G22">CEILING(E19*F19,1)</f>
        <v>0</v>
      </c>
      <c r="H19" s="39">
        <v>0.01232</v>
      </c>
      <c r="I19" s="39">
        <f>E19*H19</f>
        <v>0.04312</v>
      </c>
      <c r="J19" s="39">
        <v>0</v>
      </c>
      <c r="K19" s="39">
        <f>E19*J19</f>
        <v>0</v>
      </c>
    </row>
    <row r="20" spans="1:11" s="40" customFormat="1" ht="12.75">
      <c r="A20" s="33">
        <v>11</v>
      </c>
      <c r="B20" s="34" t="s">
        <v>207</v>
      </c>
      <c r="C20" s="35" t="s">
        <v>28</v>
      </c>
      <c r="D20" s="36" t="s">
        <v>19</v>
      </c>
      <c r="E20" s="37">
        <v>2.84</v>
      </c>
      <c r="F20" s="247"/>
      <c r="G20" s="38">
        <f t="shared" si="3"/>
        <v>0</v>
      </c>
      <c r="H20" s="39">
        <v>0.01193</v>
      </c>
      <c r="I20" s="39">
        <f>E20*H20</f>
        <v>0.0338812</v>
      </c>
      <c r="J20" s="39">
        <v>0</v>
      </c>
      <c r="K20" s="39">
        <f>E20*J20</f>
        <v>0</v>
      </c>
    </row>
    <row r="21" spans="1:11" s="40" customFormat="1" ht="12.75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>
      <c r="A22" s="33">
        <v>13</v>
      </c>
      <c r="B22" s="34" t="s">
        <v>209</v>
      </c>
      <c r="C22" s="35" t="s">
        <v>30</v>
      </c>
      <c r="D22" s="36" t="s">
        <v>19</v>
      </c>
      <c r="E22" s="37">
        <v>6.34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ht="12.75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0.07700119999999999</v>
      </c>
      <c r="J23" s="46"/>
      <c r="K23" s="47">
        <f>SUM(K18:K22)</f>
        <v>0</v>
      </c>
    </row>
    <row r="24" spans="1:11" s="40" customFormat="1" ht="12.75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ht="12.75">
      <c r="A25" s="33">
        <v>14</v>
      </c>
      <c r="B25" s="34" t="s">
        <v>210</v>
      </c>
      <c r="C25" s="35" t="s">
        <v>33</v>
      </c>
      <c r="D25" s="36" t="s">
        <v>19</v>
      </c>
      <c r="E25" s="37">
        <v>4.4</v>
      </c>
      <c r="F25" s="247"/>
      <c r="G25" s="38">
        <f aca="true" t="shared" si="4" ref="G25:G31">CEILING(E25*F25,1)</f>
        <v>0</v>
      </c>
      <c r="H25" s="39">
        <v>4E-05</v>
      </c>
      <c r="I25" s="39">
        <f aca="true" t="shared" si="5" ref="I25:I31">E25*H25</f>
        <v>0.00017600000000000002</v>
      </c>
      <c r="J25" s="39">
        <v>0</v>
      </c>
      <c r="K25" s="39">
        <f aca="true" t="shared" si="6" ref="K25:K31">E25*J25</f>
        <v>0</v>
      </c>
    </row>
    <row r="26" spans="1:11" s="40" customFormat="1" ht="12.75">
      <c r="A26" s="33">
        <v>15</v>
      </c>
      <c r="B26" s="34" t="s">
        <v>211</v>
      </c>
      <c r="C26" s="35" t="s">
        <v>34</v>
      </c>
      <c r="D26" s="36" t="s">
        <v>19</v>
      </c>
      <c r="E26" s="37">
        <v>15.98</v>
      </c>
      <c r="F26" s="247"/>
      <c r="G26" s="38">
        <f t="shared" si="4"/>
        <v>0</v>
      </c>
      <c r="H26" s="39">
        <v>0.00645</v>
      </c>
      <c r="I26" s="39">
        <f t="shared" si="5"/>
        <v>0.103071</v>
      </c>
      <c r="J26" s="39">
        <v>0</v>
      </c>
      <c r="K26" s="39">
        <f t="shared" si="6"/>
        <v>0</v>
      </c>
    </row>
    <row r="27" spans="1:11" s="40" customFormat="1" ht="12.75">
      <c r="A27" s="33">
        <v>16</v>
      </c>
      <c r="B27" s="34" t="s">
        <v>212</v>
      </c>
      <c r="C27" s="35" t="s">
        <v>35</v>
      </c>
      <c r="D27" s="36" t="s">
        <v>19</v>
      </c>
      <c r="E27" s="37">
        <v>40.182</v>
      </c>
      <c r="F27" s="247"/>
      <c r="G27" s="38">
        <f t="shared" si="4"/>
        <v>0</v>
      </c>
      <c r="H27" s="39">
        <v>0.00579</v>
      </c>
      <c r="I27" s="39">
        <f t="shared" si="5"/>
        <v>0.23265378</v>
      </c>
      <c r="J27" s="39">
        <v>0</v>
      </c>
      <c r="K27" s="39">
        <f t="shared" si="6"/>
        <v>0</v>
      </c>
    </row>
    <row r="28" spans="1:11" s="40" customFormat="1" ht="25.5">
      <c r="A28" s="33">
        <v>17</v>
      </c>
      <c r="B28" s="34" t="s">
        <v>213</v>
      </c>
      <c r="C28" s="35" t="s">
        <v>36</v>
      </c>
      <c r="D28" s="36" t="s">
        <v>19</v>
      </c>
      <c r="E28" s="37">
        <v>14.0414</v>
      </c>
      <c r="F28" s="247"/>
      <c r="G28" s="38">
        <f t="shared" si="4"/>
        <v>0</v>
      </c>
      <c r="H28" s="39">
        <v>0.00367</v>
      </c>
      <c r="I28" s="39">
        <f t="shared" si="5"/>
        <v>0.051531938</v>
      </c>
      <c r="J28" s="39">
        <v>0</v>
      </c>
      <c r="K28" s="39">
        <f t="shared" si="6"/>
        <v>0</v>
      </c>
    </row>
    <row r="29" spans="1:11" s="40" customFormat="1" ht="12.75">
      <c r="A29" s="33">
        <v>18</v>
      </c>
      <c r="B29" s="34" t="s">
        <v>214</v>
      </c>
      <c r="C29" s="35" t="s">
        <v>37</v>
      </c>
      <c r="D29" s="36" t="s">
        <v>19</v>
      </c>
      <c r="E29" s="37">
        <v>3.984</v>
      </c>
      <c r="F29" s="247"/>
      <c r="G29" s="38">
        <f t="shared" si="4"/>
        <v>0</v>
      </c>
      <c r="H29" s="39">
        <v>0.00635</v>
      </c>
      <c r="I29" s="39">
        <f t="shared" si="5"/>
        <v>0.0252984</v>
      </c>
      <c r="J29" s="39">
        <v>0</v>
      </c>
      <c r="K29" s="39">
        <f t="shared" si="6"/>
        <v>0</v>
      </c>
    </row>
    <row r="30" spans="1:11" s="40" customFormat="1" ht="12.75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0.01577</v>
      </c>
      <c r="I30" s="39">
        <f t="shared" si="5"/>
        <v>0.03154</v>
      </c>
      <c r="J30" s="39">
        <v>0</v>
      </c>
      <c r="K30" s="39">
        <f t="shared" si="6"/>
        <v>0</v>
      </c>
    </row>
    <row r="31" spans="1:11" s="40" customFormat="1" ht="12.75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0.04543</v>
      </c>
      <c r="I31" s="39">
        <f t="shared" si="5"/>
        <v>0.04543</v>
      </c>
      <c r="J31" s="39">
        <v>0</v>
      </c>
      <c r="K31" s="39">
        <f t="shared" si="6"/>
        <v>0</v>
      </c>
    </row>
    <row r="32" spans="1:11" s="40" customFormat="1" ht="12.75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0.48970111800000005</v>
      </c>
      <c r="J32" s="46"/>
      <c r="K32" s="47">
        <f>SUM(K24:K31)</f>
        <v>0</v>
      </c>
    </row>
    <row r="33" spans="1:11" s="40" customFormat="1" ht="12.75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ht="12.75">
      <c r="A34" s="33">
        <v>21</v>
      </c>
      <c r="B34" s="34" t="s">
        <v>217</v>
      </c>
      <c r="C34" s="35" t="s">
        <v>42</v>
      </c>
      <c r="D34" s="36" t="s">
        <v>21</v>
      </c>
      <c r="E34" s="37">
        <v>2.45</v>
      </c>
      <c r="F34" s="247"/>
      <c r="G34" s="38">
        <f aca="true" t="shared" si="7" ref="G34:G37">CEILING(E34*F34,1)</f>
        <v>0</v>
      </c>
      <c r="H34" s="39">
        <v>0.00665</v>
      </c>
      <c r="I34" s="39">
        <f>E34*H34</f>
        <v>0.0162925</v>
      </c>
      <c r="J34" s="39">
        <v>0</v>
      </c>
      <c r="K34" s="39">
        <f>E34*J34</f>
        <v>0</v>
      </c>
    </row>
    <row r="35" spans="1:11" s="40" customFormat="1" ht="12.75">
      <c r="A35" s="33"/>
      <c r="B35" s="34"/>
      <c r="C35" s="35"/>
      <c r="D35" s="36" t="s">
        <v>21</v>
      </c>
      <c r="E35" s="37"/>
      <c r="F35" s="247"/>
      <c r="G35" s="38">
        <f t="shared" si="7"/>
        <v>0</v>
      </c>
      <c r="H35" s="39">
        <v>0.00182</v>
      </c>
      <c r="I35" s="39">
        <f>E35*H35</f>
        <v>0</v>
      </c>
      <c r="J35" s="39">
        <v>0</v>
      </c>
      <c r="K35" s="39">
        <f>E35*J35</f>
        <v>0</v>
      </c>
    </row>
    <row r="36" spans="1:11" s="40" customFormat="1" ht="12.75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0.01897</v>
      </c>
      <c r="I36" s="39">
        <f>E36*H36</f>
        <v>0.01897</v>
      </c>
      <c r="J36" s="39">
        <v>0</v>
      </c>
      <c r="K36" s="39">
        <f>E36*J36</f>
        <v>0</v>
      </c>
    </row>
    <row r="37" spans="1:11" s="40" customFormat="1" ht="12.75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0.0183</v>
      </c>
      <c r="I37" s="39">
        <f>E37*H37</f>
        <v>0.0183</v>
      </c>
      <c r="J37" s="39">
        <v>0</v>
      </c>
      <c r="K37" s="39">
        <f>E37*J37</f>
        <v>0</v>
      </c>
    </row>
    <row r="38" spans="1:11" s="40" customFormat="1" ht="12.75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0.0535625</v>
      </c>
      <c r="J38" s="46"/>
      <c r="K38" s="47">
        <f>SUM(K33:K37)</f>
        <v>0</v>
      </c>
    </row>
    <row r="39" spans="1:11" s="40" customFormat="1" ht="12.75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ht="12.75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aca="true" t="shared" si="8" ref="G40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ht="12.75">
      <c r="A41" s="41"/>
      <c r="B41" s="42" t="s">
        <v>15</v>
      </c>
      <c r="C41" s="43" t="str">
        <f>CONCATENATE(B39," ",C39)</f>
        <v>90 Přípočty</v>
      </c>
      <c r="D41" s="41"/>
      <c r="E41" s="44"/>
      <c r="F41" s="44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ht="12.75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ht="12.75">
      <c r="A43" s="33">
        <v>26</v>
      </c>
      <c r="B43" s="34" t="s">
        <v>220</v>
      </c>
      <c r="C43" s="35" t="s">
        <v>51</v>
      </c>
      <c r="D43" s="36" t="s">
        <v>19</v>
      </c>
      <c r="E43" s="37">
        <v>22.32</v>
      </c>
      <c r="F43" s="247"/>
      <c r="G43" s="38">
        <f aca="true" t="shared" si="9" ref="G43">CEILING(E43*F43,1)</f>
        <v>0</v>
      </c>
      <c r="H43" s="39">
        <v>0.00121</v>
      </c>
      <c r="I43" s="39">
        <f>E43*H43</f>
        <v>0.0270072</v>
      </c>
      <c r="J43" s="39">
        <v>0</v>
      </c>
      <c r="K43" s="39">
        <f>E43*J43</f>
        <v>0</v>
      </c>
    </row>
    <row r="44" spans="1:11" s="40" customFormat="1" ht="12.75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0.0270072</v>
      </c>
      <c r="J44" s="46"/>
      <c r="K44" s="47">
        <f>SUM(K42:K43)</f>
        <v>0</v>
      </c>
    </row>
    <row r="45" spans="1:11" s="40" customFormat="1" ht="12.75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ht="12.75">
      <c r="A46" s="33">
        <v>27</v>
      </c>
      <c r="B46" s="34" t="s">
        <v>221</v>
      </c>
      <c r="C46" s="35" t="s">
        <v>54</v>
      </c>
      <c r="D46" s="36" t="s">
        <v>19</v>
      </c>
      <c r="E46" s="37">
        <v>22.32</v>
      </c>
      <c r="F46" s="247"/>
      <c r="G46" s="38">
        <f aca="true" t="shared" si="10" ref="G46">CEILING(E46*F46,1)</f>
        <v>0</v>
      </c>
      <c r="H46" s="39">
        <v>4E-05</v>
      </c>
      <c r="I46" s="39">
        <f>E46*H46</f>
        <v>0.0008928000000000001</v>
      </c>
      <c r="J46" s="39">
        <v>0</v>
      </c>
      <c r="K46" s="39">
        <f>E46*J46</f>
        <v>0</v>
      </c>
    </row>
    <row r="47" spans="1:11" s="40" customFormat="1" ht="12.75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0.0008928000000000001</v>
      </c>
      <c r="J47" s="46"/>
      <c r="K47" s="47">
        <f>SUM(K45:K46)</f>
        <v>0</v>
      </c>
    </row>
    <row r="48" spans="1:11" s="40" customFormat="1" ht="12.75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ht="12.75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aca="true" t="shared" si="11" ref="G49:G79">CEILING(E49*F49,1)</f>
        <v>0</v>
      </c>
      <c r="H49" s="39">
        <v>0</v>
      </c>
      <c r="I49" s="39">
        <f aca="true" t="shared" si="12" ref="I49:I79">E49*H49</f>
        <v>0</v>
      </c>
      <c r="J49" s="39">
        <v>-0.00046</v>
      </c>
      <c r="K49" s="39">
        <f aca="true" t="shared" si="13" ref="K49:K79">E49*J49</f>
        <v>-0.00115</v>
      </c>
    </row>
    <row r="50" spans="1:11" s="40" customFormat="1" ht="12.75">
      <c r="A50" s="33">
        <v>29</v>
      </c>
      <c r="B50" s="34" t="s">
        <v>223</v>
      </c>
      <c r="C50" s="35" t="s">
        <v>58</v>
      </c>
      <c r="D50" s="36" t="s">
        <v>19</v>
      </c>
      <c r="E50" s="37">
        <v>2.224</v>
      </c>
      <c r="F50" s="247"/>
      <c r="G50" s="38">
        <f t="shared" si="11"/>
        <v>0</v>
      </c>
      <c r="H50" s="39">
        <v>0.00067</v>
      </c>
      <c r="I50" s="39">
        <f t="shared" si="12"/>
        <v>0.0014900800000000002</v>
      </c>
      <c r="J50" s="39">
        <v>-0.113</v>
      </c>
      <c r="K50" s="39">
        <f t="shared" si="13"/>
        <v>-0.25131200000000004</v>
      </c>
    </row>
    <row r="51" spans="1:11" s="40" customFormat="1" ht="12.75">
      <c r="A51" s="33">
        <v>30</v>
      </c>
      <c r="B51" s="34" t="s">
        <v>224</v>
      </c>
      <c r="C51" s="35" t="s">
        <v>59</v>
      </c>
      <c r="D51" s="36" t="s">
        <v>19</v>
      </c>
      <c r="E51" s="37">
        <v>20.8885</v>
      </c>
      <c r="F51" s="247"/>
      <c r="G51" s="38">
        <f t="shared" si="11"/>
        <v>0</v>
      </c>
      <c r="H51" s="39">
        <v>0.00067</v>
      </c>
      <c r="I51" s="39">
        <f t="shared" si="12"/>
        <v>0.013995295000000001</v>
      </c>
      <c r="J51" s="39">
        <v>-0.1</v>
      </c>
      <c r="K51" s="39">
        <f t="shared" si="13"/>
        <v>-2.0888500000000003</v>
      </c>
    </row>
    <row r="52" spans="1:11" s="40" customFormat="1" ht="12.75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ht="12.75">
      <c r="A53" s="33">
        <v>32</v>
      </c>
      <c r="B53" s="34" t="s">
        <v>226</v>
      </c>
      <c r="C53" s="35" t="s">
        <v>61</v>
      </c>
      <c r="D53" s="36" t="s">
        <v>19</v>
      </c>
      <c r="E53" s="37">
        <v>4.646</v>
      </c>
      <c r="F53" s="247"/>
      <c r="G53" s="38">
        <f t="shared" si="11"/>
        <v>0</v>
      </c>
      <c r="H53" s="39">
        <v>0.00117</v>
      </c>
      <c r="I53" s="39">
        <f t="shared" si="12"/>
        <v>0.00543582</v>
      </c>
      <c r="J53" s="39">
        <v>-0.076</v>
      </c>
      <c r="K53" s="39">
        <f t="shared" si="13"/>
        <v>-0.35309599999999997</v>
      </c>
    </row>
    <row r="54" spans="1:11" s="40" customFormat="1" ht="12.75">
      <c r="A54" s="33">
        <v>33</v>
      </c>
      <c r="B54" s="34" t="s">
        <v>227</v>
      </c>
      <c r="C54" s="35" t="s">
        <v>62</v>
      </c>
      <c r="D54" s="36" t="s">
        <v>21</v>
      </c>
      <c r="E54" s="37">
        <v>2.45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-0.01113</v>
      </c>
      <c r="K54" s="39">
        <f t="shared" si="13"/>
        <v>-0.0272685</v>
      </c>
    </row>
    <row r="55" spans="1:11" s="40" customFormat="1" ht="12.75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0.00038</v>
      </c>
      <c r="I55" s="39">
        <f t="shared" si="12"/>
        <v>0.00152</v>
      </c>
      <c r="J55" s="39">
        <v>-0.013</v>
      </c>
      <c r="K55" s="39">
        <f t="shared" si="13"/>
        <v>-0.052</v>
      </c>
    </row>
    <row r="56" spans="1:11" s="40" customFormat="1" ht="12.75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0.00059</v>
      </c>
      <c r="I56" s="39">
        <f t="shared" si="12"/>
        <v>0.00177</v>
      </c>
      <c r="J56" s="39">
        <v>-0.037</v>
      </c>
      <c r="K56" s="39">
        <f t="shared" si="13"/>
        <v>-0.11099999999999999</v>
      </c>
    </row>
    <row r="57" spans="1:11" s="40" customFormat="1" ht="12.75">
      <c r="A57" s="33">
        <v>36</v>
      </c>
      <c r="B57" s="34" t="s">
        <v>230</v>
      </c>
      <c r="C57" s="35" t="s">
        <v>65</v>
      </c>
      <c r="D57" s="36" t="s">
        <v>21</v>
      </c>
      <c r="E57" s="37">
        <v>27.03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ht="12.75">
      <c r="A58" s="33">
        <v>37</v>
      </c>
      <c r="B58" s="34" t="s">
        <v>231</v>
      </c>
      <c r="C58" s="35" t="s">
        <v>66</v>
      </c>
      <c r="D58" s="36" t="s">
        <v>19</v>
      </c>
      <c r="E58" s="37">
        <v>22.48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-0.001</v>
      </c>
      <c r="K58" s="39">
        <f t="shared" si="13"/>
        <v>-0.02248</v>
      </c>
    </row>
    <row r="59" spans="1:11" s="40" customFormat="1" ht="12.75">
      <c r="A59" s="33">
        <v>38</v>
      </c>
      <c r="B59" s="34" t="s">
        <v>232</v>
      </c>
      <c r="C59" s="35" t="s">
        <v>67</v>
      </c>
      <c r="D59" s="36" t="s">
        <v>19</v>
      </c>
      <c r="E59" s="37">
        <v>22.48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ht="12.75">
      <c r="A60" s="33">
        <v>39</v>
      </c>
      <c r="B60" s="34" t="s">
        <v>233</v>
      </c>
      <c r="C60" s="35" t="s">
        <v>68</v>
      </c>
      <c r="D60" s="36" t="s">
        <v>19</v>
      </c>
      <c r="E60" s="37">
        <v>62.512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ht="12.75">
      <c r="A61" s="33">
        <v>40</v>
      </c>
      <c r="B61" s="34" t="s">
        <v>234</v>
      </c>
      <c r="C61" s="35" t="s">
        <v>69</v>
      </c>
      <c r="D61" s="36" t="s">
        <v>19</v>
      </c>
      <c r="E61" s="37">
        <v>40.032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-0.004</v>
      </c>
      <c r="K61" s="39">
        <f t="shared" si="13"/>
        <v>-0.160128</v>
      </c>
    </row>
    <row r="62" spans="1:11" s="40" customFormat="1" ht="12.75">
      <c r="A62" s="33">
        <v>41</v>
      </c>
      <c r="B62" s="34" t="s">
        <v>235</v>
      </c>
      <c r="C62" s="35" t="s">
        <v>70</v>
      </c>
      <c r="D62" s="36" t="s">
        <v>19</v>
      </c>
      <c r="E62" s="37">
        <v>22.48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-0.004</v>
      </c>
      <c r="K62" s="39">
        <f t="shared" si="13"/>
        <v>-0.08992</v>
      </c>
    </row>
    <row r="63" spans="1:11" s="40" customFormat="1" ht="12.75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-0.0881</v>
      </c>
      <c r="K63" s="39">
        <f t="shared" si="13"/>
        <v>-0.1762</v>
      </c>
    </row>
    <row r="64" spans="1:11" s="40" customFormat="1" ht="12.75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ht="12.75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-0.00223</v>
      </c>
      <c r="K65" s="39">
        <f t="shared" si="13"/>
        <v>-0.00223</v>
      </c>
    </row>
    <row r="66" spans="1:11" s="40" customFormat="1" ht="12.75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-0.0342</v>
      </c>
      <c r="K66" s="39">
        <f t="shared" si="13"/>
        <v>-0.0342</v>
      </c>
    </row>
    <row r="67" spans="1:11" s="40" customFormat="1" ht="12.75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-0.0329</v>
      </c>
      <c r="K67" s="39">
        <f t="shared" si="13"/>
        <v>-0.0329</v>
      </c>
    </row>
    <row r="68" spans="1:11" s="40" customFormat="1" ht="12.75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-0.01946</v>
      </c>
      <c r="K68" s="39">
        <f t="shared" si="13"/>
        <v>-0.01946</v>
      </c>
    </row>
    <row r="69" spans="1:11" s="40" customFormat="1" ht="12.75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-0.00156</v>
      </c>
      <c r="K69" s="39">
        <f t="shared" si="13"/>
        <v>-0.00312</v>
      </c>
    </row>
    <row r="70" spans="1:11" s="40" customFormat="1" ht="12.75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-0.00085</v>
      </c>
      <c r="K70" s="39">
        <f t="shared" si="13"/>
        <v>-0.0017</v>
      </c>
    </row>
    <row r="71" spans="1:11" s="40" customFormat="1" ht="12.75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-0.00049</v>
      </c>
      <c r="K71" s="39">
        <f t="shared" si="13"/>
        <v>-0.00049</v>
      </c>
    </row>
    <row r="72" spans="1:11" s="40" customFormat="1" ht="12.75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ht="12.75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ht="12.75">
      <c r="A74" s="33">
        <v>53</v>
      </c>
      <c r="B74" s="34" t="s">
        <v>245</v>
      </c>
      <c r="C74" s="35" t="s">
        <v>86</v>
      </c>
      <c r="D74" s="36" t="s">
        <v>87</v>
      </c>
      <c r="E74" s="37">
        <v>3.56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ht="12.75">
      <c r="A75" s="33">
        <v>54</v>
      </c>
      <c r="B75" s="34" t="s">
        <v>330</v>
      </c>
      <c r="C75" s="35" t="s">
        <v>331</v>
      </c>
      <c r="D75" s="36" t="s">
        <v>87</v>
      </c>
      <c r="E75" s="37">
        <v>10.68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ht="12.75">
      <c r="A76" s="33">
        <v>55</v>
      </c>
      <c r="B76" s="34" t="s">
        <v>246</v>
      </c>
      <c r="C76" s="35" t="s">
        <v>88</v>
      </c>
      <c r="D76" s="36" t="s">
        <v>87</v>
      </c>
      <c r="E76" s="37">
        <v>3.56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ht="12.75">
      <c r="A77" s="33">
        <v>56</v>
      </c>
      <c r="B77" s="34" t="s">
        <v>247</v>
      </c>
      <c r="C77" s="35" t="s">
        <v>89</v>
      </c>
      <c r="D77" s="36" t="s">
        <v>87</v>
      </c>
      <c r="E77" s="37">
        <v>14.24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ht="12.75">
      <c r="A78" s="33">
        <v>57</v>
      </c>
      <c r="B78" s="34" t="s">
        <v>248</v>
      </c>
      <c r="C78" s="35" t="s">
        <v>90</v>
      </c>
      <c r="D78" s="36" t="s">
        <v>87</v>
      </c>
      <c r="E78" s="37">
        <v>3.56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ht="12.75">
      <c r="A79" s="33">
        <v>58</v>
      </c>
      <c r="B79" s="34" t="s">
        <v>249</v>
      </c>
      <c r="C79" s="35" t="s">
        <v>91</v>
      </c>
      <c r="D79" s="36" t="s">
        <v>87</v>
      </c>
      <c r="E79" s="37">
        <v>3.56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ht="12.75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44"/>
      <c r="G80" s="45">
        <f>SUM(G48:G79)</f>
        <v>0</v>
      </c>
      <c r="H80" s="46"/>
      <c r="I80" s="47">
        <f>SUM(I48:I79)</f>
        <v>0.024211195</v>
      </c>
      <c r="J80" s="46"/>
      <c r="K80" s="47">
        <f>SUM(K48:K79)</f>
        <v>-3.5379045</v>
      </c>
    </row>
    <row r="81" spans="1:11" s="40" customFormat="1" ht="12.75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ht="12.75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1.190039213</v>
      </c>
      <c r="F82" s="247"/>
      <c r="G82" s="38">
        <f aca="true" t="shared" si="14" ref="G82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ht="12.75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ht="12.75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ht="12.75">
      <c r="A85" s="33">
        <v>60</v>
      </c>
      <c r="B85" s="34" t="s">
        <v>251</v>
      </c>
      <c r="C85" s="35" t="s">
        <v>97</v>
      </c>
      <c r="D85" s="36" t="s">
        <v>19</v>
      </c>
      <c r="E85" s="37">
        <v>6.3975</v>
      </c>
      <c r="F85" s="247"/>
      <c r="G85" s="38">
        <f aca="true" t="shared" si="15" ref="G85:G89">CEILING(E85*F85,1)</f>
        <v>0</v>
      </c>
      <c r="H85" s="39">
        <v>0.00021</v>
      </c>
      <c r="I85" s="39">
        <f>E85*H85</f>
        <v>0.001343475</v>
      </c>
      <c r="J85" s="39">
        <v>0</v>
      </c>
      <c r="K85" s="39">
        <f>E85*J85</f>
        <v>0</v>
      </c>
    </row>
    <row r="86" spans="1:11" s="40" customFormat="1" ht="12.75">
      <c r="A86" s="33">
        <v>61</v>
      </c>
      <c r="B86" s="34" t="s">
        <v>252</v>
      </c>
      <c r="C86" s="35" t="s">
        <v>98</v>
      </c>
      <c r="D86" s="36" t="s">
        <v>19</v>
      </c>
      <c r="E86" s="37">
        <v>6.3975</v>
      </c>
      <c r="F86" s="247"/>
      <c r="G86" s="38">
        <f t="shared" si="15"/>
        <v>0</v>
      </c>
      <c r="H86" s="39">
        <v>0.00368</v>
      </c>
      <c r="I86" s="39">
        <f>E86*H86</f>
        <v>0.0235428</v>
      </c>
      <c r="J86" s="39">
        <v>0</v>
      </c>
      <c r="K86" s="39">
        <f>E86*J86</f>
        <v>0</v>
      </c>
    </row>
    <row r="87" spans="1:11" s="40" customFormat="1" ht="12.75">
      <c r="A87" s="33">
        <v>62</v>
      </c>
      <c r="B87" s="34" t="s">
        <v>253</v>
      </c>
      <c r="C87" s="35" t="s">
        <v>99</v>
      </c>
      <c r="D87" s="36" t="s">
        <v>21</v>
      </c>
      <c r="E87" s="37">
        <v>2.55</v>
      </c>
      <c r="F87" s="247"/>
      <c r="G87" s="38">
        <f t="shared" si="15"/>
        <v>0</v>
      </c>
      <c r="H87" s="39">
        <v>0.00032</v>
      </c>
      <c r="I87" s="39">
        <f>E87*H87</f>
        <v>0.000816</v>
      </c>
      <c r="J87" s="39">
        <v>0</v>
      </c>
      <c r="K87" s="39">
        <f>E87*J87</f>
        <v>0</v>
      </c>
    </row>
    <row r="88" spans="1:11" s="40" customFormat="1" ht="12.75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0.00043</v>
      </c>
      <c r="I88" s="39">
        <f>E88*H88</f>
        <v>0.00086</v>
      </c>
      <c r="J88" s="39">
        <v>0</v>
      </c>
      <c r="K88" s="39">
        <f>E88*J88</f>
        <v>0</v>
      </c>
    </row>
    <row r="89" spans="1:11" s="40" customFormat="1" ht="12.75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ht="12.75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0.026562275</v>
      </c>
      <c r="J90" s="46"/>
      <c r="K90" s="47">
        <f>SUM(K84:K89)</f>
        <v>0</v>
      </c>
    </row>
    <row r="91" spans="1:11" s="40" customFormat="1" ht="12.75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ht="12.75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aca="true" t="shared" si="16" ref="G92:G108">CEILING(E92*F92,1)</f>
        <v>0</v>
      </c>
      <c r="H92" s="39">
        <v>0.00038</v>
      </c>
      <c r="I92" s="39">
        <f aca="true" t="shared" si="17" ref="I92:I108">E92*H92</f>
        <v>0.00038</v>
      </c>
      <c r="J92" s="39">
        <v>0</v>
      </c>
      <c r="K92" s="39">
        <f aca="true" t="shared" si="18" ref="K92:K108">E92*J92</f>
        <v>0</v>
      </c>
    </row>
    <row r="93" spans="1:11" s="40" customFormat="1" ht="12.75">
      <c r="A93" s="33">
        <v>66</v>
      </c>
      <c r="B93" s="34" t="s">
        <v>257</v>
      </c>
      <c r="C93" s="35" t="s">
        <v>105</v>
      </c>
      <c r="D93" s="36" t="s">
        <v>24</v>
      </c>
      <c r="E93" s="37">
        <v>1</v>
      </c>
      <c r="F93" s="247"/>
      <c r="G93" s="38">
        <f t="shared" si="16"/>
        <v>0</v>
      </c>
      <c r="H93" s="39">
        <v>5E-05</v>
      </c>
      <c r="I93" s="39">
        <f t="shared" si="17"/>
        <v>5E-05</v>
      </c>
      <c r="J93" s="39">
        <v>0</v>
      </c>
      <c r="K93" s="39">
        <f t="shared" si="18"/>
        <v>0</v>
      </c>
    </row>
    <row r="94" spans="1:11" s="40" customFormat="1" ht="12.75">
      <c r="A94" s="33">
        <v>67</v>
      </c>
      <c r="B94" s="34" t="s">
        <v>258</v>
      </c>
      <c r="C94" s="35" t="s">
        <v>106</v>
      </c>
      <c r="D94" s="36" t="s">
        <v>24</v>
      </c>
      <c r="E94" s="37">
        <v>1</v>
      </c>
      <c r="F94" s="247"/>
      <c r="G94" s="38">
        <f t="shared" si="16"/>
        <v>0</v>
      </c>
      <c r="H94" s="39">
        <v>6E-05</v>
      </c>
      <c r="I94" s="39">
        <f t="shared" si="17"/>
        <v>6E-05</v>
      </c>
      <c r="J94" s="39">
        <v>0</v>
      </c>
      <c r="K94" s="39">
        <f t="shared" si="18"/>
        <v>0</v>
      </c>
    </row>
    <row r="95" spans="1:11" s="40" customFormat="1" ht="12.75">
      <c r="A95" s="33">
        <v>68</v>
      </c>
      <c r="B95" s="34" t="s">
        <v>259</v>
      </c>
      <c r="C95" s="35" t="s">
        <v>107</v>
      </c>
      <c r="D95" s="36" t="s">
        <v>21</v>
      </c>
      <c r="E95" s="37">
        <v>1.75</v>
      </c>
      <c r="F95" s="247"/>
      <c r="G95" s="38">
        <f t="shared" si="16"/>
        <v>0</v>
      </c>
      <c r="H95" s="39">
        <v>0.00047</v>
      </c>
      <c r="I95" s="39">
        <f t="shared" si="17"/>
        <v>0.0008225</v>
      </c>
      <c r="J95" s="39">
        <v>0</v>
      </c>
      <c r="K95" s="39">
        <f t="shared" si="18"/>
        <v>0</v>
      </c>
    </row>
    <row r="96" spans="1:11" s="40" customFormat="1" ht="12.75">
      <c r="A96" s="33">
        <v>69</v>
      </c>
      <c r="B96" s="34" t="s">
        <v>260</v>
      </c>
      <c r="C96" s="35" t="s">
        <v>108</v>
      </c>
      <c r="D96" s="36" t="s">
        <v>24</v>
      </c>
      <c r="E96" s="37">
        <v>1</v>
      </c>
      <c r="F96" s="247"/>
      <c r="G96" s="38">
        <f t="shared" si="16"/>
        <v>0</v>
      </c>
      <c r="H96" s="39">
        <v>7E-05</v>
      </c>
      <c r="I96" s="39">
        <f t="shared" si="17"/>
        <v>7E-05</v>
      </c>
      <c r="J96" s="39">
        <v>0</v>
      </c>
      <c r="K96" s="39">
        <f t="shared" si="18"/>
        <v>0</v>
      </c>
    </row>
    <row r="97" spans="1:11" s="40" customFormat="1" ht="12.75">
      <c r="A97" s="33">
        <v>70</v>
      </c>
      <c r="B97" s="34" t="s">
        <v>261</v>
      </c>
      <c r="C97" s="35" t="s">
        <v>109</v>
      </c>
      <c r="D97" s="36" t="s">
        <v>24</v>
      </c>
      <c r="E97" s="37">
        <v>2</v>
      </c>
      <c r="F97" s="247"/>
      <c r="G97" s="38">
        <f t="shared" si="16"/>
        <v>0</v>
      </c>
      <c r="H97" s="39">
        <v>5E-05</v>
      </c>
      <c r="I97" s="39">
        <f t="shared" si="17"/>
        <v>0.0001</v>
      </c>
      <c r="J97" s="39">
        <v>0</v>
      </c>
      <c r="K97" s="39">
        <f t="shared" si="18"/>
        <v>0</v>
      </c>
    </row>
    <row r="98" spans="1:11" s="40" customFormat="1" ht="12.75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6E-05</v>
      </c>
      <c r="I98" s="39">
        <f t="shared" si="17"/>
        <v>6E-05</v>
      </c>
      <c r="J98" s="39">
        <v>0</v>
      </c>
      <c r="K98" s="39">
        <f t="shared" si="18"/>
        <v>0</v>
      </c>
    </row>
    <row r="99" spans="1:11" s="40" customFormat="1" ht="12.75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0.00152</v>
      </c>
      <c r="I99" s="39">
        <f t="shared" si="17"/>
        <v>0.00228</v>
      </c>
      <c r="J99" s="39">
        <v>0</v>
      </c>
      <c r="K99" s="39">
        <f t="shared" si="18"/>
        <v>0</v>
      </c>
    </row>
    <row r="100" spans="1:11" s="40" customFormat="1" ht="12.75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0.00023</v>
      </c>
      <c r="I100" s="39">
        <f t="shared" si="17"/>
        <v>0.00046</v>
      </c>
      <c r="J100" s="39">
        <v>0</v>
      </c>
      <c r="K100" s="39">
        <f t="shared" si="18"/>
        <v>0</v>
      </c>
    </row>
    <row r="101" spans="1:11" s="40" customFormat="1" ht="12.75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0.00011</v>
      </c>
      <c r="I101" s="39">
        <f t="shared" si="17"/>
        <v>0.00011</v>
      </c>
      <c r="J101" s="39">
        <v>0</v>
      </c>
      <c r="K101" s="39">
        <f t="shared" si="18"/>
        <v>0</v>
      </c>
    </row>
    <row r="102" spans="1:11" s="40" customFormat="1" ht="12.75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0.0005</v>
      </c>
      <c r="I102" s="39">
        <f t="shared" si="17"/>
        <v>0.0005</v>
      </c>
      <c r="J102" s="39">
        <v>0</v>
      </c>
      <c r="K102" s="39">
        <f t="shared" si="18"/>
        <v>0</v>
      </c>
    </row>
    <row r="103" spans="1:11" s="40" customFormat="1" ht="12.75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ht="12.75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ht="12.75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ht="12.75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ht="12.75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4.25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ht="12.75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0.005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ht="12.75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248"/>
      <c r="G109" s="45">
        <f>SUM(G91:G108)</f>
        <v>0</v>
      </c>
      <c r="H109" s="46"/>
      <c r="I109" s="47">
        <f>SUM(I91:I108)</f>
        <v>0.004892499999999999</v>
      </c>
      <c r="J109" s="46"/>
      <c r="K109" s="47">
        <f>SUM(K91:K108)</f>
        <v>0</v>
      </c>
    </row>
    <row r="110" spans="1:11" s="40" customFormat="1" ht="12.75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ht="12.75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7.2</v>
      </c>
      <c r="F111" s="247"/>
      <c r="G111" s="38">
        <f aca="true" t="shared" si="19" ref="G111:G121">CEILING(E111*F111,1)</f>
        <v>0</v>
      </c>
      <c r="H111" s="39">
        <v>0.00398</v>
      </c>
      <c r="I111" s="39">
        <f aca="true" t="shared" si="20" ref="I111:I121">E111*H111</f>
        <v>0.028656</v>
      </c>
      <c r="J111" s="39">
        <v>0</v>
      </c>
      <c r="K111" s="39">
        <f aca="true" t="shared" si="21" ref="K111:K121">E111*J111</f>
        <v>0</v>
      </c>
    </row>
    <row r="112" spans="1:11" s="40" customFormat="1" ht="12.75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6</v>
      </c>
      <c r="F112" s="247"/>
      <c r="G112" s="38">
        <f t="shared" si="19"/>
        <v>0</v>
      </c>
      <c r="H112" s="39">
        <v>0.00401</v>
      </c>
      <c r="I112" s="39">
        <f t="shared" si="20"/>
        <v>0.024059999999999998</v>
      </c>
      <c r="J112" s="39">
        <v>0</v>
      </c>
      <c r="K112" s="39">
        <f t="shared" si="21"/>
        <v>0</v>
      </c>
    </row>
    <row r="113" spans="1:11" s="40" customFormat="1" ht="12.75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ht="12.75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>
      <c r="A115" s="33">
        <v>86</v>
      </c>
      <c r="B115" s="34" t="s">
        <v>277</v>
      </c>
      <c r="C115" s="35" t="s">
        <v>427</v>
      </c>
      <c r="D115" s="36" t="s">
        <v>21</v>
      </c>
      <c r="E115" s="37">
        <v>13.2</v>
      </c>
      <c r="F115" s="247"/>
      <c r="G115" s="38">
        <f t="shared" si="19"/>
        <v>0</v>
      </c>
      <c r="H115" s="39">
        <v>4E-05</v>
      </c>
      <c r="I115" s="39">
        <f t="shared" si="20"/>
        <v>0.000528</v>
      </c>
      <c r="J115" s="39">
        <v>0</v>
      </c>
      <c r="K115" s="39">
        <f t="shared" si="21"/>
        <v>0</v>
      </c>
    </row>
    <row r="116" spans="1:11" s="40" customFormat="1" ht="12.75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0.00704</v>
      </c>
      <c r="I116" s="39">
        <f t="shared" si="20"/>
        <v>0.01408</v>
      </c>
      <c r="J116" s="39">
        <v>0</v>
      </c>
      <c r="K116" s="39">
        <f t="shared" si="21"/>
        <v>0</v>
      </c>
    </row>
    <row r="117" spans="1:11" s="40" customFormat="1" ht="12.75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ht="12.75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13.2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ht="12.75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13.2</v>
      </c>
      <c r="F119" s="247"/>
      <c r="G119" s="38">
        <f t="shared" si="19"/>
        <v>0</v>
      </c>
      <c r="H119" s="39">
        <v>1E-05</v>
      </c>
      <c r="I119" s="39">
        <f t="shared" si="20"/>
        <v>0.000132</v>
      </c>
      <c r="J119" s="39">
        <v>0</v>
      </c>
      <c r="K119" s="39">
        <f t="shared" si="21"/>
        <v>0</v>
      </c>
    </row>
    <row r="120" spans="1:11" s="40" customFormat="1" ht="12.75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0.00074</v>
      </c>
      <c r="I120" s="39">
        <f t="shared" si="20"/>
        <v>0.00148</v>
      </c>
      <c r="J120" s="39">
        <v>0</v>
      </c>
      <c r="K120" s="39">
        <f t="shared" si="21"/>
        <v>0</v>
      </c>
    </row>
    <row r="121" spans="1:11" s="40" customFormat="1" ht="12.75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0.07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ht="12.75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0.06893599999999998</v>
      </c>
      <c r="J122" s="46"/>
      <c r="K122" s="47">
        <f>SUM(K110:K121)</f>
        <v>0</v>
      </c>
    </row>
    <row r="123" spans="1:11" s="40" customFormat="1" ht="12.75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ht="12.75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aca="true" t="shared" si="22" ref="G124:G149">CEILING(E124*F124,1)</f>
        <v>0</v>
      </c>
      <c r="H124" s="39">
        <v>0.00141</v>
      </c>
      <c r="I124" s="39">
        <f aca="true" t="shared" si="23" ref="I124:I149">E124*H124</f>
        <v>0.00141</v>
      </c>
      <c r="J124" s="39">
        <v>0</v>
      </c>
      <c r="K124" s="39">
        <f aca="true" t="shared" si="24" ref="K124:K149">E124*J124</f>
        <v>0</v>
      </c>
    </row>
    <row r="125" spans="1:11" s="40" customFormat="1" ht="14.25" customHeight="1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0.0143</v>
      </c>
      <c r="I125" s="39">
        <f t="shared" si="23"/>
        <v>0.0143</v>
      </c>
      <c r="J125" s="39">
        <v>0</v>
      </c>
      <c r="K125" s="39">
        <f t="shared" si="24"/>
        <v>0</v>
      </c>
    </row>
    <row r="126" spans="1:11" s="40" customFormat="1" ht="12.75">
      <c r="A126" s="33">
        <v>95</v>
      </c>
      <c r="B126" s="34" t="s">
        <v>285</v>
      </c>
      <c r="C126" s="35" t="s">
        <v>137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0.00062</v>
      </c>
      <c r="I126" s="39">
        <f t="shared" si="23"/>
        <v>0.00062</v>
      </c>
      <c r="J126" s="39">
        <v>0</v>
      </c>
      <c r="K126" s="39">
        <f t="shared" si="24"/>
        <v>0</v>
      </c>
    </row>
    <row r="127" spans="1:11" s="40" customFormat="1" ht="25.5">
      <c r="A127" s="33">
        <v>96</v>
      </c>
      <c r="B127" s="34">
        <v>642938123</v>
      </c>
      <c r="C127" s="35" t="s">
        <v>516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0.038</v>
      </c>
      <c r="I127" s="39">
        <f t="shared" si="23"/>
        <v>0.038</v>
      </c>
      <c r="J127" s="39">
        <v>0</v>
      </c>
      <c r="K127" s="39">
        <f t="shared" si="24"/>
        <v>0</v>
      </c>
    </row>
    <row r="128" spans="1:11" s="40" customFormat="1" ht="12.75">
      <c r="A128" s="33">
        <v>97</v>
      </c>
      <c r="B128" s="34" t="s">
        <v>286</v>
      </c>
      <c r="C128" s="35" t="s">
        <v>138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0.00017</v>
      </c>
      <c r="I128" s="39">
        <f t="shared" si="23"/>
        <v>0.00017</v>
      </c>
      <c r="J128" s="39">
        <v>0</v>
      </c>
      <c r="K128" s="39">
        <f t="shared" si="24"/>
        <v>0</v>
      </c>
    </row>
    <row r="129" spans="1:11" s="40" customFormat="1" ht="38.25">
      <c r="A129" s="33">
        <v>98</v>
      </c>
      <c r="B129" s="34">
        <v>55484497</v>
      </c>
      <c r="C129" s="35" t="s">
        <v>528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0.01</v>
      </c>
      <c r="I129" s="39">
        <f t="shared" si="23"/>
        <v>0.01</v>
      </c>
      <c r="J129" s="39">
        <v>0</v>
      </c>
      <c r="K129" s="39">
        <f t="shared" si="24"/>
        <v>0</v>
      </c>
    </row>
    <row r="130" spans="1:11" s="40" customFormat="1" ht="25.5">
      <c r="A130" s="33">
        <v>99</v>
      </c>
      <c r="B130" s="34" t="s">
        <v>287</v>
      </c>
      <c r="C130" s="35" t="s">
        <v>515</v>
      </c>
      <c r="D130" s="36" t="s">
        <v>75</v>
      </c>
      <c r="E130" s="37">
        <v>1</v>
      </c>
      <c r="F130" s="247"/>
      <c r="G130" s="38">
        <f t="shared" si="22"/>
        <v>0</v>
      </c>
      <c r="H130" s="39">
        <v>0.00186</v>
      </c>
      <c r="I130" s="39">
        <f t="shared" si="23"/>
        <v>0.00186</v>
      </c>
      <c r="J130" s="39">
        <v>0</v>
      </c>
      <c r="K130" s="39">
        <f t="shared" si="24"/>
        <v>0</v>
      </c>
    </row>
    <row r="131" spans="1:11" s="40" customFormat="1" ht="25.5">
      <c r="A131" s="33">
        <v>100</v>
      </c>
      <c r="B131" s="34">
        <v>64232860</v>
      </c>
      <c r="C131" s="35" t="s">
        <v>529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0.027</v>
      </c>
      <c r="I131" s="39">
        <f t="shared" si="23"/>
        <v>0.027</v>
      </c>
      <c r="J131" s="39">
        <v>0</v>
      </c>
      <c r="K131" s="39">
        <f t="shared" si="24"/>
        <v>0</v>
      </c>
    </row>
    <row r="132" spans="1:11" s="40" customFormat="1" ht="12.75">
      <c r="A132" s="33">
        <v>101</v>
      </c>
      <c r="B132" s="34">
        <v>551674064</v>
      </c>
      <c r="C132" s="35" t="s">
        <v>139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0.0012</v>
      </c>
      <c r="I132" s="39">
        <f t="shared" si="23"/>
        <v>0.0012</v>
      </c>
      <c r="J132" s="39">
        <v>0</v>
      </c>
      <c r="K132" s="39">
        <f t="shared" si="24"/>
        <v>0</v>
      </c>
    </row>
    <row r="133" spans="1:11" s="40" customFormat="1" ht="12.75">
      <c r="A133" s="33">
        <v>102</v>
      </c>
      <c r="B133" s="34" t="s">
        <v>288</v>
      </c>
      <c r="C133" s="35" t="s">
        <v>140</v>
      </c>
      <c r="D133" s="36" t="s">
        <v>24</v>
      </c>
      <c r="E133" s="37">
        <v>1</v>
      </c>
      <c r="F133" s="247"/>
      <c r="G133" s="38">
        <f t="shared" si="22"/>
        <v>0</v>
      </c>
      <c r="H133" s="39">
        <v>4E-05</v>
      </c>
      <c r="I133" s="39">
        <f t="shared" si="23"/>
        <v>4E-05</v>
      </c>
      <c r="J133" s="39">
        <v>0</v>
      </c>
      <c r="K133" s="39">
        <f t="shared" si="24"/>
        <v>0</v>
      </c>
    </row>
    <row r="134" spans="1:11" s="40" customFormat="1" ht="25.5">
      <c r="A134" s="33">
        <v>103</v>
      </c>
      <c r="B134" s="34">
        <v>55144200</v>
      </c>
      <c r="C134" s="35" t="s">
        <v>530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0</v>
      </c>
      <c r="I134" s="39">
        <f t="shared" si="23"/>
        <v>0</v>
      </c>
      <c r="J134" s="39">
        <v>0</v>
      </c>
      <c r="K134" s="39">
        <f t="shared" si="24"/>
        <v>0</v>
      </c>
    </row>
    <row r="135" spans="1:11" s="40" customFormat="1" ht="12.75">
      <c r="A135" s="33">
        <v>104</v>
      </c>
      <c r="B135" s="34" t="s">
        <v>289</v>
      </c>
      <c r="C135" s="35" t="s">
        <v>142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0.00013</v>
      </c>
      <c r="I135" s="39">
        <f t="shared" si="23"/>
        <v>0.00013</v>
      </c>
      <c r="J135" s="39">
        <v>0</v>
      </c>
      <c r="K135" s="39">
        <f t="shared" si="24"/>
        <v>0</v>
      </c>
    </row>
    <row r="136" spans="1:11" s="40" customFormat="1" ht="25.5">
      <c r="A136" s="33">
        <v>105</v>
      </c>
      <c r="B136" s="34">
        <v>551450092</v>
      </c>
      <c r="C136" s="35" t="s">
        <v>532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0.001</v>
      </c>
      <c r="I136" s="39">
        <f t="shared" si="23"/>
        <v>0.001</v>
      </c>
      <c r="J136" s="39">
        <v>0</v>
      </c>
      <c r="K136" s="39">
        <f t="shared" si="24"/>
        <v>0</v>
      </c>
    </row>
    <row r="137" spans="1:11" s="40" customFormat="1" ht="38.25">
      <c r="A137" s="33">
        <v>106</v>
      </c>
      <c r="B137" s="34">
        <v>55145352</v>
      </c>
      <c r="C137" s="35" t="s">
        <v>531</v>
      </c>
      <c r="D137" s="36" t="s">
        <v>24</v>
      </c>
      <c r="E137" s="37">
        <v>1</v>
      </c>
      <c r="F137" s="247"/>
      <c r="G137" s="38">
        <f t="shared" si="22"/>
        <v>0</v>
      </c>
      <c r="H137" s="39">
        <v>0</v>
      </c>
      <c r="I137" s="39">
        <f t="shared" si="23"/>
        <v>0</v>
      </c>
      <c r="J137" s="39">
        <v>0</v>
      </c>
      <c r="K137" s="39">
        <f t="shared" si="24"/>
        <v>0</v>
      </c>
    </row>
    <row r="138" spans="1:11" s="40" customFormat="1" ht="12.75">
      <c r="A138" s="33">
        <v>107</v>
      </c>
      <c r="B138" s="34" t="s">
        <v>290</v>
      </c>
      <c r="C138" s="35" t="s">
        <v>143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0.00055</v>
      </c>
      <c r="I138" s="39">
        <f t="shared" si="23"/>
        <v>0.00055</v>
      </c>
      <c r="J138" s="39">
        <v>0</v>
      </c>
      <c r="K138" s="39">
        <f t="shared" si="24"/>
        <v>0</v>
      </c>
    </row>
    <row r="139" spans="1:11" s="40" customFormat="1" ht="12.75">
      <c r="A139" s="33">
        <v>108</v>
      </c>
      <c r="B139" s="34" t="s">
        <v>291</v>
      </c>
      <c r="C139" s="35" t="s">
        <v>479</v>
      </c>
      <c r="D139" s="36" t="s">
        <v>24</v>
      </c>
      <c r="E139" s="37">
        <v>1</v>
      </c>
      <c r="F139" s="247"/>
      <c r="G139" s="38">
        <f t="shared" si="22"/>
        <v>0</v>
      </c>
      <c r="H139" s="39">
        <v>0</v>
      </c>
      <c r="I139" s="39">
        <f t="shared" si="23"/>
        <v>0</v>
      </c>
      <c r="J139" s="39">
        <v>0</v>
      </c>
      <c r="K139" s="39">
        <f t="shared" si="24"/>
        <v>0</v>
      </c>
    </row>
    <row r="140" spans="1:11" s="40" customFormat="1" ht="12.75">
      <c r="A140" s="33">
        <v>109</v>
      </c>
      <c r="B140" s="34" t="s">
        <v>292</v>
      </c>
      <c r="C140" s="35" t="s">
        <v>144</v>
      </c>
      <c r="D140" s="36" t="s">
        <v>75</v>
      </c>
      <c r="E140" s="37">
        <v>3</v>
      </c>
      <c r="F140" s="247"/>
      <c r="G140" s="38">
        <f t="shared" si="22"/>
        <v>0</v>
      </c>
      <c r="H140" s="39">
        <v>0.00024</v>
      </c>
      <c r="I140" s="39">
        <f t="shared" si="23"/>
        <v>0.00072</v>
      </c>
      <c r="J140" s="39">
        <v>0</v>
      </c>
      <c r="K140" s="39">
        <f t="shared" si="24"/>
        <v>0</v>
      </c>
    </row>
    <row r="141" spans="1:11" s="40" customFormat="1" ht="12.75">
      <c r="A141" s="33">
        <v>110</v>
      </c>
      <c r="B141" s="34" t="s">
        <v>293</v>
      </c>
      <c r="C141" s="35" t="s">
        <v>145</v>
      </c>
      <c r="D141" s="36" t="s">
        <v>75</v>
      </c>
      <c r="E141" s="37">
        <v>1</v>
      </c>
      <c r="F141" s="247"/>
      <c r="G141" s="38">
        <f t="shared" si="22"/>
        <v>0</v>
      </c>
      <c r="H141" s="39">
        <v>0.00298</v>
      </c>
      <c r="I141" s="39">
        <f t="shared" si="23"/>
        <v>0.00298</v>
      </c>
      <c r="J141" s="39">
        <v>0</v>
      </c>
      <c r="K141" s="39">
        <f t="shared" si="24"/>
        <v>0</v>
      </c>
    </row>
    <row r="142" spans="1:11" s="40" customFormat="1" ht="12.75">
      <c r="A142" s="33">
        <v>111</v>
      </c>
      <c r="B142" s="34" t="s">
        <v>146</v>
      </c>
      <c r="C142" s="35" t="s">
        <v>480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ht="12.75">
      <c r="A143" s="33">
        <v>112</v>
      </c>
      <c r="B143" s="34" t="s">
        <v>147</v>
      </c>
      <c r="C143" s="35" t="s">
        <v>481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ht="12.75">
      <c r="A144" s="33">
        <v>113</v>
      </c>
      <c r="B144" s="34" t="s">
        <v>148</v>
      </c>
      <c r="C144" s="35" t="s">
        <v>482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ht="12.75">
      <c r="A145" s="33">
        <v>114</v>
      </c>
      <c r="B145" s="34" t="s">
        <v>149</v>
      </c>
      <c r="C145" s="35" t="s">
        <v>150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ht="12.75">
      <c r="A146" s="33">
        <v>115</v>
      </c>
      <c r="B146" s="34" t="s">
        <v>151</v>
      </c>
      <c r="C146" s="35" t="s">
        <v>483</v>
      </c>
      <c r="D146" s="36" t="s">
        <v>24</v>
      </c>
      <c r="E146" s="37">
        <v>1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ht="12.75">
      <c r="A147" s="33">
        <v>116</v>
      </c>
      <c r="B147" s="34" t="s">
        <v>152</v>
      </c>
      <c r="C147" s="35" t="s">
        <v>153</v>
      </c>
      <c r="D147" s="36" t="s">
        <v>24</v>
      </c>
      <c r="E147" s="37">
        <v>1</v>
      </c>
      <c r="F147" s="247"/>
      <c r="G147" s="38">
        <f t="shared" si="22"/>
        <v>0</v>
      </c>
      <c r="H147" s="39">
        <v>0</v>
      </c>
      <c r="I147" s="39">
        <f t="shared" si="23"/>
        <v>0</v>
      </c>
      <c r="J147" s="39">
        <v>0</v>
      </c>
      <c r="K147" s="39">
        <f t="shared" si="24"/>
        <v>0</v>
      </c>
    </row>
    <row r="148" spans="1:11" s="40" customFormat="1" ht="12.75">
      <c r="A148" s="33">
        <v>117</v>
      </c>
      <c r="B148" s="34" t="s">
        <v>517</v>
      </c>
      <c r="C148" s="35" t="s">
        <v>518</v>
      </c>
      <c r="D148" s="36" t="s">
        <v>24</v>
      </c>
      <c r="E148" s="37">
        <v>2</v>
      </c>
      <c r="F148" s="247"/>
      <c r="G148" s="38">
        <f t="shared" si="22"/>
        <v>0</v>
      </c>
      <c r="H148" s="39"/>
      <c r="I148" s="39">
        <f t="shared" si="23"/>
        <v>0</v>
      </c>
      <c r="J148" s="39"/>
      <c r="K148" s="39"/>
    </row>
    <row r="149" spans="1:11" s="40" customFormat="1" ht="12.75">
      <c r="A149" s="33">
        <v>118</v>
      </c>
      <c r="B149" s="34" t="s">
        <v>294</v>
      </c>
      <c r="C149" s="35" t="s">
        <v>154</v>
      </c>
      <c r="D149" s="36" t="s">
        <v>87</v>
      </c>
      <c r="E149" s="37">
        <v>0.1</v>
      </c>
      <c r="F149" s="247"/>
      <c r="G149" s="38">
        <f t="shared" si="22"/>
        <v>0</v>
      </c>
      <c r="H149" s="39">
        <v>0</v>
      </c>
      <c r="I149" s="39">
        <f t="shared" si="23"/>
        <v>0</v>
      </c>
      <c r="J149" s="39">
        <v>0</v>
      </c>
      <c r="K149" s="39">
        <f t="shared" si="24"/>
        <v>0</v>
      </c>
    </row>
    <row r="150" spans="1:11" s="40" customFormat="1" ht="12.75">
      <c r="A150" s="41"/>
      <c r="B150" s="42" t="s">
        <v>15</v>
      </c>
      <c r="C150" s="43" t="str">
        <f>CONCATENATE(B123," ",C123)</f>
        <v>725 Zařizovací předměty</v>
      </c>
      <c r="D150" s="41"/>
      <c r="E150" s="44"/>
      <c r="F150" s="248"/>
      <c r="G150" s="45">
        <f>SUM(G123:G149)</f>
        <v>0</v>
      </c>
      <c r="H150" s="46"/>
      <c r="I150" s="47">
        <f>SUM(I123:I149)</f>
        <v>0.09998</v>
      </c>
      <c r="J150" s="46"/>
      <c r="K150" s="47">
        <f>SUM(K123:K149)</f>
        <v>0</v>
      </c>
    </row>
    <row r="151" spans="1:11" s="40" customFormat="1" ht="12.75">
      <c r="A151" s="48" t="s">
        <v>13</v>
      </c>
      <c r="B151" s="49" t="s">
        <v>155</v>
      </c>
      <c r="C151" s="50" t="s">
        <v>156</v>
      </c>
      <c r="D151" s="33"/>
      <c r="E151" s="51"/>
      <c r="F151" s="249"/>
      <c r="G151" s="52"/>
      <c r="H151" s="53"/>
      <c r="I151" s="53"/>
      <c r="J151" s="53"/>
      <c r="K151" s="53"/>
    </row>
    <row r="152" spans="1:11" s="40" customFormat="1" ht="12.75">
      <c r="A152" s="33">
        <v>118</v>
      </c>
      <c r="B152" s="34" t="s">
        <v>295</v>
      </c>
      <c r="C152" s="35" t="s">
        <v>157</v>
      </c>
      <c r="D152" s="36" t="s">
        <v>24</v>
      </c>
      <c r="E152" s="37">
        <v>1</v>
      </c>
      <c r="F152" s="247"/>
      <c r="G152" s="38">
        <f aca="true" t="shared" si="25" ref="G152:G158">CEILING(E152*F152,1)</f>
        <v>0</v>
      </c>
      <c r="H152" s="39">
        <v>0</v>
      </c>
      <c r="I152" s="39">
        <f aca="true" t="shared" si="26" ref="I152:I158">E152*H152</f>
        <v>0</v>
      </c>
      <c r="J152" s="39">
        <v>0</v>
      </c>
      <c r="K152" s="39">
        <f aca="true" t="shared" si="27" ref="K152:K158">E152*J152</f>
        <v>0</v>
      </c>
    </row>
    <row r="153" spans="1:11" s="40" customFormat="1" ht="25.5">
      <c r="A153" s="33">
        <v>119</v>
      </c>
      <c r="B153" s="34" t="s">
        <v>296</v>
      </c>
      <c r="C153" s="35" t="s">
        <v>419</v>
      </c>
      <c r="D153" s="36" t="s">
        <v>24</v>
      </c>
      <c r="E153" s="37">
        <v>1</v>
      </c>
      <c r="F153" s="247"/>
      <c r="G153" s="38">
        <f t="shared" si="25"/>
        <v>0</v>
      </c>
      <c r="H153" s="39">
        <v>0.02</v>
      </c>
      <c r="I153" s="39">
        <f t="shared" si="26"/>
        <v>0.02</v>
      </c>
      <c r="J153" s="39">
        <v>0</v>
      </c>
      <c r="K153" s="39">
        <f t="shared" si="27"/>
        <v>0</v>
      </c>
    </row>
    <row r="154" spans="1:11" s="40" customFormat="1" ht="12.75">
      <c r="A154" s="33">
        <v>120</v>
      </c>
      <c r="B154" s="34" t="s">
        <v>297</v>
      </c>
      <c r="C154" s="35" t="s">
        <v>158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0</v>
      </c>
      <c r="I154" s="39">
        <f t="shared" si="26"/>
        <v>0</v>
      </c>
      <c r="J154" s="39">
        <v>0</v>
      </c>
      <c r="K154" s="39">
        <f t="shared" si="27"/>
        <v>0</v>
      </c>
    </row>
    <row r="155" spans="1:11" s="40" customFormat="1" ht="38.25">
      <c r="A155" s="33">
        <v>121</v>
      </c>
      <c r="B155" s="34" t="s">
        <v>298</v>
      </c>
      <c r="C155" s="35" t="s">
        <v>418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0.03</v>
      </c>
      <c r="I155" s="39">
        <f t="shared" si="26"/>
        <v>0.03</v>
      </c>
      <c r="J155" s="39">
        <v>0</v>
      </c>
      <c r="K155" s="39">
        <f t="shared" si="27"/>
        <v>0</v>
      </c>
    </row>
    <row r="156" spans="1:11" s="40" customFormat="1" ht="12.75">
      <c r="A156" s="33">
        <v>122</v>
      </c>
      <c r="B156" s="34" t="s">
        <v>299</v>
      </c>
      <c r="C156" s="35" t="s">
        <v>159</v>
      </c>
      <c r="D156" s="36" t="s">
        <v>24</v>
      </c>
      <c r="E156" s="37">
        <v>2</v>
      </c>
      <c r="F156" s="247"/>
      <c r="G156" s="38">
        <f t="shared" si="25"/>
        <v>0</v>
      </c>
      <c r="H156" s="39">
        <v>0</v>
      </c>
      <c r="I156" s="39">
        <f t="shared" si="26"/>
        <v>0</v>
      </c>
      <c r="J156" s="39">
        <v>0</v>
      </c>
      <c r="K156" s="39">
        <f t="shared" si="27"/>
        <v>0</v>
      </c>
    </row>
    <row r="157" spans="1:11" s="40" customFormat="1" ht="25.5">
      <c r="A157" s="33">
        <v>123</v>
      </c>
      <c r="B157" s="34" t="s">
        <v>300</v>
      </c>
      <c r="C157" s="35" t="s">
        <v>329</v>
      </c>
      <c r="D157" s="36" t="s">
        <v>24</v>
      </c>
      <c r="E157" s="37">
        <v>1</v>
      </c>
      <c r="F157" s="247"/>
      <c r="G157" s="38">
        <f t="shared" si="25"/>
        <v>0</v>
      </c>
      <c r="H157" s="39">
        <v>0.001</v>
      </c>
      <c r="I157" s="39">
        <f t="shared" si="26"/>
        <v>0.001</v>
      </c>
      <c r="J157" s="39">
        <v>0</v>
      </c>
      <c r="K157" s="39">
        <f t="shared" si="27"/>
        <v>0</v>
      </c>
    </row>
    <row r="158" spans="1:11" s="40" customFormat="1" ht="89.25">
      <c r="A158" s="33">
        <v>124</v>
      </c>
      <c r="B158" s="34" t="s">
        <v>301</v>
      </c>
      <c r="C158" s="35" t="s">
        <v>559</v>
      </c>
      <c r="D158" s="36" t="s">
        <v>24</v>
      </c>
      <c r="E158" s="37">
        <v>1</v>
      </c>
      <c r="F158" s="247"/>
      <c r="G158" s="38">
        <f t="shared" si="25"/>
        <v>0</v>
      </c>
      <c r="H158" s="39">
        <v>0.002</v>
      </c>
      <c r="I158" s="39">
        <f t="shared" si="26"/>
        <v>0.002</v>
      </c>
      <c r="J158" s="39">
        <v>0</v>
      </c>
      <c r="K158" s="39">
        <f t="shared" si="27"/>
        <v>0</v>
      </c>
    </row>
    <row r="159" spans="1:11" s="40" customFormat="1" ht="12.75">
      <c r="A159" s="41"/>
      <c r="B159" s="42" t="s">
        <v>15</v>
      </c>
      <c r="C159" s="43" t="str">
        <f>CONCATENATE(B151," ",C151)</f>
        <v>766 Konstrukce truhlářské</v>
      </c>
      <c r="D159" s="41"/>
      <c r="E159" s="44"/>
      <c r="F159" s="248"/>
      <c r="G159" s="45">
        <f>SUM(G151:G158)</f>
        <v>0</v>
      </c>
      <c r="H159" s="46"/>
      <c r="I159" s="47">
        <f>SUM(I151:I158)</f>
        <v>0.053000000000000005</v>
      </c>
      <c r="J159" s="46"/>
      <c r="K159" s="47">
        <f>SUM(K151:K158)</f>
        <v>0</v>
      </c>
    </row>
    <row r="160" spans="1:11" s="40" customFormat="1" ht="12.75">
      <c r="A160" s="48" t="s">
        <v>13</v>
      </c>
      <c r="B160" s="49" t="s">
        <v>161</v>
      </c>
      <c r="C160" s="50" t="s">
        <v>162</v>
      </c>
      <c r="D160" s="33"/>
      <c r="E160" s="51"/>
      <c r="F160" s="249"/>
      <c r="G160" s="52"/>
      <c r="H160" s="53"/>
      <c r="I160" s="53"/>
      <c r="J160" s="53"/>
      <c r="K160" s="53"/>
    </row>
    <row r="161" spans="1:11" s="40" customFormat="1" ht="12.75">
      <c r="A161" s="33">
        <v>142</v>
      </c>
      <c r="B161" s="34" t="s">
        <v>303</v>
      </c>
      <c r="C161" s="35" t="s">
        <v>163</v>
      </c>
      <c r="D161" s="36" t="s">
        <v>24</v>
      </c>
      <c r="E161" s="37">
        <v>1</v>
      </c>
      <c r="F161" s="247"/>
      <c r="G161" s="38">
        <f aca="true" t="shared" si="28" ref="G161:G163">CEILING(E161*F161,1)</f>
        <v>0</v>
      </c>
      <c r="H161" s="39">
        <v>0</v>
      </c>
      <c r="I161" s="39">
        <f>E161*H161</f>
        <v>0</v>
      </c>
      <c r="J161" s="39">
        <v>0</v>
      </c>
      <c r="K161" s="39">
        <f>E161*J161</f>
        <v>0</v>
      </c>
    </row>
    <row r="162" spans="1:11" s="40" customFormat="1" ht="12.75">
      <c r="A162" s="33">
        <v>143</v>
      </c>
      <c r="B162" s="34">
        <v>42972741</v>
      </c>
      <c r="C162" s="35" t="s">
        <v>164</v>
      </c>
      <c r="D162" s="36" t="s">
        <v>24</v>
      </c>
      <c r="E162" s="37">
        <v>1</v>
      </c>
      <c r="F162" s="247"/>
      <c r="G162" s="38">
        <f t="shared" si="28"/>
        <v>0</v>
      </c>
      <c r="H162" s="39">
        <v>0.0004</v>
      </c>
      <c r="I162" s="39">
        <f>E162*H162</f>
        <v>0.0004</v>
      </c>
      <c r="J162" s="39">
        <v>0</v>
      </c>
      <c r="K162" s="39">
        <f>E162*J162</f>
        <v>0</v>
      </c>
    </row>
    <row r="163" spans="1:11" s="40" customFormat="1" ht="12.75">
      <c r="A163" s="33">
        <v>144</v>
      </c>
      <c r="B163" s="34" t="s">
        <v>304</v>
      </c>
      <c r="C163" s="35" t="s">
        <v>165</v>
      </c>
      <c r="D163" s="36" t="s">
        <v>87</v>
      </c>
      <c r="E163" s="37">
        <v>0.004</v>
      </c>
      <c r="F163" s="247"/>
      <c r="G163" s="38">
        <f t="shared" si="28"/>
        <v>0</v>
      </c>
      <c r="H163" s="39">
        <v>0</v>
      </c>
      <c r="I163" s="39">
        <f>E163*H163</f>
        <v>0</v>
      </c>
      <c r="J163" s="39">
        <v>0</v>
      </c>
      <c r="K163" s="39">
        <f>E163*J163</f>
        <v>0</v>
      </c>
    </row>
    <row r="164" spans="1:11" s="40" customFormat="1" ht="12.75">
      <c r="A164" s="41"/>
      <c r="B164" s="42" t="s">
        <v>15</v>
      </c>
      <c r="C164" s="43" t="str">
        <f>CONCATENATE(B160," ",C160)</f>
        <v>767 Konstrukce zámečnické</v>
      </c>
      <c r="D164" s="41"/>
      <c r="E164" s="44"/>
      <c r="F164" s="248"/>
      <c r="G164" s="45">
        <f>SUM(G160:G163)</f>
        <v>0</v>
      </c>
      <c r="H164" s="46"/>
      <c r="I164" s="47">
        <f>SUM(I160:I163)</f>
        <v>0.0004</v>
      </c>
      <c r="J164" s="46"/>
      <c r="K164" s="47">
        <f>SUM(K160:K163)</f>
        <v>0</v>
      </c>
    </row>
    <row r="165" spans="1:11" s="40" customFormat="1" ht="12.75">
      <c r="A165" s="48" t="s">
        <v>13</v>
      </c>
      <c r="B165" s="49" t="s">
        <v>166</v>
      </c>
      <c r="C165" s="50" t="s">
        <v>167</v>
      </c>
      <c r="D165" s="33"/>
      <c r="E165" s="51"/>
      <c r="F165" s="249"/>
      <c r="G165" s="52"/>
      <c r="H165" s="53"/>
      <c r="I165" s="53"/>
      <c r="J165" s="53"/>
      <c r="K165" s="53"/>
    </row>
    <row r="166" spans="1:11" s="40" customFormat="1" ht="25.5">
      <c r="A166" s="33">
        <v>145</v>
      </c>
      <c r="B166" s="34" t="s">
        <v>305</v>
      </c>
      <c r="C166" s="35" t="s">
        <v>520</v>
      </c>
      <c r="D166" s="36" t="s">
        <v>19</v>
      </c>
      <c r="E166" s="37">
        <v>2.23</v>
      </c>
      <c r="F166" s="247"/>
      <c r="G166" s="38">
        <f aca="true" t="shared" si="29" ref="G166:G171">CEILING(E166*F166,1)</f>
        <v>0</v>
      </c>
      <c r="H166" s="39">
        <v>0.00514</v>
      </c>
      <c r="I166" s="39">
        <f aca="true" t="shared" si="30" ref="I166:I171">E166*H166</f>
        <v>0.011462199999999999</v>
      </c>
      <c r="J166" s="39">
        <v>0</v>
      </c>
      <c r="K166" s="39">
        <f aca="true" t="shared" si="31" ref="K166:K171">E166*J166</f>
        <v>0</v>
      </c>
    </row>
    <row r="167" spans="1:11" s="40" customFormat="1" ht="75" customHeight="1">
      <c r="A167" s="33">
        <v>146</v>
      </c>
      <c r="B167" s="34" t="s">
        <v>306</v>
      </c>
      <c r="C167" s="35" t="s">
        <v>550</v>
      </c>
      <c r="D167" s="36" t="s">
        <v>19</v>
      </c>
      <c r="E167" s="37">
        <v>2.23</v>
      </c>
      <c r="F167" s="247"/>
      <c r="G167" s="38">
        <f t="shared" si="29"/>
        <v>0</v>
      </c>
      <c r="H167" s="39">
        <v>0.00449</v>
      </c>
      <c r="I167" s="39">
        <f t="shared" si="30"/>
        <v>0.0100127</v>
      </c>
      <c r="J167" s="39">
        <v>0</v>
      </c>
      <c r="K167" s="39">
        <f t="shared" si="31"/>
        <v>0</v>
      </c>
    </row>
    <row r="168" spans="1:11" s="40" customFormat="1" ht="64.5" customHeight="1">
      <c r="A168" s="33">
        <v>147</v>
      </c>
      <c r="B168" s="34">
        <v>597623142</v>
      </c>
      <c r="C168" s="35" t="s">
        <v>551</v>
      </c>
      <c r="D168" s="36" t="s">
        <v>19</v>
      </c>
      <c r="E168" s="37">
        <v>3.0375</v>
      </c>
      <c r="F168" s="247"/>
      <c r="G168" s="38">
        <f t="shared" si="29"/>
        <v>0</v>
      </c>
      <c r="H168" s="39">
        <v>0.018</v>
      </c>
      <c r="I168" s="39">
        <f t="shared" si="30"/>
        <v>0.054674999999999994</v>
      </c>
      <c r="J168" s="39">
        <v>0</v>
      </c>
      <c r="K168" s="39">
        <f t="shared" si="31"/>
        <v>0</v>
      </c>
    </row>
    <row r="169" spans="1:11" s="40" customFormat="1" ht="12.75">
      <c r="A169" s="33">
        <v>148</v>
      </c>
      <c r="B169" s="34" t="s">
        <v>307</v>
      </c>
      <c r="C169" s="35" t="s">
        <v>169</v>
      </c>
      <c r="D169" s="36" t="s">
        <v>19</v>
      </c>
      <c r="E169" s="37">
        <v>2.23</v>
      </c>
      <c r="F169" s="247"/>
      <c r="G169" s="38">
        <f t="shared" si="29"/>
        <v>0</v>
      </c>
      <c r="H169" s="39">
        <v>0</v>
      </c>
      <c r="I169" s="39">
        <f t="shared" si="30"/>
        <v>0</v>
      </c>
      <c r="J169" s="39">
        <v>0</v>
      </c>
      <c r="K169" s="39">
        <f t="shared" si="31"/>
        <v>0</v>
      </c>
    </row>
    <row r="170" spans="1:11" s="40" customFormat="1" ht="12.75">
      <c r="A170" s="33">
        <v>149</v>
      </c>
      <c r="B170" s="34" t="s">
        <v>308</v>
      </c>
      <c r="C170" s="35" t="s">
        <v>170</v>
      </c>
      <c r="D170" s="36" t="s">
        <v>21</v>
      </c>
      <c r="E170" s="37">
        <v>5.45</v>
      </c>
      <c r="F170" s="247"/>
      <c r="G170" s="38">
        <f t="shared" si="29"/>
        <v>0</v>
      </c>
      <c r="H170" s="39">
        <v>4E-05</v>
      </c>
      <c r="I170" s="39">
        <f t="shared" si="30"/>
        <v>0.000218</v>
      </c>
      <c r="J170" s="39">
        <v>0</v>
      </c>
      <c r="K170" s="39">
        <f t="shared" si="31"/>
        <v>0</v>
      </c>
    </row>
    <row r="171" spans="1:11" s="40" customFormat="1" ht="12.75">
      <c r="A171" s="33">
        <v>150</v>
      </c>
      <c r="B171" s="34" t="s">
        <v>309</v>
      </c>
      <c r="C171" s="35" t="s">
        <v>171</v>
      </c>
      <c r="D171" s="36" t="s">
        <v>87</v>
      </c>
      <c r="E171" s="37">
        <v>0.08</v>
      </c>
      <c r="F171" s="247"/>
      <c r="G171" s="38">
        <f t="shared" si="29"/>
        <v>0</v>
      </c>
      <c r="H171" s="39">
        <v>0</v>
      </c>
      <c r="I171" s="39">
        <f t="shared" si="30"/>
        <v>0</v>
      </c>
      <c r="J171" s="39">
        <v>0</v>
      </c>
      <c r="K171" s="39">
        <f t="shared" si="31"/>
        <v>0</v>
      </c>
    </row>
    <row r="172" spans="1:11" s="40" customFormat="1" ht="12.75">
      <c r="A172" s="41"/>
      <c r="B172" s="42" t="s">
        <v>15</v>
      </c>
      <c r="C172" s="43" t="str">
        <f>CONCATENATE(B165," ",C165)</f>
        <v>771 Podlahy z dlaždic a obklady</v>
      </c>
      <c r="D172" s="41"/>
      <c r="E172" s="44"/>
      <c r="F172" s="248"/>
      <c r="G172" s="45">
        <f>SUM(G165:G171)</f>
        <v>0</v>
      </c>
      <c r="H172" s="46"/>
      <c r="I172" s="47">
        <f>SUM(I165:I171)</f>
        <v>0.07636789999999999</v>
      </c>
      <c r="J172" s="46"/>
      <c r="K172" s="47">
        <f>SUM(K165:K171)</f>
        <v>0</v>
      </c>
    </row>
    <row r="173" spans="1:11" s="40" customFormat="1" ht="12.75">
      <c r="A173" s="48" t="s">
        <v>13</v>
      </c>
      <c r="B173" s="49" t="s">
        <v>172</v>
      </c>
      <c r="C173" s="50" t="s">
        <v>173</v>
      </c>
      <c r="D173" s="33"/>
      <c r="E173" s="51"/>
      <c r="F173" s="249"/>
      <c r="G173" s="52"/>
      <c r="H173" s="53"/>
      <c r="I173" s="53"/>
      <c r="J173" s="53"/>
      <c r="K173" s="53"/>
    </row>
    <row r="174" spans="1:11" s="40" customFormat="1" ht="12.75">
      <c r="A174" s="33">
        <v>151</v>
      </c>
      <c r="B174" s="34" t="s">
        <v>310</v>
      </c>
      <c r="C174" s="35" t="s">
        <v>174</v>
      </c>
      <c r="D174" s="36" t="s">
        <v>19</v>
      </c>
      <c r="E174" s="37">
        <v>19.48</v>
      </c>
      <c r="F174" s="247"/>
      <c r="G174" s="38">
        <f aca="true" t="shared" si="32" ref="G174:G179">CEILING(E174*F174,1)</f>
        <v>0</v>
      </c>
      <c r="H174" s="39">
        <v>0</v>
      </c>
      <c r="I174" s="39">
        <f aca="true" t="shared" si="33" ref="I174:I179">E174*H174</f>
        <v>0</v>
      </c>
      <c r="J174" s="39">
        <v>0</v>
      </c>
      <c r="K174" s="39">
        <f aca="true" t="shared" si="34" ref="K174:K179">E174*J174</f>
        <v>0</v>
      </c>
    </row>
    <row r="175" spans="1:11" s="40" customFormat="1" ht="38.25">
      <c r="A175" s="33">
        <v>152</v>
      </c>
      <c r="B175" s="34" t="s">
        <v>311</v>
      </c>
      <c r="C175" s="35" t="s">
        <v>556</v>
      </c>
      <c r="D175" s="36" t="s">
        <v>21</v>
      </c>
      <c r="E175" s="37">
        <v>9.61</v>
      </c>
      <c r="F175" s="247"/>
      <c r="G175" s="38">
        <f t="shared" si="32"/>
        <v>0</v>
      </c>
      <c r="H175" s="39">
        <v>0.00059</v>
      </c>
      <c r="I175" s="39">
        <f t="shared" si="33"/>
        <v>0.0056699</v>
      </c>
      <c r="J175" s="39">
        <v>0</v>
      </c>
      <c r="K175" s="39">
        <f t="shared" si="34"/>
        <v>0</v>
      </c>
    </row>
    <row r="176" spans="1:11" s="40" customFormat="1" ht="25.5">
      <c r="A176" s="33">
        <v>153</v>
      </c>
      <c r="B176" s="34" t="s">
        <v>312</v>
      </c>
      <c r="C176" s="35" t="s">
        <v>535</v>
      </c>
      <c r="D176" s="36" t="s">
        <v>19</v>
      </c>
      <c r="E176" s="37">
        <v>19.48</v>
      </c>
      <c r="F176" s="247"/>
      <c r="G176" s="38">
        <f t="shared" si="32"/>
        <v>0</v>
      </c>
      <c r="H176" s="39">
        <v>0.00036</v>
      </c>
      <c r="I176" s="39">
        <f t="shared" si="33"/>
        <v>0.0070128000000000005</v>
      </c>
      <c r="J176" s="39">
        <v>0</v>
      </c>
      <c r="K176" s="39">
        <f t="shared" si="34"/>
        <v>0</v>
      </c>
    </row>
    <row r="177" spans="1:11" s="40" customFormat="1" ht="165.75">
      <c r="A177" s="33">
        <v>154</v>
      </c>
      <c r="B177" s="34" t="s">
        <v>313</v>
      </c>
      <c r="C177" s="35" t="s">
        <v>557</v>
      </c>
      <c r="D177" s="36" t="s">
        <v>19</v>
      </c>
      <c r="E177" s="37">
        <v>21.428</v>
      </c>
      <c r="F177" s="247"/>
      <c r="G177" s="38">
        <f t="shared" si="32"/>
        <v>0</v>
      </c>
      <c r="H177" s="39">
        <v>0.00295</v>
      </c>
      <c r="I177" s="39">
        <f t="shared" si="33"/>
        <v>0.06321260000000001</v>
      </c>
      <c r="J177" s="39">
        <v>0</v>
      </c>
      <c r="K177" s="39">
        <f t="shared" si="34"/>
        <v>0</v>
      </c>
    </row>
    <row r="178" spans="1:11" s="40" customFormat="1" ht="12.75">
      <c r="A178" s="33">
        <v>155</v>
      </c>
      <c r="B178" s="34" t="s">
        <v>314</v>
      </c>
      <c r="C178" s="35" t="s">
        <v>175</v>
      </c>
      <c r="D178" s="36" t="s">
        <v>21</v>
      </c>
      <c r="E178" s="37">
        <v>0.7</v>
      </c>
      <c r="F178" s="247"/>
      <c r="G178" s="38">
        <f t="shared" si="32"/>
        <v>0</v>
      </c>
      <c r="H178" s="39">
        <v>0.00026</v>
      </c>
      <c r="I178" s="39">
        <f t="shared" si="33"/>
        <v>0.00018199999999999998</v>
      </c>
      <c r="J178" s="39">
        <v>0</v>
      </c>
      <c r="K178" s="39">
        <f t="shared" si="34"/>
        <v>0</v>
      </c>
    </row>
    <row r="179" spans="1:11" s="40" customFormat="1" ht="12.75">
      <c r="A179" s="33">
        <v>156</v>
      </c>
      <c r="B179" s="34" t="s">
        <v>315</v>
      </c>
      <c r="C179" s="35" t="s">
        <v>176</v>
      </c>
      <c r="D179" s="36" t="s">
        <v>87</v>
      </c>
      <c r="E179" s="37">
        <v>0.076</v>
      </c>
      <c r="F179" s="247"/>
      <c r="G179" s="38">
        <f t="shared" si="32"/>
        <v>0</v>
      </c>
      <c r="H179" s="39">
        <v>0</v>
      </c>
      <c r="I179" s="39">
        <f t="shared" si="33"/>
        <v>0</v>
      </c>
      <c r="J179" s="39">
        <v>0</v>
      </c>
      <c r="K179" s="39">
        <f t="shared" si="34"/>
        <v>0</v>
      </c>
    </row>
    <row r="180" spans="1:11" s="40" customFormat="1" ht="12.75">
      <c r="A180" s="41"/>
      <c r="B180" s="42" t="s">
        <v>15</v>
      </c>
      <c r="C180" s="43" t="str">
        <f>CONCATENATE(B173," ",C173)</f>
        <v>776 Podlahy povlakové</v>
      </c>
      <c r="D180" s="41"/>
      <c r="E180" s="44"/>
      <c r="F180" s="248"/>
      <c r="G180" s="45">
        <f>SUM(G173:G179)</f>
        <v>0</v>
      </c>
      <c r="H180" s="46"/>
      <c r="I180" s="47">
        <f>SUM(I173:I179)</f>
        <v>0.07607730000000001</v>
      </c>
      <c r="J180" s="46"/>
      <c r="K180" s="47">
        <f>SUM(K173:K179)</f>
        <v>0</v>
      </c>
    </row>
    <row r="181" spans="1:11" s="40" customFormat="1" ht="12.75">
      <c r="A181" s="48" t="s">
        <v>13</v>
      </c>
      <c r="B181" s="49" t="s">
        <v>177</v>
      </c>
      <c r="C181" s="50" t="s">
        <v>178</v>
      </c>
      <c r="D181" s="33"/>
      <c r="E181" s="51"/>
      <c r="F181" s="249"/>
      <c r="G181" s="52"/>
      <c r="H181" s="53"/>
      <c r="I181" s="53"/>
      <c r="J181" s="53"/>
      <c r="K181" s="53"/>
    </row>
    <row r="182" spans="1:11" s="40" customFormat="1" ht="12.75">
      <c r="A182" s="33">
        <v>157</v>
      </c>
      <c r="B182" s="34" t="s">
        <v>316</v>
      </c>
      <c r="C182" s="35" t="s">
        <v>519</v>
      </c>
      <c r="D182" s="36" t="s">
        <v>19</v>
      </c>
      <c r="E182" s="37">
        <v>19.48</v>
      </c>
      <c r="F182" s="247"/>
      <c r="G182" s="38">
        <f aca="true" t="shared" si="35" ref="G182:G183">CEILING(E182*F182,1)</f>
        <v>0</v>
      </c>
      <c r="H182" s="39">
        <v>0.0022</v>
      </c>
      <c r="I182" s="39">
        <f>E182*H182</f>
        <v>0.042856000000000005</v>
      </c>
      <c r="J182" s="39">
        <v>0</v>
      </c>
      <c r="K182" s="39">
        <f>E182*J182</f>
        <v>0</v>
      </c>
    </row>
    <row r="183" spans="1:11" s="40" customFormat="1" ht="12.75">
      <c r="A183" s="33">
        <v>158</v>
      </c>
      <c r="B183" s="34" t="s">
        <v>317</v>
      </c>
      <c r="C183" s="35" t="s">
        <v>179</v>
      </c>
      <c r="D183" s="36" t="s">
        <v>87</v>
      </c>
      <c r="E183" s="37">
        <v>0.043</v>
      </c>
      <c r="F183" s="247"/>
      <c r="G183" s="38">
        <f t="shared" si="35"/>
        <v>0</v>
      </c>
      <c r="H183" s="39">
        <v>0</v>
      </c>
      <c r="I183" s="39">
        <f>E183*H183</f>
        <v>0</v>
      </c>
      <c r="J183" s="39">
        <v>0</v>
      </c>
      <c r="K183" s="39">
        <f>E183*J183</f>
        <v>0</v>
      </c>
    </row>
    <row r="184" spans="1:11" s="40" customFormat="1" ht="12.75">
      <c r="A184" s="41"/>
      <c r="B184" s="42" t="s">
        <v>15</v>
      </c>
      <c r="C184" s="43" t="str">
        <f>CONCATENATE(B181," ",C181)</f>
        <v>777 Podlahy ze syntetických hmot</v>
      </c>
      <c r="D184" s="41"/>
      <c r="E184" s="44"/>
      <c r="F184" s="248"/>
      <c r="G184" s="45">
        <f>SUM(G181:G183)</f>
        <v>0</v>
      </c>
      <c r="H184" s="46"/>
      <c r="I184" s="47">
        <f>SUM(I181:I183)</f>
        <v>0.042856000000000005</v>
      </c>
      <c r="J184" s="46"/>
      <c r="K184" s="47">
        <f>SUM(K181:K183)</f>
        <v>0</v>
      </c>
    </row>
    <row r="185" spans="1:11" s="40" customFormat="1" ht="12.75">
      <c r="A185" s="48" t="s">
        <v>13</v>
      </c>
      <c r="B185" s="49" t="s">
        <v>180</v>
      </c>
      <c r="C185" s="50" t="s">
        <v>181</v>
      </c>
      <c r="D185" s="33"/>
      <c r="E185" s="51"/>
      <c r="F185" s="249"/>
      <c r="G185" s="52"/>
      <c r="H185" s="53"/>
      <c r="I185" s="53"/>
      <c r="J185" s="53"/>
      <c r="K185" s="53"/>
    </row>
    <row r="186" spans="1:11" s="40" customFormat="1" ht="12.75">
      <c r="A186" s="33">
        <v>159</v>
      </c>
      <c r="B186" s="34" t="s">
        <v>318</v>
      </c>
      <c r="C186" s="35" t="s">
        <v>182</v>
      </c>
      <c r="D186" s="36" t="s">
        <v>19</v>
      </c>
      <c r="E186" s="37">
        <v>15.7689</v>
      </c>
      <c r="F186" s="247"/>
      <c r="G186" s="38">
        <f aca="true" t="shared" si="36" ref="G186:G194">CEILING(E186*F186,1)</f>
        <v>0</v>
      </c>
      <c r="H186" s="39">
        <v>0.00021</v>
      </c>
      <c r="I186" s="39">
        <f aca="true" t="shared" si="37" ref="I186:I194">E186*H186</f>
        <v>0.003311469</v>
      </c>
      <c r="J186" s="39">
        <v>0</v>
      </c>
      <c r="K186" s="39">
        <f aca="true" t="shared" si="38" ref="K186:K194">E186*J186</f>
        <v>0</v>
      </c>
    </row>
    <row r="187" spans="1:11" s="40" customFormat="1" ht="76.5">
      <c r="A187" s="33">
        <v>160</v>
      </c>
      <c r="B187" s="34" t="s">
        <v>319</v>
      </c>
      <c r="C187" s="35" t="s">
        <v>552</v>
      </c>
      <c r="D187" s="36" t="s">
        <v>19</v>
      </c>
      <c r="E187" s="37">
        <v>15.7689</v>
      </c>
      <c r="F187" s="247"/>
      <c r="G187" s="38">
        <f t="shared" si="36"/>
        <v>0</v>
      </c>
      <c r="H187" s="39">
        <v>0.00474</v>
      </c>
      <c r="I187" s="39">
        <f t="shared" si="37"/>
        <v>0.074744586</v>
      </c>
      <c r="J187" s="39">
        <v>0</v>
      </c>
      <c r="K187" s="39">
        <f t="shared" si="38"/>
        <v>0</v>
      </c>
    </row>
    <row r="188" spans="1:11" s="40" customFormat="1" ht="74.25" customHeight="1">
      <c r="A188" s="33">
        <v>161</v>
      </c>
      <c r="B188" s="34">
        <v>597813700</v>
      </c>
      <c r="C188" s="35" t="s">
        <v>553</v>
      </c>
      <c r="D188" s="36" t="s">
        <v>19</v>
      </c>
      <c r="E188" s="37">
        <v>16.87</v>
      </c>
      <c r="F188" s="247"/>
      <c r="G188" s="38">
        <f t="shared" si="36"/>
        <v>0</v>
      </c>
      <c r="H188" s="39">
        <v>0.0136</v>
      </c>
      <c r="I188" s="39">
        <f t="shared" si="37"/>
        <v>0.229432</v>
      </c>
      <c r="J188" s="39">
        <v>0</v>
      </c>
      <c r="K188" s="39">
        <f t="shared" si="38"/>
        <v>0</v>
      </c>
    </row>
    <row r="189" spans="1:11" s="40" customFormat="1" ht="12.75">
      <c r="A189" s="33">
        <v>162</v>
      </c>
      <c r="B189" s="34" t="s">
        <v>320</v>
      </c>
      <c r="C189" s="35" t="s">
        <v>183</v>
      </c>
      <c r="D189" s="36" t="s">
        <v>19</v>
      </c>
      <c r="E189" s="37">
        <v>15.7689</v>
      </c>
      <c r="F189" s="247"/>
      <c r="G189" s="38">
        <f t="shared" si="36"/>
        <v>0</v>
      </c>
      <c r="H189" s="39">
        <v>0</v>
      </c>
      <c r="I189" s="39">
        <f t="shared" si="37"/>
        <v>0</v>
      </c>
      <c r="J189" s="39">
        <v>0</v>
      </c>
      <c r="K189" s="39">
        <f t="shared" si="38"/>
        <v>0</v>
      </c>
    </row>
    <row r="190" spans="1:11" s="40" customFormat="1" ht="12.75">
      <c r="A190" s="33">
        <v>163</v>
      </c>
      <c r="B190" s="34" t="s">
        <v>321</v>
      </c>
      <c r="C190" s="35" t="s">
        <v>184</v>
      </c>
      <c r="D190" s="36" t="s">
        <v>21</v>
      </c>
      <c r="E190" s="37">
        <v>5.825</v>
      </c>
      <c r="F190" s="247"/>
      <c r="G190" s="38">
        <f t="shared" si="36"/>
        <v>0</v>
      </c>
      <c r="H190" s="39">
        <v>0.0001</v>
      </c>
      <c r="I190" s="39">
        <f t="shared" si="37"/>
        <v>0.0005825</v>
      </c>
      <c r="J190" s="39">
        <v>0</v>
      </c>
      <c r="K190" s="39">
        <f t="shared" si="38"/>
        <v>0</v>
      </c>
    </row>
    <row r="191" spans="1:11" s="40" customFormat="1" ht="12.75">
      <c r="A191" s="33">
        <v>164</v>
      </c>
      <c r="B191" s="34" t="s">
        <v>322</v>
      </c>
      <c r="C191" s="35" t="s">
        <v>185</v>
      </c>
      <c r="D191" s="36" t="s">
        <v>21</v>
      </c>
      <c r="E191" s="37">
        <v>9.92</v>
      </c>
      <c r="F191" s="247"/>
      <c r="G191" s="38">
        <f t="shared" si="36"/>
        <v>0</v>
      </c>
      <c r="H191" s="39">
        <v>4E-05</v>
      </c>
      <c r="I191" s="39">
        <f t="shared" si="37"/>
        <v>0.00039680000000000005</v>
      </c>
      <c r="J191" s="39">
        <v>0</v>
      </c>
      <c r="K191" s="39">
        <f t="shared" si="38"/>
        <v>0</v>
      </c>
    </row>
    <row r="192" spans="1:11" s="40" customFormat="1" ht="12.75">
      <c r="A192" s="33">
        <v>165</v>
      </c>
      <c r="B192" s="34" t="s">
        <v>323</v>
      </c>
      <c r="C192" s="35" t="s">
        <v>186</v>
      </c>
      <c r="D192" s="36" t="s">
        <v>19</v>
      </c>
      <c r="E192" s="37">
        <v>1.4112</v>
      </c>
      <c r="F192" s="247"/>
      <c r="G192" s="38">
        <f t="shared" si="36"/>
        <v>0</v>
      </c>
      <c r="H192" s="39">
        <v>0.0029</v>
      </c>
      <c r="I192" s="39">
        <f t="shared" si="37"/>
        <v>0.00409248</v>
      </c>
      <c r="J192" s="39">
        <v>0</v>
      </c>
      <c r="K192" s="39">
        <f t="shared" si="38"/>
        <v>0</v>
      </c>
    </row>
    <row r="193" spans="1:11" s="40" customFormat="1" ht="12.75">
      <c r="A193" s="33">
        <v>166</v>
      </c>
      <c r="B193" s="34">
        <v>63465128</v>
      </c>
      <c r="C193" s="35" t="s">
        <v>187</v>
      </c>
      <c r="D193" s="36" t="s">
        <v>19</v>
      </c>
      <c r="E193" s="37">
        <v>1.4818</v>
      </c>
      <c r="F193" s="247"/>
      <c r="G193" s="38">
        <f t="shared" si="36"/>
        <v>0</v>
      </c>
      <c r="H193" s="39">
        <v>0.017</v>
      </c>
      <c r="I193" s="39">
        <f t="shared" si="37"/>
        <v>0.0251906</v>
      </c>
      <c r="J193" s="39">
        <v>0</v>
      </c>
      <c r="K193" s="39">
        <f t="shared" si="38"/>
        <v>0</v>
      </c>
    </row>
    <row r="194" spans="1:11" s="40" customFormat="1" ht="12.75">
      <c r="A194" s="33">
        <v>167</v>
      </c>
      <c r="B194" s="34" t="s">
        <v>324</v>
      </c>
      <c r="C194" s="35" t="s">
        <v>188</v>
      </c>
      <c r="D194" s="36" t="s">
        <v>87</v>
      </c>
      <c r="E194" s="37">
        <v>0.338</v>
      </c>
      <c r="F194" s="247"/>
      <c r="G194" s="38">
        <f t="shared" si="36"/>
        <v>0</v>
      </c>
      <c r="H194" s="39">
        <v>0</v>
      </c>
      <c r="I194" s="39">
        <f t="shared" si="37"/>
        <v>0</v>
      </c>
      <c r="J194" s="39">
        <v>0</v>
      </c>
      <c r="K194" s="39">
        <f t="shared" si="38"/>
        <v>0</v>
      </c>
    </row>
    <row r="195" spans="1:11" s="40" customFormat="1" ht="12.75">
      <c r="A195" s="41"/>
      <c r="B195" s="42" t="s">
        <v>15</v>
      </c>
      <c r="C195" s="43" t="str">
        <f>CONCATENATE(B185," ",C185)</f>
        <v>781 Obklady keramické</v>
      </c>
      <c r="D195" s="41"/>
      <c r="E195" s="44"/>
      <c r="F195" s="248"/>
      <c r="G195" s="45">
        <f>SUM(G185:G194)</f>
        <v>0</v>
      </c>
      <c r="H195" s="46"/>
      <c r="I195" s="47">
        <f>SUM(I185:I194)</f>
        <v>0.33775043499999996</v>
      </c>
      <c r="J195" s="46"/>
      <c r="K195" s="47">
        <f>SUM(K185:K194)</f>
        <v>0</v>
      </c>
    </row>
    <row r="196" spans="1:11" s="40" customFormat="1" ht="12.75">
      <c r="A196" s="48" t="s">
        <v>13</v>
      </c>
      <c r="B196" s="49" t="s">
        <v>189</v>
      </c>
      <c r="C196" s="50" t="s">
        <v>190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ht="12.75">
      <c r="A197" s="33">
        <v>168</v>
      </c>
      <c r="B197" s="34" t="s">
        <v>325</v>
      </c>
      <c r="C197" s="35" t="s">
        <v>191</v>
      </c>
      <c r="D197" s="36" t="s">
        <v>14</v>
      </c>
      <c r="E197" s="37">
        <v>1</v>
      </c>
      <c r="F197" s="247"/>
      <c r="G197" s="38">
        <f aca="true" t="shared" si="39" ref="G197">CEILING(E197*F197,1)</f>
        <v>0</v>
      </c>
      <c r="H197" s="39">
        <v>0.00024</v>
      </c>
      <c r="I197" s="39">
        <f>E197*H197</f>
        <v>0.00024</v>
      </c>
      <c r="J197" s="39">
        <v>0</v>
      </c>
      <c r="K197" s="39">
        <f>E197*J197</f>
        <v>0</v>
      </c>
    </row>
    <row r="198" spans="1:11" s="40" customFormat="1" ht="12.75">
      <c r="A198" s="41"/>
      <c r="B198" s="42" t="s">
        <v>15</v>
      </c>
      <c r="C198" s="43" t="str">
        <f>CONCATENATE(B196," ",C196)</f>
        <v>783 Nátěry</v>
      </c>
      <c r="D198" s="41"/>
      <c r="E198" s="44"/>
      <c r="F198" s="248"/>
      <c r="G198" s="45">
        <f>SUM(G196:G197)</f>
        <v>0</v>
      </c>
      <c r="H198" s="46"/>
      <c r="I198" s="47">
        <f>SUM(I196:I197)</f>
        <v>0.00024</v>
      </c>
      <c r="J198" s="46"/>
      <c r="K198" s="47">
        <f>SUM(K196:K197)</f>
        <v>0</v>
      </c>
    </row>
    <row r="199" spans="1:11" s="40" customFormat="1" ht="12.75">
      <c r="A199" s="48" t="s">
        <v>13</v>
      </c>
      <c r="B199" s="49" t="s">
        <v>192</v>
      </c>
      <c r="C199" s="50" t="s">
        <v>193</v>
      </c>
      <c r="D199" s="33"/>
      <c r="E199" s="51"/>
      <c r="F199" s="249"/>
      <c r="G199" s="52"/>
      <c r="H199" s="53"/>
      <c r="I199" s="53"/>
      <c r="J199" s="53"/>
      <c r="K199" s="53"/>
    </row>
    <row r="200" spans="1:11" s="40" customFormat="1" ht="51">
      <c r="A200" s="33">
        <v>169</v>
      </c>
      <c r="B200" s="34" t="s">
        <v>326</v>
      </c>
      <c r="C200" s="35" t="s">
        <v>546</v>
      </c>
      <c r="D200" s="36" t="s">
        <v>19</v>
      </c>
      <c r="E200" s="37">
        <v>66.486</v>
      </c>
      <c r="F200" s="247"/>
      <c r="G200" s="38">
        <f aca="true" t="shared" si="40" ref="G200:G202">CEILING(E200*F200,1)</f>
        <v>0</v>
      </c>
      <c r="H200" s="39">
        <v>7E-05</v>
      </c>
      <c r="I200" s="39">
        <f>E200*H200</f>
        <v>0.00465402</v>
      </c>
      <c r="J200" s="39">
        <v>0</v>
      </c>
      <c r="K200" s="39">
        <f>E200*J200</f>
        <v>0</v>
      </c>
    </row>
    <row r="201" spans="1:11" s="40" customFormat="1" ht="38.25">
      <c r="A201" s="33">
        <v>170</v>
      </c>
      <c r="B201" s="34" t="s">
        <v>327</v>
      </c>
      <c r="C201" s="35" t="s">
        <v>555</v>
      </c>
      <c r="D201" s="36" t="s">
        <v>19</v>
      </c>
      <c r="E201" s="37">
        <v>22.32</v>
      </c>
      <c r="F201" s="247"/>
      <c r="G201" s="38">
        <f t="shared" si="40"/>
        <v>0</v>
      </c>
      <c r="H201" s="39">
        <v>0.00015</v>
      </c>
      <c r="I201" s="39">
        <f>E201*H201</f>
        <v>0.003348</v>
      </c>
      <c r="J201" s="39">
        <v>0</v>
      </c>
      <c r="K201" s="39">
        <f>E201*J201</f>
        <v>0</v>
      </c>
    </row>
    <row r="202" spans="1:11" s="40" customFormat="1" ht="51">
      <c r="A202" s="33">
        <v>171</v>
      </c>
      <c r="B202" s="34" t="s">
        <v>328</v>
      </c>
      <c r="C202" s="35" t="s">
        <v>547</v>
      </c>
      <c r="D202" s="36" t="s">
        <v>19</v>
      </c>
      <c r="E202" s="37">
        <v>44.166</v>
      </c>
      <c r="F202" s="247"/>
      <c r="G202" s="38">
        <f t="shared" si="40"/>
        <v>0</v>
      </c>
      <c r="H202" s="39">
        <v>0.00016</v>
      </c>
      <c r="I202" s="39">
        <f>E202*H202</f>
        <v>0.00706656</v>
      </c>
      <c r="J202" s="39">
        <v>0</v>
      </c>
      <c r="K202" s="39">
        <f>E202*J202</f>
        <v>0</v>
      </c>
    </row>
    <row r="203" spans="1:11" s="40" customFormat="1" ht="12.75">
      <c r="A203" s="41"/>
      <c r="B203" s="42" t="s">
        <v>15</v>
      </c>
      <c r="C203" s="43" t="str">
        <f>CONCATENATE(B199," ",C199)</f>
        <v>784 Malby</v>
      </c>
      <c r="D203" s="41"/>
      <c r="E203" s="44"/>
      <c r="F203" s="248"/>
      <c r="G203" s="45">
        <f>SUM(G199:G202)</f>
        <v>0</v>
      </c>
      <c r="H203" s="46"/>
      <c r="I203" s="47">
        <f>SUM(I199:I202)</f>
        <v>0.015068580000000002</v>
      </c>
      <c r="J203" s="46"/>
      <c r="K203" s="47">
        <f>SUM(K199:K202)</f>
        <v>0</v>
      </c>
    </row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pans="1:7" s="40" customFormat="1" ht="12.75">
      <c r="A227" s="54"/>
      <c r="B227" s="54"/>
      <c r="C227" s="54"/>
      <c r="D227" s="54"/>
      <c r="E227" s="54"/>
      <c r="F227" s="54"/>
      <c r="G227" s="54"/>
    </row>
    <row r="228" spans="1:7" s="40" customFormat="1" ht="12.75">
      <c r="A228" s="54"/>
      <c r="B228" s="54"/>
      <c r="C228" s="54"/>
      <c r="D228" s="54"/>
      <c r="E228" s="54"/>
      <c r="F228" s="54"/>
      <c r="G228" s="54"/>
    </row>
    <row r="229" spans="1:7" s="40" customFormat="1" ht="12.75">
      <c r="A229" s="54"/>
      <c r="B229" s="54"/>
      <c r="C229" s="54"/>
      <c r="D229" s="54"/>
      <c r="E229" s="54"/>
      <c r="F229" s="54"/>
      <c r="G229" s="54"/>
    </row>
    <row r="230" spans="1:7" s="40" customFormat="1" ht="12.75">
      <c r="A230" s="54"/>
      <c r="B230" s="54"/>
      <c r="C230" s="54"/>
      <c r="D230" s="54"/>
      <c r="E230" s="54"/>
      <c r="F230" s="54"/>
      <c r="G230" s="54"/>
    </row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pans="1:5" s="40" customFormat="1" ht="12.75">
      <c r="A256" s="55"/>
      <c r="B256" s="55"/>
      <c r="E256" s="56"/>
    </row>
    <row r="257" spans="1:7" s="40" customFormat="1" ht="12.75">
      <c r="A257" s="54"/>
      <c r="B257" s="54"/>
      <c r="C257" s="57"/>
      <c r="D257" s="57"/>
      <c r="E257" s="58"/>
      <c r="F257" s="57"/>
      <c r="G257" s="59"/>
    </row>
    <row r="258" spans="1:7" s="40" customFormat="1" ht="12.75">
      <c r="A258" s="60"/>
      <c r="B258" s="60"/>
      <c r="C258" s="54"/>
      <c r="D258" s="54"/>
      <c r="E258" s="61"/>
      <c r="F258" s="54"/>
      <c r="G258" s="54"/>
    </row>
    <row r="259" spans="1:7" s="40" customFormat="1" ht="12.75">
      <c r="A259" s="54"/>
      <c r="B259" s="54"/>
      <c r="C259" s="54"/>
      <c r="D259" s="54"/>
      <c r="E259" s="61"/>
      <c r="F259" s="54"/>
      <c r="G259" s="54"/>
    </row>
    <row r="260" spans="1:7" s="40" customFormat="1" ht="12.75">
      <c r="A260" s="54"/>
      <c r="B260" s="54"/>
      <c r="C260" s="54"/>
      <c r="D260" s="54"/>
      <c r="E260" s="61"/>
      <c r="F260" s="54"/>
      <c r="G260" s="54"/>
    </row>
    <row r="261" spans="1:7" s="40" customFormat="1" ht="12.75">
      <c r="A261" s="54"/>
      <c r="B261" s="54"/>
      <c r="C261" s="54"/>
      <c r="D261" s="54"/>
      <c r="E261" s="61"/>
      <c r="F261" s="54"/>
      <c r="G261" s="54"/>
    </row>
    <row r="262" spans="1:7" s="40" customFormat="1" ht="12.75">
      <c r="A262" s="54"/>
      <c r="B262" s="54"/>
      <c r="C262" s="54"/>
      <c r="D262" s="54"/>
      <c r="E262" s="61"/>
      <c r="F262" s="54"/>
      <c r="G262" s="54"/>
    </row>
    <row r="263" spans="1:7" ht="12.75">
      <c r="A263" s="30"/>
      <c r="B263" s="30"/>
      <c r="C263" s="30"/>
      <c r="D263" s="30"/>
      <c r="E263" s="32"/>
      <c r="F263" s="30"/>
      <c r="G263" s="30"/>
    </row>
    <row r="264" spans="1:7" ht="12.75">
      <c r="A264" s="30"/>
      <c r="B264" s="30"/>
      <c r="C264" s="30"/>
      <c r="D264" s="30"/>
      <c r="E264" s="32"/>
      <c r="F264" s="30"/>
      <c r="G264" s="30"/>
    </row>
    <row r="265" spans="1:7" ht="12.75">
      <c r="A265" s="30"/>
      <c r="B265" s="30"/>
      <c r="C265" s="30"/>
      <c r="D265" s="30"/>
      <c r="E265" s="32"/>
      <c r="F265" s="30"/>
      <c r="G265" s="30"/>
    </row>
    <row r="266" spans="1:7" ht="12.75">
      <c r="A266" s="30"/>
      <c r="B266" s="30"/>
      <c r="C266" s="30"/>
      <c r="D266" s="30"/>
      <c r="E266" s="32"/>
      <c r="F266" s="30"/>
      <c r="G266" s="30"/>
    </row>
    <row r="267" spans="1:7" ht="12.75">
      <c r="A267" s="30"/>
      <c r="B267" s="30"/>
      <c r="C267" s="30"/>
      <c r="D267" s="30"/>
      <c r="E267" s="32"/>
      <c r="F267" s="30"/>
      <c r="G267" s="30"/>
    </row>
    <row r="268" spans="1:7" ht="12.75">
      <c r="A268" s="30"/>
      <c r="B268" s="30"/>
      <c r="C268" s="30"/>
      <c r="D268" s="30"/>
      <c r="E268" s="32"/>
      <c r="F268" s="30"/>
      <c r="G268" s="30"/>
    </row>
    <row r="269" spans="1:7" ht="12.75">
      <c r="A269" s="30"/>
      <c r="B269" s="30"/>
      <c r="C269" s="30"/>
      <c r="D269" s="30"/>
      <c r="E269" s="32"/>
      <c r="F269" s="30"/>
      <c r="G269" s="30"/>
    </row>
    <row r="270" spans="1:7" ht="12.75">
      <c r="A270" s="30"/>
      <c r="B270" s="30"/>
      <c r="C270" s="30"/>
      <c r="D270" s="30"/>
      <c r="E270" s="32"/>
      <c r="F270" s="30"/>
      <c r="G270" s="30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Header xml:space="preserve">&amp;C
UK - Revitalizace ubytování na 12. a 15. NP - Krystal&amp;RPříloha č.9 - výkaz výměr vyhrazené plnění- stavební úpravy    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4.125" style="7" customWidth="1"/>
    <col min="2" max="2" width="12.375" style="7" customWidth="1"/>
    <col min="3" max="3" width="44.625" style="7" customWidth="1"/>
    <col min="4" max="4" width="5.625" style="7" customWidth="1"/>
    <col min="5" max="5" width="6.75390625" style="31" customWidth="1"/>
    <col min="6" max="6" width="11.25390625" style="7" customWidth="1"/>
    <col min="7" max="7" width="12.875" style="7" customWidth="1"/>
    <col min="8" max="8" width="10.125" style="7" customWidth="1"/>
    <col min="9" max="9" width="11.00390625" style="7" customWidth="1"/>
    <col min="10" max="10" width="9.25390625" style="7" customWidth="1"/>
    <col min="11" max="11" width="9.875" style="7" customWidth="1"/>
    <col min="12" max="16384" width="9.125" style="7" customWidth="1"/>
  </cols>
  <sheetData>
    <row r="1" spans="1:9" ht="15">
      <c r="A1" s="352" t="str">
        <f>+stavba_sanita_A!A1</f>
        <v>Výkaz výměr - stavba</v>
      </c>
      <c r="B1" s="352"/>
      <c r="C1" s="352"/>
      <c r="D1" s="352"/>
      <c r="E1" s="352"/>
      <c r="F1" s="352"/>
      <c r="G1" s="352"/>
      <c r="H1" s="352"/>
      <c r="I1" s="352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3" t="s">
        <v>1</v>
      </c>
      <c r="B3" s="354"/>
      <c r="C3" s="1" t="s">
        <v>527</v>
      </c>
      <c r="D3" s="2"/>
      <c r="E3" s="3"/>
      <c r="F3" s="2"/>
      <c r="G3" s="11"/>
      <c r="H3" s="12"/>
      <c r="I3" s="13"/>
    </row>
    <row r="4" spans="1:9" ht="13.5" thickBot="1">
      <c r="A4" s="355" t="s">
        <v>0</v>
      </c>
      <c r="B4" s="356"/>
      <c r="C4" s="4" t="s">
        <v>813</v>
      </c>
      <c r="D4" s="5"/>
      <c r="E4" s="6"/>
      <c r="F4" s="5"/>
      <c r="G4" s="357"/>
      <c r="H4" s="357"/>
      <c r="I4" s="358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23.25">
      <c r="A6" s="18" t="s">
        <v>2</v>
      </c>
      <c r="B6" s="19" t="s">
        <v>3</v>
      </c>
      <c r="C6" s="19" t="s">
        <v>4</v>
      </c>
      <c r="D6" s="250" t="s">
        <v>5</v>
      </c>
      <c r="E6" s="251" t="s">
        <v>6</v>
      </c>
      <c r="F6" s="250" t="s">
        <v>7</v>
      </c>
      <c r="G6" s="252" t="s">
        <v>8</v>
      </c>
      <c r="H6" s="253" t="s">
        <v>9</v>
      </c>
      <c r="I6" s="253" t="s">
        <v>10</v>
      </c>
      <c r="J6" s="253" t="s">
        <v>11</v>
      </c>
      <c r="K6" s="253" t="s">
        <v>12</v>
      </c>
    </row>
    <row r="7" spans="1:11" ht="12.75">
      <c r="A7" s="23" t="s">
        <v>13</v>
      </c>
      <c r="B7" s="24" t="s">
        <v>16</v>
      </c>
      <c r="C7" s="25" t="s">
        <v>17</v>
      </c>
      <c r="D7" s="26"/>
      <c r="E7" s="27"/>
      <c r="F7" s="27"/>
      <c r="G7" s="28"/>
      <c r="H7" s="29"/>
      <c r="I7" s="29"/>
      <c r="J7" s="29"/>
      <c r="K7" s="29"/>
    </row>
    <row r="8" spans="1:11" s="40" customFormat="1" ht="12.75">
      <c r="A8" s="33">
        <v>1</v>
      </c>
      <c r="B8" s="34" t="s">
        <v>197</v>
      </c>
      <c r="C8" s="35" t="s">
        <v>18</v>
      </c>
      <c r="D8" s="36" t="s">
        <v>19</v>
      </c>
      <c r="E8" s="37">
        <v>4.984</v>
      </c>
      <c r="F8" s="247"/>
      <c r="G8" s="38">
        <f>CEILING(E8*F8,1)</f>
        <v>0</v>
      </c>
      <c r="H8" s="39">
        <v>0.0706</v>
      </c>
      <c r="I8" s="39">
        <f aca="true" t="shared" si="0" ref="I8:I16">E8*H8</f>
        <v>0.35187039999999997</v>
      </c>
      <c r="J8" s="39">
        <v>0</v>
      </c>
      <c r="K8" s="39">
        <f aca="true" t="shared" si="1" ref="K8:K16">E8*J8</f>
        <v>0</v>
      </c>
    </row>
    <row r="9" spans="1:11" s="40" customFormat="1" ht="12.75">
      <c r="A9" s="33">
        <v>2</v>
      </c>
      <c r="B9" s="34" t="s">
        <v>198</v>
      </c>
      <c r="C9" s="35" t="s">
        <v>20</v>
      </c>
      <c r="D9" s="36" t="s">
        <v>21</v>
      </c>
      <c r="E9" s="37">
        <v>2.64</v>
      </c>
      <c r="F9" s="247"/>
      <c r="G9" s="38">
        <f aca="true" t="shared" si="2" ref="G9:G16">CEILING(E9*F9,1)</f>
        <v>0</v>
      </c>
      <c r="H9" s="39">
        <v>8E-05</v>
      </c>
      <c r="I9" s="39">
        <f t="shared" si="0"/>
        <v>0.00021120000000000004</v>
      </c>
      <c r="J9" s="39">
        <v>0</v>
      </c>
      <c r="K9" s="39">
        <f t="shared" si="1"/>
        <v>0</v>
      </c>
    </row>
    <row r="10" spans="1:11" s="40" customFormat="1" ht="12.75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0.00102</v>
      </c>
      <c r="I10" s="39">
        <f t="shared" si="0"/>
        <v>0.0051</v>
      </c>
      <c r="J10" s="39">
        <v>0</v>
      </c>
      <c r="K10" s="39">
        <f t="shared" si="1"/>
        <v>0</v>
      </c>
    </row>
    <row r="11" spans="1:11" s="40" customFormat="1" ht="25.5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0.02752</v>
      </c>
      <c r="I11" s="39">
        <f t="shared" si="0"/>
        <v>0.02752</v>
      </c>
      <c r="J11" s="39">
        <v>0</v>
      </c>
      <c r="K11" s="39">
        <f t="shared" si="1"/>
        <v>0</v>
      </c>
    </row>
    <row r="12" spans="1:11" s="40" customFormat="1" ht="12.75">
      <c r="A12" s="33">
        <v>5</v>
      </c>
      <c r="B12" s="34" t="s">
        <v>201</v>
      </c>
      <c r="C12" s="35" t="s">
        <v>510</v>
      </c>
      <c r="D12" s="36" t="s">
        <v>19</v>
      </c>
      <c r="E12" s="37">
        <v>7.64</v>
      </c>
      <c r="F12" s="247"/>
      <c r="G12" s="38">
        <f t="shared" si="2"/>
        <v>0</v>
      </c>
      <c r="H12" s="39">
        <v>0.01696</v>
      </c>
      <c r="I12" s="39">
        <f t="shared" si="0"/>
        <v>0.12957439999999998</v>
      </c>
      <c r="J12" s="39">
        <v>0</v>
      </c>
      <c r="K12" s="39">
        <f t="shared" si="1"/>
        <v>0</v>
      </c>
    </row>
    <row r="13" spans="1:11" s="40" customFormat="1" ht="12.75">
      <c r="A13" s="33">
        <v>6</v>
      </c>
      <c r="B13" s="276" t="s">
        <v>202</v>
      </c>
      <c r="C13" s="273" t="s">
        <v>513</v>
      </c>
      <c r="D13" s="274" t="s">
        <v>19</v>
      </c>
      <c r="E13" s="275">
        <v>0</v>
      </c>
      <c r="F13" s="247"/>
      <c r="G13" s="277">
        <f t="shared" si="2"/>
        <v>0</v>
      </c>
      <c r="H13" s="278">
        <v>0.0163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ht="12.75">
      <c r="A14" s="33">
        <v>7</v>
      </c>
      <c r="B14" s="34" t="s">
        <v>428</v>
      </c>
      <c r="C14" s="35" t="s">
        <v>429</v>
      </c>
      <c r="D14" s="36" t="s">
        <v>19</v>
      </c>
      <c r="E14" s="37">
        <v>0.966</v>
      </c>
      <c r="F14" s="247"/>
      <c r="G14" s="38">
        <f t="shared" si="2"/>
        <v>0</v>
      </c>
      <c r="H14" s="39">
        <v>0.04682</v>
      </c>
      <c r="I14" s="39">
        <f t="shared" si="0"/>
        <v>0.04522812</v>
      </c>
      <c r="J14" s="39">
        <v>0</v>
      </c>
      <c r="K14" s="39">
        <f t="shared" si="1"/>
        <v>0</v>
      </c>
    </row>
    <row r="15" spans="1:11" s="40" customFormat="1" ht="12.75">
      <c r="A15" s="33">
        <v>8</v>
      </c>
      <c r="B15" s="34" t="s">
        <v>204</v>
      </c>
      <c r="C15" s="35" t="s">
        <v>523</v>
      </c>
      <c r="D15" s="36" t="s">
        <v>24</v>
      </c>
      <c r="E15" s="37">
        <v>1</v>
      </c>
      <c r="F15" s="247"/>
      <c r="G15" s="38">
        <f t="shared" si="2"/>
        <v>0</v>
      </c>
      <c r="H15" s="39">
        <v>0.00024</v>
      </c>
      <c r="I15" s="39">
        <f t="shared" si="0"/>
        <v>0.00024</v>
      </c>
      <c r="J15" s="39">
        <v>0</v>
      </c>
      <c r="K15" s="39">
        <f t="shared" si="1"/>
        <v>0</v>
      </c>
    </row>
    <row r="16" spans="1:11" s="40" customFormat="1" ht="12.75">
      <c r="A16" s="33">
        <v>9</v>
      </c>
      <c r="B16" s="34" t="s">
        <v>205</v>
      </c>
      <c r="C16" s="35" t="s">
        <v>524</v>
      </c>
      <c r="D16" s="36" t="s">
        <v>24</v>
      </c>
      <c r="E16" s="37">
        <v>1</v>
      </c>
      <c r="F16" s="247"/>
      <c r="G16" s="38">
        <f t="shared" si="2"/>
        <v>0</v>
      </c>
      <c r="H16" s="39">
        <v>0.01334</v>
      </c>
      <c r="I16" s="39">
        <f t="shared" si="0"/>
        <v>0.01334</v>
      </c>
      <c r="J16" s="39">
        <v>0</v>
      </c>
      <c r="K16" s="39">
        <f t="shared" si="1"/>
        <v>0</v>
      </c>
    </row>
    <row r="17" spans="1:11" s="40" customFormat="1" ht="12.75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0.57308412</v>
      </c>
      <c r="J17" s="46"/>
      <c r="K17" s="47">
        <f>SUM(K7:K16)</f>
        <v>0</v>
      </c>
    </row>
    <row r="18" spans="1:11" s="40" customFormat="1" ht="12.75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ht="12.75">
      <c r="A19" s="33">
        <v>10</v>
      </c>
      <c r="B19" s="34" t="s">
        <v>206</v>
      </c>
      <c r="C19" s="35" t="s">
        <v>27</v>
      </c>
      <c r="D19" s="36" t="s">
        <v>19</v>
      </c>
      <c r="E19" s="37">
        <v>4.1</v>
      </c>
      <c r="F19" s="247"/>
      <c r="G19" s="38">
        <f aca="true" t="shared" si="3" ref="G19:G22">CEILING(E19*F19,1)</f>
        <v>0</v>
      </c>
      <c r="H19" s="39">
        <v>0.01232</v>
      </c>
      <c r="I19" s="39">
        <f>E19*H19</f>
        <v>0.050511999999999994</v>
      </c>
      <c r="J19" s="39">
        <v>0</v>
      </c>
      <c r="K19" s="39">
        <f>E19*J19</f>
        <v>0</v>
      </c>
    </row>
    <row r="20" spans="1:11" s="40" customFormat="1" ht="25.5">
      <c r="A20" s="33">
        <v>11</v>
      </c>
      <c r="B20" s="34" t="s">
        <v>207</v>
      </c>
      <c r="C20" s="35" t="s">
        <v>28</v>
      </c>
      <c r="D20" s="36" t="s">
        <v>19</v>
      </c>
      <c r="E20" s="37">
        <v>4</v>
      </c>
      <c r="F20" s="247"/>
      <c r="G20" s="38">
        <f t="shared" si="3"/>
        <v>0</v>
      </c>
      <c r="H20" s="39">
        <v>0.01193</v>
      </c>
      <c r="I20" s="39">
        <f>E20*H20</f>
        <v>0.04772</v>
      </c>
      <c r="J20" s="39">
        <v>0</v>
      </c>
      <c r="K20" s="39">
        <f>E20*J20</f>
        <v>0</v>
      </c>
    </row>
    <row r="21" spans="1:11" s="40" customFormat="1" ht="12.75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>
      <c r="A22" s="33">
        <v>13</v>
      </c>
      <c r="B22" s="34" t="s">
        <v>209</v>
      </c>
      <c r="C22" s="35" t="s">
        <v>30</v>
      </c>
      <c r="D22" s="36" t="s">
        <v>19</v>
      </c>
      <c r="E22" s="37">
        <v>8.1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ht="12.75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0.09823199999999999</v>
      </c>
      <c r="J23" s="46"/>
      <c r="K23" s="47">
        <f>SUM(K18:K22)</f>
        <v>0</v>
      </c>
    </row>
    <row r="24" spans="1:11" s="40" customFormat="1" ht="12.75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ht="12.75">
      <c r="A25" s="33">
        <v>14</v>
      </c>
      <c r="B25" s="34" t="s">
        <v>210</v>
      </c>
      <c r="C25" s="35" t="s">
        <v>33</v>
      </c>
      <c r="D25" s="36" t="s">
        <v>19</v>
      </c>
      <c r="E25" s="37">
        <v>4.4</v>
      </c>
      <c r="F25" s="247"/>
      <c r="G25" s="38">
        <f aca="true" t="shared" si="4" ref="G25:G31">CEILING(E25*F25,1)</f>
        <v>0</v>
      </c>
      <c r="H25" s="39">
        <v>4E-05</v>
      </c>
      <c r="I25" s="39">
        <f aca="true" t="shared" si="5" ref="I25:I31">E25*H25</f>
        <v>0.00017600000000000002</v>
      </c>
      <c r="J25" s="39">
        <v>0</v>
      </c>
      <c r="K25" s="39">
        <f aca="true" t="shared" si="6" ref="K25:K31">E25*J25</f>
        <v>0</v>
      </c>
    </row>
    <row r="26" spans="1:11" s="40" customFormat="1" ht="25.5">
      <c r="A26" s="33">
        <v>15</v>
      </c>
      <c r="B26" s="34" t="s">
        <v>211</v>
      </c>
      <c r="C26" s="35" t="s">
        <v>34</v>
      </c>
      <c r="D26" s="36" t="s">
        <v>19</v>
      </c>
      <c r="E26" s="37">
        <v>14.62</v>
      </c>
      <c r="F26" s="247"/>
      <c r="G26" s="38">
        <f t="shared" si="4"/>
        <v>0</v>
      </c>
      <c r="H26" s="39">
        <v>0.00645</v>
      </c>
      <c r="I26" s="39">
        <f t="shared" si="5"/>
        <v>0.094299</v>
      </c>
      <c r="J26" s="39">
        <v>0</v>
      </c>
      <c r="K26" s="39">
        <f t="shared" si="6"/>
        <v>0</v>
      </c>
    </row>
    <row r="27" spans="1:11" s="40" customFormat="1" ht="12.75">
      <c r="A27" s="33">
        <v>16</v>
      </c>
      <c r="B27" s="34" t="s">
        <v>212</v>
      </c>
      <c r="C27" s="35" t="s">
        <v>35</v>
      </c>
      <c r="D27" s="36" t="s">
        <v>19</v>
      </c>
      <c r="E27" s="37">
        <v>39.182</v>
      </c>
      <c r="F27" s="247"/>
      <c r="G27" s="38">
        <f t="shared" si="4"/>
        <v>0</v>
      </c>
      <c r="H27" s="39">
        <v>0.00579</v>
      </c>
      <c r="I27" s="39">
        <f t="shared" si="5"/>
        <v>0.22686378000000001</v>
      </c>
      <c r="J27" s="39">
        <v>0</v>
      </c>
      <c r="K27" s="39">
        <f t="shared" si="6"/>
        <v>0</v>
      </c>
    </row>
    <row r="28" spans="1:11" s="40" customFormat="1" ht="25.5">
      <c r="A28" s="33">
        <v>17</v>
      </c>
      <c r="B28" s="34" t="s">
        <v>213</v>
      </c>
      <c r="C28" s="35" t="s">
        <v>36</v>
      </c>
      <c r="D28" s="36" t="s">
        <v>19</v>
      </c>
      <c r="E28" s="37">
        <v>17.5775</v>
      </c>
      <c r="F28" s="247"/>
      <c r="G28" s="38">
        <f t="shared" si="4"/>
        <v>0</v>
      </c>
      <c r="H28" s="39">
        <v>0.00367</v>
      </c>
      <c r="I28" s="39">
        <f t="shared" si="5"/>
        <v>0.06450942500000001</v>
      </c>
      <c r="J28" s="39">
        <v>0</v>
      </c>
      <c r="K28" s="39">
        <f t="shared" si="6"/>
        <v>0</v>
      </c>
    </row>
    <row r="29" spans="1:11" s="40" customFormat="1" ht="12.75">
      <c r="A29" s="33">
        <v>18</v>
      </c>
      <c r="B29" s="34" t="s">
        <v>214</v>
      </c>
      <c r="C29" s="35" t="s">
        <v>37</v>
      </c>
      <c r="D29" s="36" t="s">
        <v>19</v>
      </c>
      <c r="E29" s="37">
        <v>4.985</v>
      </c>
      <c r="F29" s="247"/>
      <c r="G29" s="38">
        <f t="shared" si="4"/>
        <v>0</v>
      </c>
      <c r="H29" s="39">
        <v>0.00635</v>
      </c>
      <c r="I29" s="39">
        <f t="shared" si="5"/>
        <v>0.03165475</v>
      </c>
      <c r="J29" s="39">
        <v>0</v>
      </c>
      <c r="K29" s="39">
        <f t="shared" si="6"/>
        <v>0</v>
      </c>
    </row>
    <row r="30" spans="1:11" s="40" customFormat="1" ht="12.75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0.01577</v>
      </c>
      <c r="I30" s="39">
        <f t="shared" si="5"/>
        <v>0.03154</v>
      </c>
      <c r="J30" s="39">
        <v>0</v>
      </c>
      <c r="K30" s="39">
        <f t="shared" si="6"/>
        <v>0</v>
      </c>
    </row>
    <row r="31" spans="1:11" s="40" customFormat="1" ht="12.75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0.04543</v>
      </c>
      <c r="I31" s="39">
        <f t="shared" si="5"/>
        <v>0.04543</v>
      </c>
      <c r="J31" s="39">
        <v>0</v>
      </c>
      <c r="K31" s="39">
        <f t="shared" si="6"/>
        <v>0</v>
      </c>
    </row>
    <row r="32" spans="1:11" s="40" customFormat="1" ht="12.75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0.494472955</v>
      </c>
      <c r="J32" s="46"/>
      <c r="K32" s="47">
        <f>SUM(K24:K31)</f>
        <v>0</v>
      </c>
    </row>
    <row r="33" spans="1:11" s="40" customFormat="1" ht="12.75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ht="12.75">
      <c r="A34" s="33">
        <v>21</v>
      </c>
      <c r="B34" s="34" t="s">
        <v>217</v>
      </c>
      <c r="C34" s="35" t="s">
        <v>42</v>
      </c>
      <c r="D34" s="36" t="s">
        <v>21</v>
      </c>
      <c r="E34" s="37">
        <v>2.45</v>
      </c>
      <c r="F34" s="247"/>
      <c r="G34" s="38">
        <f aca="true" t="shared" si="7" ref="G34:G37">CEILING(E34*F34,1)</f>
        <v>0</v>
      </c>
      <c r="H34" s="39">
        <v>0.00665</v>
      </c>
      <c r="I34" s="39">
        <f>E34*H34</f>
        <v>0.0162925</v>
      </c>
      <c r="J34" s="39">
        <v>0</v>
      </c>
      <c r="K34" s="39">
        <f>E34*J34</f>
        <v>0</v>
      </c>
    </row>
    <row r="35" spans="1:11" s="40" customFormat="1" ht="12.75">
      <c r="A35" s="33">
        <v>22</v>
      </c>
      <c r="B35" s="34"/>
      <c r="C35" s="35"/>
      <c r="D35" s="36" t="s">
        <v>21</v>
      </c>
      <c r="E35" s="37"/>
      <c r="F35" s="247"/>
      <c r="G35" s="38">
        <f t="shared" si="7"/>
        <v>0</v>
      </c>
      <c r="H35" s="39"/>
      <c r="I35" s="39">
        <f>E35*H35</f>
        <v>0</v>
      </c>
      <c r="J35" s="39">
        <v>0</v>
      </c>
      <c r="K35" s="39">
        <f>E35*J35</f>
        <v>0</v>
      </c>
    </row>
    <row r="36" spans="1:11" s="40" customFormat="1" ht="12.75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0.01897</v>
      </c>
      <c r="I36" s="39">
        <f>E36*H36</f>
        <v>0.01897</v>
      </c>
      <c r="J36" s="39">
        <v>0</v>
      </c>
      <c r="K36" s="39">
        <f>E36*J36</f>
        <v>0</v>
      </c>
    </row>
    <row r="37" spans="1:11" s="40" customFormat="1" ht="12.75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0.0183</v>
      </c>
      <c r="I37" s="39">
        <f>E37*H37</f>
        <v>0.0183</v>
      </c>
      <c r="J37" s="39">
        <v>0</v>
      </c>
      <c r="K37" s="39">
        <f>E37*J37</f>
        <v>0</v>
      </c>
    </row>
    <row r="38" spans="1:11" s="40" customFormat="1" ht="12.75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0.0535625</v>
      </c>
      <c r="J38" s="46"/>
      <c r="K38" s="47">
        <f>SUM(K33:K37)</f>
        <v>0</v>
      </c>
    </row>
    <row r="39" spans="1:11" s="40" customFormat="1" ht="12.75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ht="25.5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aca="true" t="shared" si="8" ref="G40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ht="12.75">
      <c r="A41" s="41"/>
      <c r="B41" s="42" t="s">
        <v>15</v>
      </c>
      <c r="C41" s="43" t="str">
        <f>CONCATENATE(B39," ",C39)</f>
        <v>90 Přípočty</v>
      </c>
      <c r="D41" s="41"/>
      <c r="E41" s="44"/>
      <c r="F41" s="248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ht="12.75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ht="12.75">
      <c r="A43" s="33">
        <v>26</v>
      </c>
      <c r="B43" s="34" t="s">
        <v>220</v>
      </c>
      <c r="C43" s="35" t="s">
        <v>51</v>
      </c>
      <c r="D43" s="36" t="s">
        <v>19</v>
      </c>
      <c r="E43" s="37">
        <v>22.72</v>
      </c>
      <c r="F43" s="247"/>
      <c r="G43" s="38">
        <f aca="true" t="shared" si="9" ref="G43">CEILING(E43*F43,1)</f>
        <v>0</v>
      </c>
      <c r="H43" s="39">
        <v>0.00121</v>
      </c>
      <c r="I43" s="39">
        <f>E43*H43</f>
        <v>0.027491199999999997</v>
      </c>
      <c r="J43" s="39">
        <v>0</v>
      </c>
      <c r="K43" s="39">
        <f>E43*J43</f>
        <v>0</v>
      </c>
    </row>
    <row r="44" spans="1:11" s="40" customFormat="1" ht="12.75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0.027491199999999997</v>
      </c>
      <c r="J44" s="46"/>
      <c r="K44" s="47">
        <f>SUM(K42:K43)</f>
        <v>0</v>
      </c>
    </row>
    <row r="45" spans="1:11" s="40" customFormat="1" ht="12.75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ht="12.75">
      <c r="A46" s="33">
        <v>27</v>
      </c>
      <c r="B46" s="34" t="s">
        <v>221</v>
      </c>
      <c r="C46" s="35" t="s">
        <v>54</v>
      </c>
      <c r="D46" s="36" t="s">
        <v>19</v>
      </c>
      <c r="E46" s="37">
        <v>22.72</v>
      </c>
      <c r="F46" s="247"/>
      <c r="G46" s="38">
        <f aca="true" t="shared" si="10" ref="G46">CEILING(E46*F46,1)</f>
        <v>0</v>
      </c>
      <c r="H46" s="39">
        <v>4E-05</v>
      </c>
      <c r="I46" s="39">
        <f>E46*H46</f>
        <v>0.0009088000000000001</v>
      </c>
      <c r="J46" s="39">
        <v>0</v>
      </c>
      <c r="K46" s="39">
        <f>E46*J46</f>
        <v>0</v>
      </c>
    </row>
    <row r="47" spans="1:11" s="40" customFormat="1" ht="12.75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0.0009088000000000001</v>
      </c>
      <c r="J47" s="46"/>
      <c r="K47" s="47">
        <f>SUM(K45:K46)</f>
        <v>0</v>
      </c>
    </row>
    <row r="48" spans="1:11" s="40" customFormat="1" ht="12.75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ht="12.75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aca="true" t="shared" si="11" ref="G49:G79">CEILING(E49*F49,1)</f>
        <v>0</v>
      </c>
      <c r="H49" s="39">
        <v>0</v>
      </c>
      <c r="I49" s="39">
        <f aca="true" t="shared" si="12" ref="I49:I79">E49*H49</f>
        <v>0</v>
      </c>
      <c r="J49" s="39">
        <v>-0.00046</v>
      </c>
      <c r="K49" s="39">
        <f aca="true" t="shared" si="13" ref="K49:K79">E49*J49</f>
        <v>-0.00115</v>
      </c>
    </row>
    <row r="50" spans="1:11" s="40" customFormat="1" ht="25.5">
      <c r="A50" s="33">
        <v>29</v>
      </c>
      <c r="B50" s="34" t="s">
        <v>223</v>
      </c>
      <c r="C50" s="35" t="s">
        <v>58</v>
      </c>
      <c r="D50" s="36" t="s">
        <v>19</v>
      </c>
      <c r="E50" s="37">
        <v>2.224</v>
      </c>
      <c r="F50" s="247"/>
      <c r="G50" s="38">
        <f t="shared" si="11"/>
        <v>0</v>
      </c>
      <c r="H50" s="39">
        <v>0.00067</v>
      </c>
      <c r="I50" s="39">
        <f t="shared" si="12"/>
        <v>0.0014900800000000002</v>
      </c>
      <c r="J50" s="39">
        <v>-0.113</v>
      </c>
      <c r="K50" s="39">
        <f t="shared" si="13"/>
        <v>-0.25131200000000004</v>
      </c>
    </row>
    <row r="51" spans="1:11" s="40" customFormat="1" ht="12.75">
      <c r="A51" s="33">
        <v>30</v>
      </c>
      <c r="B51" s="34" t="s">
        <v>224</v>
      </c>
      <c r="C51" s="35" t="s">
        <v>59</v>
      </c>
      <c r="D51" s="36" t="s">
        <v>19</v>
      </c>
      <c r="E51" s="37">
        <v>22.8885</v>
      </c>
      <c r="F51" s="247"/>
      <c r="G51" s="38">
        <f t="shared" si="11"/>
        <v>0</v>
      </c>
      <c r="H51" s="39">
        <v>0.00067</v>
      </c>
      <c r="I51" s="39">
        <f t="shared" si="12"/>
        <v>0.015335295</v>
      </c>
      <c r="J51" s="39">
        <v>-0.1</v>
      </c>
      <c r="K51" s="39">
        <f t="shared" si="13"/>
        <v>-2.28885</v>
      </c>
    </row>
    <row r="52" spans="1:11" s="40" customFormat="1" ht="12.75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ht="12.75">
      <c r="A53" s="33">
        <v>32</v>
      </c>
      <c r="B53" s="34" t="s">
        <v>226</v>
      </c>
      <c r="C53" s="35" t="s">
        <v>61</v>
      </c>
      <c r="D53" s="36" t="s">
        <v>19</v>
      </c>
      <c r="E53" s="37">
        <v>4.646</v>
      </c>
      <c r="F53" s="247"/>
      <c r="G53" s="38">
        <f t="shared" si="11"/>
        <v>0</v>
      </c>
      <c r="H53" s="39">
        <v>0.00117</v>
      </c>
      <c r="I53" s="39">
        <f t="shared" si="12"/>
        <v>0.00543582</v>
      </c>
      <c r="J53" s="39">
        <v>-0.076</v>
      </c>
      <c r="K53" s="39">
        <f t="shared" si="13"/>
        <v>-0.35309599999999997</v>
      </c>
    </row>
    <row r="54" spans="1:11" s="40" customFormat="1" ht="12.75">
      <c r="A54" s="33">
        <v>33</v>
      </c>
      <c r="B54" s="34" t="s">
        <v>227</v>
      </c>
      <c r="C54" s="35" t="s">
        <v>62</v>
      </c>
      <c r="D54" s="36" t="s">
        <v>21</v>
      </c>
      <c r="E54" s="37">
        <v>2.45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-0.01113</v>
      </c>
      <c r="K54" s="39">
        <f t="shared" si="13"/>
        <v>-0.0272685</v>
      </c>
    </row>
    <row r="55" spans="1:11" s="40" customFormat="1" ht="25.5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0.00038</v>
      </c>
      <c r="I55" s="39">
        <f t="shared" si="12"/>
        <v>0.00152</v>
      </c>
      <c r="J55" s="39">
        <v>-0.013</v>
      </c>
      <c r="K55" s="39">
        <f t="shared" si="13"/>
        <v>-0.052</v>
      </c>
    </row>
    <row r="56" spans="1:11" s="40" customFormat="1" ht="12.75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0.00059</v>
      </c>
      <c r="I56" s="39">
        <f t="shared" si="12"/>
        <v>0.00177</v>
      </c>
      <c r="J56" s="39">
        <v>-0.037</v>
      </c>
      <c r="K56" s="39">
        <f t="shared" si="13"/>
        <v>-0.11099999999999999</v>
      </c>
    </row>
    <row r="57" spans="1:11" s="40" customFormat="1" ht="12.75">
      <c r="A57" s="33">
        <v>36</v>
      </c>
      <c r="B57" s="34" t="s">
        <v>230</v>
      </c>
      <c r="C57" s="35" t="s">
        <v>65</v>
      </c>
      <c r="D57" s="36" t="s">
        <v>21</v>
      </c>
      <c r="E57" s="37">
        <v>28.31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ht="12.75">
      <c r="A58" s="33">
        <v>37</v>
      </c>
      <c r="B58" s="34" t="s">
        <v>231</v>
      </c>
      <c r="C58" s="35" t="s">
        <v>66</v>
      </c>
      <c r="D58" s="36" t="s">
        <v>19</v>
      </c>
      <c r="E58" s="37">
        <v>22.45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-0.001</v>
      </c>
      <c r="K58" s="39">
        <f t="shared" si="13"/>
        <v>-0.02245</v>
      </c>
    </row>
    <row r="59" spans="1:11" s="40" customFormat="1" ht="12.75">
      <c r="A59" s="33">
        <v>38</v>
      </c>
      <c r="B59" s="34" t="s">
        <v>232</v>
      </c>
      <c r="C59" s="35" t="s">
        <v>67</v>
      </c>
      <c r="D59" s="36" t="s">
        <v>19</v>
      </c>
      <c r="E59" s="37">
        <v>22.45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ht="25.5">
      <c r="A60" s="33">
        <v>39</v>
      </c>
      <c r="B60" s="34" t="s">
        <v>233</v>
      </c>
      <c r="C60" s="35" t="s">
        <v>68</v>
      </c>
      <c r="D60" s="36" t="s">
        <v>19</v>
      </c>
      <c r="E60" s="37">
        <v>61.607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ht="12.75">
      <c r="A61" s="33">
        <v>40</v>
      </c>
      <c r="B61" s="34" t="s">
        <v>234</v>
      </c>
      <c r="C61" s="35" t="s">
        <v>69</v>
      </c>
      <c r="D61" s="36" t="s">
        <v>19</v>
      </c>
      <c r="E61" s="37">
        <v>39.157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-0.004</v>
      </c>
      <c r="K61" s="39">
        <f t="shared" si="13"/>
        <v>-0.156628</v>
      </c>
    </row>
    <row r="62" spans="1:11" s="40" customFormat="1" ht="12.75">
      <c r="A62" s="33">
        <v>41</v>
      </c>
      <c r="B62" s="34" t="s">
        <v>235</v>
      </c>
      <c r="C62" s="35" t="s">
        <v>70</v>
      </c>
      <c r="D62" s="36" t="s">
        <v>19</v>
      </c>
      <c r="E62" s="37">
        <v>22.45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-0.004</v>
      </c>
      <c r="K62" s="39">
        <f t="shared" si="13"/>
        <v>-0.0898</v>
      </c>
    </row>
    <row r="63" spans="1:11" s="40" customFormat="1" ht="12.75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-0.0881</v>
      </c>
      <c r="K63" s="39">
        <f t="shared" si="13"/>
        <v>-0.1762</v>
      </c>
    </row>
    <row r="64" spans="1:11" s="40" customFormat="1" ht="12.75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ht="12.75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-0.00223</v>
      </c>
      <c r="K65" s="39">
        <f t="shared" si="13"/>
        <v>-0.00223</v>
      </c>
    </row>
    <row r="66" spans="1:11" s="40" customFormat="1" ht="12.75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-0.0342</v>
      </c>
      <c r="K66" s="39">
        <f t="shared" si="13"/>
        <v>-0.0342</v>
      </c>
    </row>
    <row r="67" spans="1:11" s="40" customFormat="1" ht="12.75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-0.0329</v>
      </c>
      <c r="K67" s="39">
        <f t="shared" si="13"/>
        <v>-0.0329</v>
      </c>
    </row>
    <row r="68" spans="1:11" s="40" customFormat="1" ht="12.75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-0.01946</v>
      </c>
      <c r="K68" s="39">
        <f t="shared" si="13"/>
        <v>-0.01946</v>
      </c>
    </row>
    <row r="69" spans="1:11" s="40" customFormat="1" ht="12.75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-0.00156</v>
      </c>
      <c r="K69" s="39">
        <f t="shared" si="13"/>
        <v>-0.00312</v>
      </c>
    </row>
    <row r="70" spans="1:11" s="40" customFormat="1" ht="12.75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-0.00085</v>
      </c>
      <c r="K70" s="39">
        <f t="shared" si="13"/>
        <v>-0.0017</v>
      </c>
    </row>
    <row r="71" spans="1:11" s="40" customFormat="1" ht="12.75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-0.00049</v>
      </c>
      <c r="K71" s="39">
        <f t="shared" si="13"/>
        <v>-0.00049</v>
      </c>
    </row>
    <row r="72" spans="1:11" s="40" customFormat="1" ht="12.75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ht="12.75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ht="12.75">
      <c r="A74" s="33">
        <v>53</v>
      </c>
      <c r="B74" s="34" t="s">
        <v>245</v>
      </c>
      <c r="C74" s="35" t="s">
        <v>86</v>
      </c>
      <c r="D74" s="36" t="s">
        <v>87</v>
      </c>
      <c r="E74" s="37">
        <v>3.735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ht="12.75">
      <c r="A75" s="33">
        <v>54</v>
      </c>
      <c r="B75" s="34" t="s">
        <v>330</v>
      </c>
      <c r="C75" s="35" t="s">
        <v>331</v>
      </c>
      <c r="D75" s="36" t="s">
        <v>87</v>
      </c>
      <c r="E75" s="37">
        <v>11.21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ht="12.75">
      <c r="A76" s="33">
        <v>55</v>
      </c>
      <c r="B76" s="34" t="s">
        <v>246</v>
      </c>
      <c r="C76" s="35" t="s">
        <v>88</v>
      </c>
      <c r="D76" s="36" t="s">
        <v>87</v>
      </c>
      <c r="E76" s="37">
        <v>3.735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ht="12.75">
      <c r="A77" s="33">
        <v>56</v>
      </c>
      <c r="B77" s="34" t="s">
        <v>247</v>
      </c>
      <c r="C77" s="35" t="s">
        <v>89</v>
      </c>
      <c r="D77" s="36" t="s">
        <v>87</v>
      </c>
      <c r="E77" s="37">
        <v>14.94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ht="12.75">
      <c r="A78" s="33">
        <v>57</v>
      </c>
      <c r="B78" s="34" t="s">
        <v>248</v>
      </c>
      <c r="C78" s="35" t="s">
        <v>90</v>
      </c>
      <c r="D78" s="36" t="s">
        <v>87</v>
      </c>
      <c r="E78" s="37">
        <v>3.735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ht="12.75">
      <c r="A79" s="33">
        <v>58</v>
      </c>
      <c r="B79" s="34" t="s">
        <v>249</v>
      </c>
      <c r="C79" s="35" t="s">
        <v>91</v>
      </c>
      <c r="D79" s="36" t="s">
        <v>87</v>
      </c>
      <c r="E79" s="37">
        <v>3.735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ht="12.75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248"/>
      <c r="G80" s="45">
        <f>SUM(G48:G79)</f>
        <v>0</v>
      </c>
      <c r="H80" s="46"/>
      <c r="I80" s="47">
        <f>SUM(I48:I79)</f>
        <v>0.025551195000000002</v>
      </c>
      <c r="J80" s="46"/>
      <c r="K80" s="47">
        <f>SUM(K48:K79)</f>
        <v>-3.7342544999999996</v>
      </c>
    </row>
    <row r="81" spans="1:11" s="40" customFormat="1" ht="12.75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ht="12.75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1.27330277</v>
      </c>
      <c r="F82" s="247"/>
      <c r="G82" s="38">
        <f aca="true" t="shared" si="14" ref="G82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ht="12.75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ht="12.75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ht="12.75">
      <c r="A85" s="33">
        <v>60</v>
      </c>
      <c r="B85" s="34" t="s">
        <v>251</v>
      </c>
      <c r="C85" s="35" t="s">
        <v>97</v>
      </c>
      <c r="D85" s="36" t="s">
        <v>19</v>
      </c>
      <c r="E85" s="37">
        <v>6.6504</v>
      </c>
      <c r="F85" s="247"/>
      <c r="G85" s="38">
        <f aca="true" t="shared" si="15" ref="G85:G89">CEILING(E85*F85,1)</f>
        <v>0</v>
      </c>
      <c r="H85" s="39">
        <v>0.00021</v>
      </c>
      <c r="I85" s="39">
        <f>E85*H85</f>
        <v>0.0013965840000000002</v>
      </c>
      <c r="J85" s="39">
        <v>0</v>
      </c>
      <c r="K85" s="39">
        <f>E85*J85</f>
        <v>0</v>
      </c>
    </row>
    <row r="86" spans="1:11" s="40" customFormat="1" ht="12.75">
      <c r="A86" s="33">
        <v>61</v>
      </c>
      <c r="B86" s="34" t="s">
        <v>252</v>
      </c>
      <c r="C86" s="35" t="s">
        <v>98</v>
      </c>
      <c r="D86" s="36" t="s">
        <v>19</v>
      </c>
      <c r="E86" s="37">
        <v>6.6504</v>
      </c>
      <c r="F86" s="247"/>
      <c r="G86" s="38">
        <f t="shared" si="15"/>
        <v>0</v>
      </c>
      <c r="H86" s="39">
        <v>0.00368</v>
      </c>
      <c r="I86" s="39">
        <f>E86*H86</f>
        <v>0.024473472000000003</v>
      </c>
      <c r="J86" s="39">
        <v>0</v>
      </c>
      <c r="K86" s="39">
        <f>E86*J86</f>
        <v>0</v>
      </c>
    </row>
    <row r="87" spans="1:11" s="40" customFormat="1" ht="12.75">
      <c r="A87" s="33">
        <v>62</v>
      </c>
      <c r="B87" s="34" t="s">
        <v>253</v>
      </c>
      <c r="C87" s="35" t="s">
        <v>99</v>
      </c>
      <c r="D87" s="36" t="s">
        <v>21</v>
      </c>
      <c r="E87" s="37">
        <v>3.01</v>
      </c>
      <c r="F87" s="247"/>
      <c r="G87" s="38">
        <f t="shared" si="15"/>
        <v>0</v>
      </c>
      <c r="H87" s="39">
        <v>0.00032</v>
      </c>
      <c r="I87" s="39">
        <f>E87*H87</f>
        <v>0.0009632</v>
      </c>
      <c r="J87" s="39">
        <v>0</v>
      </c>
      <c r="K87" s="39">
        <f>E87*J87</f>
        <v>0</v>
      </c>
    </row>
    <row r="88" spans="1:11" s="40" customFormat="1" ht="12.75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0.00043</v>
      </c>
      <c r="I88" s="39">
        <f>E88*H88</f>
        <v>0.00086</v>
      </c>
      <c r="J88" s="39">
        <v>0</v>
      </c>
      <c r="K88" s="39">
        <f>E88*J88</f>
        <v>0</v>
      </c>
    </row>
    <row r="89" spans="1:11" s="40" customFormat="1" ht="12.75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ht="12.75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0.027693256000000003</v>
      </c>
      <c r="J90" s="46"/>
      <c r="K90" s="47">
        <f>SUM(K84:K89)</f>
        <v>0</v>
      </c>
    </row>
    <row r="91" spans="1:11" s="40" customFormat="1" ht="12.75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ht="12.75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aca="true" t="shared" si="16" ref="G92:G108">CEILING(E92*F92,1)</f>
        <v>0</v>
      </c>
      <c r="H92" s="39">
        <v>0.00038</v>
      </c>
      <c r="I92" s="39">
        <f aca="true" t="shared" si="17" ref="I92:I108">E92*H92</f>
        <v>0.00038</v>
      </c>
      <c r="J92" s="39">
        <v>0</v>
      </c>
      <c r="K92" s="39">
        <f aca="true" t="shared" si="18" ref="K92:K108">E92*J92</f>
        <v>0</v>
      </c>
    </row>
    <row r="93" spans="1:11" s="40" customFormat="1" ht="25.5">
      <c r="A93" s="33">
        <v>66</v>
      </c>
      <c r="B93" s="34" t="s">
        <v>258</v>
      </c>
      <c r="C93" s="35" t="s">
        <v>106</v>
      </c>
      <c r="D93" s="36" t="s">
        <v>24</v>
      </c>
      <c r="E93" s="37">
        <v>1</v>
      </c>
      <c r="F93" s="247"/>
      <c r="G93" s="38">
        <f t="shared" si="16"/>
        <v>0</v>
      </c>
      <c r="H93" s="39">
        <v>6E-05</v>
      </c>
      <c r="I93" s="39">
        <f t="shared" si="17"/>
        <v>6E-05</v>
      </c>
      <c r="J93" s="39">
        <v>0</v>
      </c>
      <c r="K93" s="39">
        <f t="shared" si="18"/>
        <v>0</v>
      </c>
    </row>
    <row r="94" spans="1:11" s="40" customFormat="1" ht="12.75">
      <c r="A94" s="33">
        <v>67</v>
      </c>
      <c r="B94" s="34" t="s">
        <v>260</v>
      </c>
      <c r="C94" s="35" t="s">
        <v>108</v>
      </c>
      <c r="D94" s="36" t="s">
        <v>24</v>
      </c>
      <c r="E94" s="37">
        <v>1</v>
      </c>
      <c r="F94" s="247"/>
      <c r="G94" s="38">
        <f t="shared" si="16"/>
        <v>0</v>
      </c>
      <c r="H94" s="39">
        <v>7E-05</v>
      </c>
      <c r="I94" s="39">
        <f t="shared" si="17"/>
        <v>7E-05</v>
      </c>
      <c r="J94" s="39">
        <v>0</v>
      </c>
      <c r="K94" s="39">
        <f t="shared" si="18"/>
        <v>0</v>
      </c>
    </row>
    <row r="95" spans="1:11" s="40" customFormat="1" ht="12.75">
      <c r="A95" s="33">
        <v>68</v>
      </c>
      <c r="B95" s="34" t="s">
        <v>430</v>
      </c>
      <c r="C95" s="35" t="s">
        <v>431</v>
      </c>
      <c r="D95" s="36" t="s">
        <v>24</v>
      </c>
      <c r="E95" s="37">
        <v>1</v>
      </c>
      <c r="F95" s="247"/>
      <c r="G95" s="38">
        <f t="shared" si="16"/>
        <v>0</v>
      </c>
      <c r="H95" s="39">
        <v>3E-05</v>
      </c>
      <c r="I95" s="39">
        <f t="shared" si="17"/>
        <v>3E-05</v>
      </c>
      <c r="J95" s="39">
        <v>0</v>
      </c>
      <c r="K95" s="39">
        <f t="shared" si="18"/>
        <v>0</v>
      </c>
    </row>
    <row r="96" spans="1:11" s="40" customFormat="1" ht="12.75">
      <c r="A96" s="33">
        <v>69</v>
      </c>
      <c r="B96" s="34" t="s">
        <v>259</v>
      </c>
      <c r="C96" s="35" t="s">
        <v>107</v>
      </c>
      <c r="D96" s="36" t="s">
        <v>21</v>
      </c>
      <c r="E96" s="37">
        <v>2</v>
      </c>
      <c r="F96" s="247"/>
      <c r="G96" s="38">
        <f t="shared" si="16"/>
        <v>0</v>
      </c>
      <c r="H96" s="39">
        <v>0.00047</v>
      </c>
      <c r="I96" s="39">
        <f t="shared" si="17"/>
        <v>0.00094</v>
      </c>
      <c r="J96" s="39">
        <v>0</v>
      </c>
      <c r="K96" s="39">
        <f t="shared" si="18"/>
        <v>0</v>
      </c>
    </row>
    <row r="97" spans="1:11" s="40" customFormat="1" ht="12.75">
      <c r="A97" s="33">
        <v>70</v>
      </c>
      <c r="B97" s="34" t="s">
        <v>261</v>
      </c>
      <c r="C97" s="35" t="s">
        <v>109</v>
      </c>
      <c r="D97" s="36" t="s">
        <v>24</v>
      </c>
      <c r="E97" s="37">
        <v>3</v>
      </c>
      <c r="F97" s="247"/>
      <c r="G97" s="38">
        <f t="shared" si="16"/>
        <v>0</v>
      </c>
      <c r="H97" s="39">
        <v>5E-05</v>
      </c>
      <c r="I97" s="39">
        <f t="shared" si="17"/>
        <v>0.00015000000000000001</v>
      </c>
      <c r="J97" s="39">
        <v>0</v>
      </c>
      <c r="K97" s="39">
        <f t="shared" si="18"/>
        <v>0</v>
      </c>
    </row>
    <row r="98" spans="1:11" s="40" customFormat="1" ht="25.5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6E-05</v>
      </c>
      <c r="I98" s="39">
        <f t="shared" si="17"/>
        <v>6E-05</v>
      </c>
      <c r="J98" s="39">
        <v>0</v>
      </c>
      <c r="K98" s="39">
        <f t="shared" si="18"/>
        <v>0</v>
      </c>
    </row>
    <row r="99" spans="1:11" s="40" customFormat="1" ht="12.75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0.00152</v>
      </c>
      <c r="I99" s="39">
        <f t="shared" si="17"/>
        <v>0.00228</v>
      </c>
      <c r="J99" s="39">
        <v>0</v>
      </c>
      <c r="K99" s="39">
        <f t="shared" si="18"/>
        <v>0</v>
      </c>
    </row>
    <row r="100" spans="1:11" s="40" customFormat="1" ht="12.75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0.00023</v>
      </c>
      <c r="I100" s="39">
        <f t="shared" si="17"/>
        <v>0.00046</v>
      </c>
      <c r="J100" s="39">
        <v>0</v>
      </c>
      <c r="K100" s="39">
        <f t="shared" si="18"/>
        <v>0</v>
      </c>
    </row>
    <row r="101" spans="1:11" s="40" customFormat="1" ht="12.75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0.00011</v>
      </c>
      <c r="I101" s="39">
        <f t="shared" si="17"/>
        <v>0.00011</v>
      </c>
      <c r="J101" s="39">
        <v>0</v>
      </c>
      <c r="K101" s="39">
        <f t="shared" si="18"/>
        <v>0</v>
      </c>
    </row>
    <row r="102" spans="1:11" s="40" customFormat="1" ht="12.75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0.0005</v>
      </c>
      <c r="I102" s="39">
        <f t="shared" si="17"/>
        <v>0.0005</v>
      </c>
      <c r="J102" s="39">
        <v>0</v>
      </c>
      <c r="K102" s="39">
        <f t="shared" si="18"/>
        <v>0</v>
      </c>
    </row>
    <row r="103" spans="1:11" s="40" customFormat="1" ht="12.75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ht="12.75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ht="12.75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ht="12.75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ht="12.75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ht="12.75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0.005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ht="12.75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44"/>
      <c r="G109" s="45">
        <f>SUM(G91:G108)</f>
        <v>0</v>
      </c>
      <c r="H109" s="46"/>
      <c r="I109" s="47">
        <f>SUM(I91:I108)</f>
        <v>0.005039999999999999</v>
      </c>
      <c r="J109" s="46"/>
      <c r="K109" s="47">
        <f>SUM(K91:K108)</f>
        <v>0</v>
      </c>
    </row>
    <row r="110" spans="1:11" s="40" customFormat="1" ht="12.75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ht="12.75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4.37</v>
      </c>
      <c r="F111" s="247"/>
      <c r="G111" s="38">
        <f aca="true" t="shared" si="19" ref="G111:G121">CEILING(E111*F111,1)</f>
        <v>0</v>
      </c>
      <c r="H111" s="39">
        <v>0.00398</v>
      </c>
      <c r="I111" s="39">
        <f aca="true" t="shared" si="20" ref="I111:I121">E111*H111</f>
        <v>0.0173926</v>
      </c>
      <c r="J111" s="39">
        <v>0</v>
      </c>
      <c r="K111" s="39">
        <f aca="true" t="shared" si="21" ref="K111:K121">E111*J111</f>
        <v>0</v>
      </c>
    </row>
    <row r="112" spans="1:11" s="40" customFormat="1" ht="12.75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3</v>
      </c>
      <c r="F112" s="247"/>
      <c r="G112" s="38">
        <f t="shared" si="19"/>
        <v>0</v>
      </c>
      <c r="H112" s="39">
        <v>0.00401</v>
      </c>
      <c r="I112" s="39">
        <f t="shared" si="20"/>
        <v>0.012029999999999999</v>
      </c>
      <c r="J112" s="39">
        <v>0</v>
      </c>
      <c r="K112" s="39">
        <f t="shared" si="21"/>
        <v>0</v>
      </c>
    </row>
    <row r="113" spans="1:11" s="40" customFormat="1" ht="12.75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ht="12.75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>
      <c r="A115" s="33">
        <v>86</v>
      </c>
      <c r="B115" s="34" t="s">
        <v>277</v>
      </c>
      <c r="C115" s="35" t="s">
        <v>127</v>
      </c>
      <c r="D115" s="36" t="s">
        <v>21</v>
      </c>
      <c r="E115" s="37">
        <v>7.37</v>
      </c>
      <c r="F115" s="247"/>
      <c r="G115" s="38">
        <f t="shared" si="19"/>
        <v>0</v>
      </c>
      <c r="H115" s="39">
        <v>4E-05</v>
      </c>
      <c r="I115" s="39">
        <f t="shared" si="20"/>
        <v>0.0002948</v>
      </c>
      <c r="J115" s="39">
        <v>0</v>
      </c>
      <c r="K115" s="39">
        <f t="shared" si="21"/>
        <v>0</v>
      </c>
    </row>
    <row r="116" spans="1:11" s="40" customFormat="1" ht="12.75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0.00704</v>
      </c>
      <c r="I116" s="39">
        <f t="shared" si="20"/>
        <v>0.01408</v>
      </c>
      <c r="J116" s="39">
        <v>0</v>
      </c>
      <c r="K116" s="39">
        <f t="shared" si="21"/>
        <v>0</v>
      </c>
    </row>
    <row r="117" spans="1:11" s="40" customFormat="1" ht="12.75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ht="12.75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7.37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ht="12.75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7.37</v>
      </c>
      <c r="F119" s="247"/>
      <c r="G119" s="38">
        <f t="shared" si="19"/>
        <v>0</v>
      </c>
      <c r="H119" s="39">
        <v>1E-05</v>
      </c>
      <c r="I119" s="39">
        <f t="shared" si="20"/>
        <v>7.37E-05</v>
      </c>
      <c r="J119" s="39">
        <v>0</v>
      </c>
      <c r="K119" s="39">
        <f t="shared" si="21"/>
        <v>0</v>
      </c>
    </row>
    <row r="120" spans="1:11" s="40" customFormat="1" ht="12.75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0.00074</v>
      </c>
      <c r="I120" s="39">
        <f t="shared" si="20"/>
        <v>0.00148</v>
      </c>
      <c r="J120" s="39">
        <v>0</v>
      </c>
      <c r="K120" s="39">
        <f t="shared" si="21"/>
        <v>0</v>
      </c>
    </row>
    <row r="121" spans="1:11" s="40" customFormat="1" ht="12.75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0.045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ht="12.75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0.045351100000000005</v>
      </c>
      <c r="J122" s="46"/>
      <c r="K122" s="47">
        <f>SUM(K110:K121)</f>
        <v>0</v>
      </c>
    </row>
    <row r="123" spans="1:11" s="40" customFormat="1" ht="12.75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ht="12.75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aca="true" t="shared" si="22" ref="G124:G146">CEILING(E124*F124,1)</f>
        <v>0</v>
      </c>
      <c r="H124" s="39">
        <v>0.00141</v>
      </c>
      <c r="I124" s="39">
        <f aca="true" t="shared" si="23" ref="I124:I146">E124*H124</f>
        <v>0.00141</v>
      </c>
      <c r="J124" s="39">
        <v>0</v>
      </c>
      <c r="K124" s="39">
        <f aca="true" t="shared" si="24" ref="K124:K146">E124*J124</f>
        <v>0</v>
      </c>
    </row>
    <row r="125" spans="1:11" s="40" customFormat="1" ht="12.75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0.0143</v>
      </c>
      <c r="I125" s="39">
        <f t="shared" si="23"/>
        <v>0.0143</v>
      </c>
      <c r="J125" s="39">
        <v>0</v>
      </c>
      <c r="K125" s="39">
        <f t="shared" si="24"/>
        <v>0</v>
      </c>
    </row>
    <row r="126" spans="1:11" s="40" customFormat="1" ht="12.75">
      <c r="A126" s="33">
        <v>95</v>
      </c>
      <c r="B126" s="34" t="s">
        <v>432</v>
      </c>
      <c r="C126" s="35" t="s">
        <v>433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0.00049</v>
      </c>
      <c r="I126" s="39">
        <f t="shared" si="23"/>
        <v>0.00049</v>
      </c>
      <c r="J126" s="39">
        <v>0</v>
      </c>
      <c r="K126" s="39">
        <f t="shared" si="24"/>
        <v>0</v>
      </c>
    </row>
    <row r="127" spans="1:11" s="40" customFormat="1" ht="12.75">
      <c r="A127" s="33">
        <v>96</v>
      </c>
      <c r="B127" s="34" t="s">
        <v>434</v>
      </c>
      <c r="C127" s="35" t="s">
        <v>435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0.018</v>
      </c>
      <c r="I127" s="39">
        <f t="shared" si="23"/>
        <v>0.018</v>
      </c>
      <c r="J127" s="39">
        <v>0</v>
      </c>
      <c r="K127" s="39">
        <f t="shared" si="24"/>
        <v>0</v>
      </c>
    </row>
    <row r="128" spans="1:11" s="40" customFormat="1" ht="12.75">
      <c r="A128" s="33">
        <v>97</v>
      </c>
      <c r="B128" s="34" t="s">
        <v>287</v>
      </c>
      <c r="C128" s="35" t="s">
        <v>476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0.00186</v>
      </c>
      <c r="I128" s="39">
        <f t="shared" si="23"/>
        <v>0.00186</v>
      </c>
      <c r="J128" s="39">
        <v>0</v>
      </c>
      <c r="K128" s="39">
        <f t="shared" si="24"/>
        <v>0</v>
      </c>
    </row>
    <row r="129" spans="1:11" s="40" customFormat="1" ht="25.5">
      <c r="A129" s="33">
        <v>98</v>
      </c>
      <c r="B129" s="34">
        <v>64232860</v>
      </c>
      <c r="C129" s="35" t="s">
        <v>529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0.027</v>
      </c>
      <c r="I129" s="39">
        <f t="shared" si="23"/>
        <v>0.027</v>
      </c>
      <c r="J129" s="39">
        <v>0</v>
      </c>
      <c r="K129" s="39">
        <f t="shared" si="24"/>
        <v>0</v>
      </c>
    </row>
    <row r="130" spans="1:11" s="40" customFormat="1" ht="12.75">
      <c r="A130" s="33">
        <v>99</v>
      </c>
      <c r="B130" s="34">
        <v>551674064</v>
      </c>
      <c r="C130" s="35" t="s">
        <v>139</v>
      </c>
      <c r="D130" s="36" t="s">
        <v>24</v>
      </c>
      <c r="E130" s="37">
        <v>1</v>
      </c>
      <c r="F130" s="247"/>
      <c r="G130" s="38">
        <f t="shared" si="22"/>
        <v>0</v>
      </c>
      <c r="H130" s="39">
        <v>0.0012</v>
      </c>
      <c r="I130" s="39">
        <f t="shared" si="23"/>
        <v>0.0012</v>
      </c>
      <c r="J130" s="39">
        <v>0</v>
      </c>
      <c r="K130" s="39">
        <f t="shared" si="24"/>
        <v>0</v>
      </c>
    </row>
    <row r="131" spans="1:11" s="40" customFormat="1" ht="12.75">
      <c r="A131" s="33">
        <v>100</v>
      </c>
      <c r="B131" s="34" t="s">
        <v>288</v>
      </c>
      <c r="C131" s="35" t="s">
        <v>140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4E-05</v>
      </c>
      <c r="I131" s="39">
        <f t="shared" si="23"/>
        <v>4E-05</v>
      </c>
      <c r="J131" s="39">
        <v>0</v>
      </c>
      <c r="K131" s="39">
        <f t="shared" si="24"/>
        <v>0</v>
      </c>
    </row>
    <row r="132" spans="1:11" s="40" customFormat="1" ht="12.75">
      <c r="A132" s="33">
        <v>101</v>
      </c>
      <c r="B132" s="34">
        <v>55144200</v>
      </c>
      <c r="C132" s="35" t="s">
        <v>141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0</v>
      </c>
      <c r="I132" s="39">
        <f t="shared" si="23"/>
        <v>0</v>
      </c>
      <c r="J132" s="39">
        <v>0</v>
      </c>
      <c r="K132" s="39">
        <f t="shared" si="24"/>
        <v>0</v>
      </c>
    </row>
    <row r="133" spans="1:11" s="40" customFormat="1" ht="12.75">
      <c r="A133" s="33">
        <v>102</v>
      </c>
      <c r="B133" s="34" t="s">
        <v>436</v>
      </c>
      <c r="C133" s="35" t="s">
        <v>437</v>
      </c>
      <c r="D133" s="36" t="s">
        <v>75</v>
      </c>
      <c r="E133" s="37">
        <v>1</v>
      </c>
      <c r="F133" s="247"/>
      <c r="G133" s="38">
        <f t="shared" si="22"/>
        <v>0</v>
      </c>
      <c r="H133" s="39">
        <v>0.00018</v>
      </c>
      <c r="I133" s="39">
        <f t="shared" si="23"/>
        <v>0.00018</v>
      </c>
      <c r="J133" s="39">
        <v>0</v>
      </c>
      <c r="K133" s="39">
        <f t="shared" si="24"/>
        <v>0</v>
      </c>
    </row>
    <row r="134" spans="1:11" s="40" customFormat="1" ht="12.75">
      <c r="A134" s="33">
        <v>103</v>
      </c>
      <c r="B134" s="34">
        <v>55145007</v>
      </c>
      <c r="C134" s="35" t="s">
        <v>438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0.0014</v>
      </c>
      <c r="I134" s="39">
        <f t="shared" si="23"/>
        <v>0.0014</v>
      </c>
      <c r="J134" s="39">
        <v>0</v>
      </c>
      <c r="K134" s="39">
        <f t="shared" si="24"/>
        <v>0</v>
      </c>
    </row>
    <row r="135" spans="1:11" s="40" customFormat="1" ht="12.75">
      <c r="A135" s="33">
        <v>104</v>
      </c>
      <c r="B135" s="34" t="s">
        <v>439</v>
      </c>
      <c r="C135" s="35" t="s">
        <v>440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0.00234</v>
      </c>
      <c r="I135" s="39">
        <f t="shared" si="23"/>
        <v>0.00234</v>
      </c>
      <c r="J135" s="39">
        <v>0</v>
      </c>
      <c r="K135" s="39">
        <f t="shared" si="24"/>
        <v>0</v>
      </c>
    </row>
    <row r="136" spans="1:11" s="40" customFormat="1" ht="12.75">
      <c r="A136" s="33">
        <v>105</v>
      </c>
      <c r="B136" s="34" t="s">
        <v>291</v>
      </c>
      <c r="C136" s="35" t="s">
        <v>479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0</v>
      </c>
      <c r="I136" s="39">
        <f t="shared" si="23"/>
        <v>0</v>
      </c>
      <c r="J136" s="39">
        <v>0</v>
      </c>
      <c r="K136" s="39">
        <f t="shared" si="24"/>
        <v>0</v>
      </c>
    </row>
    <row r="137" spans="1:11" s="40" customFormat="1" ht="12.75">
      <c r="A137" s="33">
        <v>106</v>
      </c>
      <c r="B137" s="34" t="s">
        <v>292</v>
      </c>
      <c r="C137" s="35" t="s">
        <v>144</v>
      </c>
      <c r="D137" s="36" t="s">
        <v>75</v>
      </c>
      <c r="E137" s="37">
        <v>3</v>
      </c>
      <c r="F137" s="247"/>
      <c r="G137" s="38">
        <f t="shared" si="22"/>
        <v>0</v>
      </c>
      <c r="H137" s="39">
        <v>0.00024</v>
      </c>
      <c r="I137" s="39">
        <f t="shared" si="23"/>
        <v>0.00072</v>
      </c>
      <c r="J137" s="39">
        <v>0</v>
      </c>
      <c r="K137" s="39">
        <f t="shared" si="24"/>
        <v>0</v>
      </c>
    </row>
    <row r="138" spans="1:11" s="40" customFormat="1" ht="12.75">
      <c r="A138" s="33">
        <v>107</v>
      </c>
      <c r="B138" s="34" t="s">
        <v>441</v>
      </c>
      <c r="C138" s="35" t="s">
        <v>442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0.0008</v>
      </c>
      <c r="I138" s="39">
        <f t="shared" si="23"/>
        <v>0.0008</v>
      </c>
      <c r="J138" s="39">
        <v>0</v>
      </c>
      <c r="K138" s="39">
        <f t="shared" si="24"/>
        <v>0</v>
      </c>
    </row>
    <row r="139" spans="1:11" s="40" customFormat="1" ht="12.75">
      <c r="A139" s="33">
        <v>108</v>
      </c>
      <c r="B139" s="34" t="s">
        <v>293</v>
      </c>
      <c r="C139" s="35" t="s">
        <v>145</v>
      </c>
      <c r="D139" s="36" t="s">
        <v>75</v>
      </c>
      <c r="E139" s="37">
        <v>1</v>
      </c>
      <c r="F139" s="247"/>
      <c r="G139" s="38">
        <f t="shared" si="22"/>
        <v>0</v>
      </c>
      <c r="H139" s="39">
        <v>0.00298</v>
      </c>
      <c r="I139" s="39">
        <f t="shared" si="23"/>
        <v>0.00298</v>
      </c>
      <c r="J139" s="39">
        <v>0</v>
      </c>
      <c r="K139" s="39">
        <f t="shared" si="24"/>
        <v>0</v>
      </c>
    </row>
    <row r="140" spans="1:11" s="40" customFormat="1" ht="12.75">
      <c r="A140" s="33">
        <v>109</v>
      </c>
      <c r="B140" s="34" t="s">
        <v>146</v>
      </c>
      <c r="C140" s="35" t="s">
        <v>480</v>
      </c>
      <c r="D140" s="36" t="s">
        <v>24</v>
      </c>
      <c r="E140" s="37">
        <v>1</v>
      </c>
      <c r="F140" s="247"/>
      <c r="G140" s="38">
        <f t="shared" si="22"/>
        <v>0</v>
      </c>
      <c r="H140" s="39">
        <v>0</v>
      </c>
      <c r="I140" s="39">
        <f t="shared" si="23"/>
        <v>0</v>
      </c>
      <c r="J140" s="39">
        <v>0</v>
      </c>
      <c r="K140" s="39">
        <f t="shared" si="24"/>
        <v>0</v>
      </c>
    </row>
    <row r="141" spans="1:11" s="40" customFormat="1" ht="12.75">
      <c r="A141" s="33">
        <v>110</v>
      </c>
      <c r="B141" s="34" t="s">
        <v>147</v>
      </c>
      <c r="C141" s="35" t="s">
        <v>481</v>
      </c>
      <c r="D141" s="36" t="s">
        <v>24</v>
      </c>
      <c r="E141" s="37">
        <v>1</v>
      </c>
      <c r="F141" s="247"/>
      <c r="G141" s="38">
        <f t="shared" si="22"/>
        <v>0</v>
      </c>
      <c r="H141" s="39">
        <v>0</v>
      </c>
      <c r="I141" s="39">
        <f t="shared" si="23"/>
        <v>0</v>
      </c>
      <c r="J141" s="39">
        <v>0</v>
      </c>
      <c r="K141" s="39">
        <f t="shared" si="24"/>
        <v>0</v>
      </c>
    </row>
    <row r="142" spans="1:11" s="40" customFormat="1" ht="12.75">
      <c r="A142" s="33">
        <v>111</v>
      </c>
      <c r="B142" s="34" t="s">
        <v>148</v>
      </c>
      <c r="C142" s="35" t="s">
        <v>482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ht="12.75">
      <c r="A143" s="33">
        <v>112</v>
      </c>
      <c r="B143" s="34" t="s">
        <v>149</v>
      </c>
      <c r="C143" s="35" t="s">
        <v>150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ht="12.75">
      <c r="A144" s="33">
        <v>113</v>
      </c>
      <c r="B144" s="34" t="s">
        <v>151</v>
      </c>
      <c r="C144" s="35" t="s">
        <v>483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ht="12.75">
      <c r="A145" s="33">
        <v>114</v>
      </c>
      <c r="B145" s="34" t="s">
        <v>152</v>
      </c>
      <c r="C145" s="35" t="s">
        <v>153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ht="25.5">
      <c r="A146" s="33">
        <v>115</v>
      </c>
      <c r="B146" s="34" t="s">
        <v>294</v>
      </c>
      <c r="C146" s="35" t="s">
        <v>154</v>
      </c>
      <c r="D146" s="36" t="s">
        <v>87</v>
      </c>
      <c r="E146" s="37">
        <v>0.07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ht="12.75">
      <c r="A147" s="41"/>
      <c r="B147" s="42" t="s">
        <v>15</v>
      </c>
      <c r="C147" s="43" t="str">
        <f>CONCATENATE(B123," ",C123)</f>
        <v>725 Zařizovací předměty</v>
      </c>
      <c r="D147" s="41"/>
      <c r="E147" s="44"/>
      <c r="F147" s="248"/>
      <c r="G147" s="45">
        <f>SUM(G123:G146)</f>
        <v>0</v>
      </c>
      <c r="H147" s="46"/>
      <c r="I147" s="47">
        <f>SUM(I123:I146)</f>
        <v>0.07271999999999999</v>
      </c>
      <c r="J147" s="46"/>
      <c r="K147" s="47">
        <f>SUM(K123:K146)</f>
        <v>0</v>
      </c>
    </row>
    <row r="148" spans="1:11" s="40" customFormat="1" ht="12.75">
      <c r="A148" s="48" t="s">
        <v>13</v>
      </c>
      <c r="B148" s="49" t="s">
        <v>155</v>
      </c>
      <c r="C148" s="50" t="s">
        <v>156</v>
      </c>
      <c r="D148" s="33"/>
      <c r="E148" s="51"/>
      <c r="F148" s="249"/>
      <c r="G148" s="52"/>
      <c r="H148" s="53"/>
      <c r="I148" s="53"/>
      <c r="J148" s="53"/>
      <c r="K148" s="53"/>
    </row>
    <row r="149" spans="1:11" s="40" customFormat="1" ht="12.75">
      <c r="A149" s="33">
        <v>116</v>
      </c>
      <c r="B149" s="34" t="s">
        <v>295</v>
      </c>
      <c r="C149" s="35" t="s">
        <v>157</v>
      </c>
      <c r="D149" s="36" t="s">
        <v>24</v>
      </c>
      <c r="E149" s="37">
        <v>1</v>
      </c>
      <c r="F149" s="247"/>
      <c r="G149" s="38">
        <f aca="true" t="shared" si="25" ref="G149:G155">CEILING(E149*F149,1)</f>
        <v>0</v>
      </c>
      <c r="H149" s="39">
        <v>0</v>
      </c>
      <c r="I149" s="39">
        <f aca="true" t="shared" si="26" ref="I149:I155">E149*H149</f>
        <v>0</v>
      </c>
      <c r="J149" s="39">
        <v>0</v>
      </c>
      <c r="K149" s="39">
        <f aca="true" t="shared" si="27" ref="K149:K155">E149*J149</f>
        <v>0</v>
      </c>
    </row>
    <row r="150" spans="1:11" s="40" customFormat="1" ht="25.5">
      <c r="A150" s="33">
        <v>117</v>
      </c>
      <c r="B150" s="34" t="s">
        <v>296</v>
      </c>
      <c r="C150" s="35" t="s">
        <v>419</v>
      </c>
      <c r="D150" s="36" t="s">
        <v>24</v>
      </c>
      <c r="E150" s="37">
        <v>1</v>
      </c>
      <c r="F150" s="247"/>
      <c r="G150" s="38">
        <f t="shared" si="25"/>
        <v>0</v>
      </c>
      <c r="H150" s="39">
        <v>0.02</v>
      </c>
      <c r="I150" s="39">
        <f t="shared" si="26"/>
        <v>0.02</v>
      </c>
      <c r="J150" s="39">
        <v>0</v>
      </c>
      <c r="K150" s="39">
        <f t="shared" si="27"/>
        <v>0</v>
      </c>
    </row>
    <row r="151" spans="1:11" s="40" customFormat="1" ht="12.75">
      <c r="A151" s="33">
        <v>118</v>
      </c>
      <c r="B151" s="34" t="s">
        <v>297</v>
      </c>
      <c r="C151" s="35" t="s">
        <v>158</v>
      </c>
      <c r="D151" s="36" t="s">
        <v>24</v>
      </c>
      <c r="E151" s="37">
        <v>1</v>
      </c>
      <c r="F151" s="247"/>
      <c r="G151" s="38">
        <f t="shared" si="25"/>
        <v>0</v>
      </c>
      <c r="H151" s="39">
        <v>0</v>
      </c>
      <c r="I151" s="39">
        <f t="shared" si="26"/>
        <v>0</v>
      </c>
      <c r="J151" s="39">
        <v>0</v>
      </c>
      <c r="K151" s="39">
        <f t="shared" si="27"/>
        <v>0</v>
      </c>
    </row>
    <row r="152" spans="1:11" s="40" customFormat="1" ht="38.25">
      <c r="A152" s="33">
        <v>119</v>
      </c>
      <c r="B152" s="34" t="s">
        <v>298</v>
      </c>
      <c r="C152" s="35" t="s">
        <v>418</v>
      </c>
      <c r="D152" s="36" t="s">
        <v>24</v>
      </c>
      <c r="E152" s="37">
        <v>1</v>
      </c>
      <c r="F152" s="247"/>
      <c r="G152" s="38">
        <f t="shared" si="25"/>
        <v>0</v>
      </c>
      <c r="H152" s="39">
        <v>0.03</v>
      </c>
      <c r="I152" s="39">
        <f t="shared" si="26"/>
        <v>0.03</v>
      </c>
      <c r="J152" s="39">
        <v>0</v>
      </c>
      <c r="K152" s="39">
        <f t="shared" si="27"/>
        <v>0</v>
      </c>
    </row>
    <row r="153" spans="1:11" s="40" customFormat="1" ht="12.75">
      <c r="A153" s="33">
        <v>120</v>
      </c>
      <c r="B153" s="34" t="s">
        <v>299</v>
      </c>
      <c r="C153" s="35" t="s">
        <v>159</v>
      </c>
      <c r="D153" s="36" t="s">
        <v>24</v>
      </c>
      <c r="E153" s="37">
        <v>2</v>
      </c>
      <c r="F153" s="247"/>
      <c r="G153" s="38">
        <f t="shared" si="25"/>
        <v>0</v>
      </c>
      <c r="H153" s="39">
        <v>0</v>
      </c>
      <c r="I153" s="39">
        <f t="shared" si="26"/>
        <v>0</v>
      </c>
      <c r="J153" s="39">
        <v>0</v>
      </c>
      <c r="K153" s="39">
        <f t="shared" si="27"/>
        <v>0</v>
      </c>
    </row>
    <row r="154" spans="1:11" s="40" customFormat="1" ht="25.5">
      <c r="A154" s="33">
        <v>121</v>
      </c>
      <c r="B154" s="34" t="s">
        <v>300</v>
      </c>
      <c r="C154" s="35" t="s">
        <v>329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0.001</v>
      </c>
      <c r="I154" s="39">
        <f t="shared" si="26"/>
        <v>0.001</v>
      </c>
      <c r="J154" s="39">
        <v>0</v>
      </c>
      <c r="K154" s="39">
        <f t="shared" si="27"/>
        <v>0</v>
      </c>
    </row>
    <row r="155" spans="1:11" s="40" customFormat="1" ht="76.5">
      <c r="A155" s="33">
        <v>122</v>
      </c>
      <c r="B155" s="34" t="s">
        <v>301</v>
      </c>
      <c r="C155" s="35" t="s">
        <v>538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0.002</v>
      </c>
      <c r="I155" s="39">
        <f t="shared" si="26"/>
        <v>0.002</v>
      </c>
      <c r="J155" s="39">
        <v>0</v>
      </c>
      <c r="K155" s="39">
        <f t="shared" si="27"/>
        <v>0</v>
      </c>
    </row>
    <row r="156" spans="1:11" s="40" customFormat="1" ht="12.75">
      <c r="A156" s="41"/>
      <c r="B156" s="42" t="s">
        <v>15</v>
      </c>
      <c r="C156" s="43" t="str">
        <f>CONCATENATE(B148," ",C148)</f>
        <v>766 Konstrukce truhlářské</v>
      </c>
      <c r="D156" s="41"/>
      <c r="E156" s="44"/>
      <c r="F156" s="248"/>
      <c r="G156" s="45">
        <f>SUM(G148:G155)</f>
        <v>0</v>
      </c>
      <c r="H156" s="46"/>
      <c r="I156" s="47">
        <f>SUM(I148:I155)</f>
        <v>0.053000000000000005</v>
      </c>
      <c r="J156" s="46"/>
      <c r="K156" s="47">
        <f>SUM(K148:K155)</f>
        <v>0</v>
      </c>
    </row>
    <row r="157" spans="1:11" s="40" customFormat="1" ht="12.75">
      <c r="A157" s="48" t="s">
        <v>13</v>
      </c>
      <c r="B157" s="49" t="s">
        <v>161</v>
      </c>
      <c r="C157" s="50" t="s">
        <v>162</v>
      </c>
      <c r="D157" s="33"/>
      <c r="E157" s="51"/>
      <c r="F157" s="249"/>
      <c r="G157" s="52"/>
      <c r="H157" s="53"/>
      <c r="I157" s="53"/>
      <c r="J157" s="53"/>
      <c r="K157" s="53"/>
    </row>
    <row r="158" spans="1:11" s="40" customFormat="1" ht="12.75">
      <c r="A158" s="33">
        <v>140</v>
      </c>
      <c r="B158" s="34" t="s">
        <v>303</v>
      </c>
      <c r="C158" s="35" t="s">
        <v>163</v>
      </c>
      <c r="D158" s="36" t="s">
        <v>24</v>
      </c>
      <c r="E158" s="37">
        <v>1</v>
      </c>
      <c r="F158" s="247"/>
      <c r="G158" s="38">
        <f aca="true" t="shared" si="28" ref="G158:G160">CEILING(E158*F158,1)</f>
        <v>0</v>
      </c>
      <c r="H158" s="39">
        <v>0</v>
      </c>
      <c r="I158" s="39">
        <f>E158*H158</f>
        <v>0</v>
      </c>
      <c r="J158" s="39">
        <v>0</v>
      </c>
      <c r="K158" s="39">
        <f>E158*J158</f>
        <v>0</v>
      </c>
    </row>
    <row r="159" spans="1:11" s="40" customFormat="1" ht="12.75">
      <c r="A159" s="33">
        <v>141</v>
      </c>
      <c r="B159" s="34">
        <v>42972741</v>
      </c>
      <c r="C159" s="35" t="s">
        <v>164</v>
      </c>
      <c r="D159" s="36" t="s">
        <v>24</v>
      </c>
      <c r="E159" s="37">
        <v>1</v>
      </c>
      <c r="F159" s="247"/>
      <c r="G159" s="38">
        <f t="shared" si="28"/>
        <v>0</v>
      </c>
      <c r="H159" s="39">
        <v>0.0004</v>
      </c>
      <c r="I159" s="39">
        <f>E159*H159</f>
        <v>0.0004</v>
      </c>
      <c r="J159" s="39">
        <v>0</v>
      </c>
      <c r="K159" s="39">
        <f>E159*J159</f>
        <v>0</v>
      </c>
    </row>
    <row r="160" spans="1:11" s="40" customFormat="1" ht="12.75">
      <c r="A160" s="33">
        <v>142</v>
      </c>
      <c r="B160" s="34" t="s">
        <v>304</v>
      </c>
      <c r="C160" s="35" t="s">
        <v>165</v>
      </c>
      <c r="D160" s="36" t="s">
        <v>87</v>
      </c>
      <c r="E160" s="37">
        <v>0.004</v>
      </c>
      <c r="F160" s="247"/>
      <c r="G160" s="38">
        <f t="shared" si="28"/>
        <v>0</v>
      </c>
      <c r="H160" s="39">
        <v>0</v>
      </c>
      <c r="I160" s="39">
        <f>E160*H160</f>
        <v>0</v>
      </c>
      <c r="J160" s="39">
        <v>0</v>
      </c>
      <c r="K160" s="39">
        <f>E160*J160</f>
        <v>0</v>
      </c>
    </row>
    <row r="161" spans="1:11" s="40" customFormat="1" ht="12.75">
      <c r="A161" s="41"/>
      <c r="B161" s="42" t="s">
        <v>15</v>
      </c>
      <c r="C161" s="43" t="str">
        <f>CONCATENATE(B157," ",C157)</f>
        <v>767 Konstrukce zámečnické</v>
      </c>
      <c r="D161" s="41"/>
      <c r="E161" s="44"/>
      <c r="F161" s="248"/>
      <c r="G161" s="45">
        <f>SUM(G157:G160)</f>
        <v>0</v>
      </c>
      <c r="H161" s="46"/>
      <c r="I161" s="47">
        <f>SUM(I157:I160)</f>
        <v>0.0004</v>
      </c>
      <c r="J161" s="46"/>
      <c r="K161" s="47">
        <f>SUM(K157:K160)</f>
        <v>0</v>
      </c>
    </row>
    <row r="162" spans="1:11" s="40" customFormat="1" ht="12.75">
      <c r="A162" s="48" t="s">
        <v>13</v>
      </c>
      <c r="B162" s="49" t="s">
        <v>166</v>
      </c>
      <c r="C162" s="50" t="s">
        <v>167</v>
      </c>
      <c r="D162" s="33"/>
      <c r="E162" s="51"/>
      <c r="F162" s="249"/>
      <c r="G162" s="52"/>
      <c r="H162" s="53"/>
      <c r="I162" s="53"/>
      <c r="J162" s="53"/>
      <c r="K162" s="53"/>
    </row>
    <row r="163" spans="1:11" s="40" customFormat="1" ht="25.5">
      <c r="A163" s="33">
        <v>143</v>
      </c>
      <c r="B163" s="34" t="s">
        <v>305</v>
      </c>
      <c r="C163" s="35" t="s">
        <v>168</v>
      </c>
      <c r="D163" s="36" t="s">
        <v>19</v>
      </c>
      <c r="E163" s="37">
        <v>2.71</v>
      </c>
      <c r="F163" s="247"/>
      <c r="G163" s="38">
        <f aca="true" t="shared" si="29" ref="G163:G168">CEILING(E163*F163,1)</f>
        <v>0</v>
      </c>
      <c r="H163" s="39">
        <v>0.00514</v>
      </c>
      <c r="I163" s="39">
        <f aca="true" t="shared" si="30" ref="I163:I168">E163*H163</f>
        <v>0.013929399999999998</v>
      </c>
      <c r="J163" s="39">
        <v>0</v>
      </c>
      <c r="K163" s="39">
        <f aca="true" t="shared" si="31" ref="K163:K168">E163*J163</f>
        <v>0</v>
      </c>
    </row>
    <row r="164" spans="1:11" s="40" customFormat="1" ht="25.5">
      <c r="A164" s="33">
        <v>144</v>
      </c>
      <c r="B164" s="34" t="s">
        <v>306</v>
      </c>
      <c r="C164" s="35" t="s">
        <v>543</v>
      </c>
      <c r="D164" s="36" t="s">
        <v>19</v>
      </c>
      <c r="E164" s="37">
        <v>2.71</v>
      </c>
      <c r="F164" s="247"/>
      <c r="G164" s="38">
        <f t="shared" si="29"/>
        <v>0</v>
      </c>
      <c r="H164" s="39">
        <v>0.00449</v>
      </c>
      <c r="I164" s="39">
        <f t="shared" si="30"/>
        <v>0.0121679</v>
      </c>
      <c r="J164" s="39">
        <v>0</v>
      </c>
      <c r="K164" s="39">
        <f t="shared" si="31"/>
        <v>0</v>
      </c>
    </row>
    <row r="165" spans="1:11" s="40" customFormat="1" ht="25.5">
      <c r="A165" s="33">
        <v>145</v>
      </c>
      <c r="B165" s="34">
        <v>597623142</v>
      </c>
      <c r="C165" s="35" t="s">
        <v>544</v>
      </c>
      <c r="D165" s="36" t="s">
        <v>19</v>
      </c>
      <c r="E165" s="37">
        <v>3.645</v>
      </c>
      <c r="F165" s="247"/>
      <c r="G165" s="38">
        <f t="shared" si="29"/>
        <v>0</v>
      </c>
      <c r="H165" s="39">
        <v>0.018</v>
      </c>
      <c r="I165" s="39">
        <f t="shared" si="30"/>
        <v>0.06561</v>
      </c>
      <c r="J165" s="39">
        <v>0</v>
      </c>
      <c r="K165" s="39">
        <f t="shared" si="31"/>
        <v>0</v>
      </c>
    </row>
    <row r="166" spans="1:11" s="40" customFormat="1" ht="12.75">
      <c r="A166" s="33">
        <v>146</v>
      </c>
      <c r="B166" s="34" t="s">
        <v>307</v>
      </c>
      <c r="C166" s="35" t="s">
        <v>169</v>
      </c>
      <c r="D166" s="36" t="s">
        <v>19</v>
      </c>
      <c r="E166" s="37">
        <v>2.71</v>
      </c>
      <c r="F166" s="247"/>
      <c r="G166" s="38">
        <f t="shared" si="29"/>
        <v>0</v>
      </c>
      <c r="H166" s="39">
        <v>0</v>
      </c>
      <c r="I166" s="39">
        <f t="shared" si="30"/>
        <v>0</v>
      </c>
      <c r="J166" s="39">
        <v>0</v>
      </c>
      <c r="K166" s="39">
        <f t="shared" si="31"/>
        <v>0</v>
      </c>
    </row>
    <row r="167" spans="1:11" s="40" customFormat="1" ht="12.75">
      <c r="A167" s="33">
        <v>147</v>
      </c>
      <c r="B167" s="34" t="s">
        <v>308</v>
      </c>
      <c r="C167" s="35" t="s">
        <v>170</v>
      </c>
      <c r="D167" s="36" t="s">
        <v>21</v>
      </c>
      <c r="E167" s="37">
        <v>6.34</v>
      </c>
      <c r="F167" s="247"/>
      <c r="G167" s="38">
        <f t="shared" si="29"/>
        <v>0</v>
      </c>
      <c r="H167" s="39">
        <v>4E-05</v>
      </c>
      <c r="I167" s="39">
        <f t="shared" si="30"/>
        <v>0.00025360000000000004</v>
      </c>
      <c r="J167" s="39">
        <v>0</v>
      </c>
      <c r="K167" s="39">
        <f t="shared" si="31"/>
        <v>0</v>
      </c>
    </row>
    <row r="168" spans="1:11" s="40" customFormat="1" ht="12.75">
      <c r="A168" s="33">
        <v>148</v>
      </c>
      <c r="B168" s="34" t="s">
        <v>309</v>
      </c>
      <c r="C168" s="35" t="s">
        <v>171</v>
      </c>
      <c r="D168" s="36" t="s">
        <v>87</v>
      </c>
      <c r="E168" s="37">
        <v>0.09</v>
      </c>
      <c r="F168" s="247"/>
      <c r="G168" s="38">
        <f t="shared" si="29"/>
        <v>0</v>
      </c>
      <c r="H168" s="39">
        <v>0</v>
      </c>
      <c r="I168" s="39">
        <f t="shared" si="30"/>
        <v>0</v>
      </c>
      <c r="J168" s="39">
        <v>0</v>
      </c>
      <c r="K168" s="39">
        <f t="shared" si="31"/>
        <v>0</v>
      </c>
    </row>
    <row r="169" spans="1:11" s="40" customFormat="1" ht="12.75">
      <c r="A169" s="41"/>
      <c r="B169" s="42" t="s">
        <v>15</v>
      </c>
      <c r="C169" s="43" t="str">
        <f>CONCATENATE(B162," ",C162)</f>
        <v>771 Podlahy z dlaždic a obklady</v>
      </c>
      <c r="D169" s="41"/>
      <c r="E169" s="44"/>
      <c r="F169" s="248"/>
      <c r="G169" s="45">
        <f>SUM(G162:G168)</f>
        <v>0</v>
      </c>
      <c r="H169" s="46"/>
      <c r="I169" s="47">
        <f>SUM(I162:I168)</f>
        <v>0.0919609</v>
      </c>
      <c r="J169" s="46"/>
      <c r="K169" s="47">
        <f>SUM(K162:K168)</f>
        <v>0</v>
      </c>
    </row>
    <row r="170" spans="1:11" s="40" customFormat="1" ht="12.75">
      <c r="A170" s="48" t="s">
        <v>13</v>
      </c>
      <c r="B170" s="49" t="s">
        <v>172</v>
      </c>
      <c r="C170" s="50" t="s">
        <v>173</v>
      </c>
      <c r="D170" s="33"/>
      <c r="E170" s="51"/>
      <c r="F170" s="249"/>
      <c r="G170" s="52"/>
      <c r="H170" s="53"/>
      <c r="I170" s="53"/>
      <c r="J170" s="53"/>
      <c r="K170" s="53"/>
    </row>
    <row r="171" spans="1:11" s="40" customFormat="1" ht="12.75">
      <c r="A171" s="33">
        <v>149</v>
      </c>
      <c r="B171" s="34" t="s">
        <v>310</v>
      </c>
      <c r="C171" s="35" t="s">
        <v>174</v>
      </c>
      <c r="D171" s="36" t="s">
        <v>19</v>
      </c>
      <c r="E171" s="37">
        <v>18.72</v>
      </c>
      <c r="F171" s="247"/>
      <c r="G171" s="38">
        <f aca="true" t="shared" si="32" ref="G171:G176">CEILING(E171*F171,1)</f>
        <v>0</v>
      </c>
      <c r="H171" s="39">
        <v>0</v>
      </c>
      <c r="I171" s="39">
        <f aca="true" t="shared" si="33" ref="I171:I176">E171*H171</f>
        <v>0</v>
      </c>
      <c r="J171" s="39">
        <v>0</v>
      </c>
      <c r="K171" s="39">
        <f aca="true" t="shared" si="34" ref="K171:K176">E171*J171</f>
        <v>0</v>
      </c>
    </row>
    <row r="172" spans="1:11" s="40" customFormat="1" ht="38.25">
      <c r="A172" s="33">
        <v>150</v>
      </c>
      <c r="B172" s="34" t="s">
        <v>311</v>
      </c>
      <c r="C172" s="35" t="s">
        <v>558</v>
      </c>
      <c r="D172" s="36" t="s">
        <v>21</v>
      </c>
      <c r="E172" s="37">
        <v>10.41</v>
      </c>
      <c r="F172" s="247"/>
      <c r="G172" s="38">
        <f t="shared" si="32"/>
        <v>0</v>
      </c>
      <c r="H172" s="39">
        <v>0.00059</v>
      </c>
      <c r="I172" s="39">
        <f t="shared" si="33"/>
        <v>0.0061419000000000005</v>
      </c>
      <c r="J172" s="39">
        <v>0</v>
      </c>
      <c r="K172" s="39">
        <f t="shared" si="34"/>
        <v>0</v>
      </c>
    </row>
    <row r="173" spans="1:11" s="40" customFormat="1" ht="25.5">
      <c r="A173" s="33">
        <v>151</v>
      </c>
      <c r="B173" s="34" t="s">
        <v>312</v>
      </c>
      <c r="C173" s="35" t="s">
        <v>521</v>
      </c>
      <c r="D173" s="36" t="s">
        <v>19</v>
      </c>
      <c r="E173" s="37">
        <v>18.72</v>
      </c>
      <c r="F173" s="247"/>
      <c r="G173" s="38">
        <f t="shared" si="32"/>
        <v>0</v>
      </c>
      <c r="H173" s="39">
        <v>0.00036</v>
      </c>
      <c r="I173" s="39">
        <f t="shared" si="33"/>
        <v>0.0067392</v>
      </c>
      <c r="J173" s="39">
        <v>0</v>
      </c>
      <c r="K173" s="39">
        <f t="shared" si="34"/>
        <v>0</v>
      </c>
    </row>
    <row r="174" spans="1:11" s="40" customFormat="1" ht="165.75">
      <c r="A174" s="33">
        <v>152</v>
      </c>
      <c r="B174" s="34" t="s">
        <v>313</v>
      </c>
      <c r="C174" s="35" t="s">
        <v>557</v>
      </c>
      <c r="D174" s="36" t="s">
        <v>19</v>
      </c>
      <c r="E174" s="37">
        <v>21.692</v>
      </c>
      <c r="F174" s="247"/>
      <c r="G174" s="38">
        <f t="shared" si="32"/>
        <v>0</v>
      </c>
      <c r="H174" s="39">
        <v>0.00295</v>
      </c>
      <c r="I174" s="39">
        <f t="shared" si="33"/>
        <v>0.0639914</v>
      </c>
      <c r="J174" s="39">
        <v>0</v>
      </c>
      <c r="K174" s="39">
        <f t="shared" si="34"/>
        <v>0</v>
      </c>
    </row>
    <row r="175" spans="1:11" s="40" customFormat="1" ht="12.75">
      <c r="A175" s="33">
        <v>153</v>
      </c>
      <c r="B175" s="34" t="s">
        <v>314</v>
      </c>
      <c r="C175" s="35" t="s">
        <v>175</v>
      </c>
      <c r="D175" s="36" t="s">
        <v>21</v>
      </c>
      <c r="E175" s="37">
        <v>0.7</v>
      </c>
      <c r="F175" s="247"/>
      <c r="G175" s="38">
        <f t="shared" si="32"/>
        <v>0</v>
      </c>
      <c r="H175" s="39">
        <v>0.00026</v>
      </c>
      <c r="I175" s="39">
        <f t="shared" si="33"/>
        <v>0.00018199999999999998</v>
      </c>
      <c r="J175" s="39">
        <v>0</v>
      </c>
      <c r="K175" s="39">
        <f t="shared" si="34"/>
        <v>0</v>
      </c>
    </row>
    <row r="176" spans="1:11" s="40" customFormat="1" ht="12.75">
      <c r="A176" s="33">
        <v>154</v>
      </c>
      <c r="B176" s="34" t="s">
        <v>315</v>
      </c>
      <c r="C176" s="35" t="s">
        <v>176</v>
      </c>
      <c r="D176" s="36" t="s">
        <v>87</v>
      </c>
      <c r="E176" s="37">
        <v>0.077</v>
      </c>
      <c r="F176" s="247"/>
      <c r="G176" s="38">
        <f t="shared" si="32"/>
        <v>0</v>
      </c>
      <c r="H176" s="39">
        <v>0</v>
      </c>
      <c r="I176" s="39">
        <f t="shared" si="33"/>
        <v>0</v>
      </c>
      <c r="J176" s="39">
        <v>0</v>
      </c>
      <c r="K176" s="39">
        <f t="shared" si="34"/>
        <v>0</v>
      </c>
    </row>
    <row r="177" spans="1:11" s="40" customFormat="1" ht="12.75">
      <c r="A177" s="41"/>
      <c r="B177" s="42" t="s">
        <v>15</v>
      </c>
      <c r="C177" s="43" t="str">
        <f>CONCATENATE(B170," ",C170)</f>
        <v>776 Podlahy povlakové</v>
      </c>
      <c r="D177" s="41"/>
      <c r="E177" s="44"/>
      <c r="F177" s="248"/>
      <c r="G177" s="45">
        <f>SUM(G170:G176)</f>
        <v>0</v>
      </c>
      <c r="H177" s="46"/>
      <c r="I177" s="47">
        <f>SUM(I170:I176)</f>
        <v>0.07705450000000001</v>
      </c>
      <c r="J177" s="46"/>
      <c r="K177" s="47">
        <f>SUM(K170:K176)</f>
        <v>0</v>
      </c>
    </row>
    <row r="178" spans="1:11" s="40" customFormat="1" ht="12.75">
      <c r="A178" s="48" t="s">
        <v>13</v>
      </c>
      <c r="B178" s="49" t="s">
        <v>177</v>
      </c>
      <c r="C178" s="50" t="s">
        <v>178</v>
      </c>
      <c r="D178" s="33"/>
      <c r="E178" s="51"/>
      <c r="F178" s="249"/>
      <c r="G178" s="52"/>
      <c r="H178" s="53"/>
      <c r="I178" s="53"/>
      <c r="J178" s="53"/>
      <c r="K178" s="53"/>
    </row>
    <row r="179" spans="1:11" s="40" customFormat="1" ht="12.75">
      <c r="A179" s="33">
        <v>155</v>
      </c>
      <c r="B179" s="34" t="s">
        <v>316</v>
      </c>
      <c r="C179" s="35" t="s">
        <v>519</v>
      </c>
      <c r="D179" s="36" t="s">
        <v>19</v>
      </c>
      <c r="E179" s="37">
        <v>18.72</v>
      </c>
      <c r="F179" s="247"/>
      <c r="G179" s="38">
        <f aca="true" t="shared" si="35" ref="G179:G180">CEILING(E179*F179,1)</f>
        <v>0</v>
      </c>
      <c r="H179" s="39">
        <v>0.0022</v>
      </c>
      <c r="I179" s="39">
        <f>E179*H179</f>
        <v>0.041184</v>
      </c>
      <c r="J179" s="39">
        <v>0</v>
      </c>
      <c r="K179" s="39">
        <f>E179*J179</f>
        <v>0</v>
      </c>
    </row>
    <row r="180" spans="1:11" s="40" customFormat="1" ht="12.75">
      <c r="A180" s="33">
        <v>156</v>
      </c>
      <c r="B180" s="34" t="s">
        <v>317</v>
      </c>
      <c r="C180" s="35" t="s">
        <v>179</v>
      </c>
      <c r="D180" s="36" t="s">
        <v>87</v>
      </c>
      <c r="E180" s="37">
        <v>0.042</v>
      </c>
      <c r="F180" s="247"/>
      <c r="G180" s="38">
        <f t="shared" si="35"/>
        <v>0</v>
      </c>
      <c r="H180" s="39">
        <v>0</v>
      </c>
      <c r="I180" s="39">
        <f>E180*H180</f>
        <v>0</v>
      </c>
      <c r="J180" s="39">
        <v>0</v>
      </c>
      <c r="K180" s="39">
        <f>E180*J180</f>
        <v>0</v>
      </c>
    </row>
    <row r="181" spans="1:11" s="40" customFormat="1" ht="12.75">
      <c r="A181" s="41"/>
      <c r="B181" s="42" t="s">
        <v>15</v>
      </c>
      <c r="C181" s="43" t="str">
        <f>CONCATENATE(B178," ",C178)</f>
        <v>777 Podlahy ze syntetických hmot</v>
      </c>
      <c r="D181" s="41"/>
      <c r="E181" s="44"/>
      <c r="F181" s="248"/>
      <c r="G181" s="45">
        <f>SUM(G178:G180)</f>
        <v>0</v>
      </c>
      <c r="H181" s="46"/>
      <c r="I181" s="47">
        <f>SUM(I178:I180)</f>
        <v>0.041184</v>
      </c>
      <c r="J181" s="46"/>
      <c r="K181" s="47">
        <f>SUM(K178:K180)</f>
        <v>0</v>
      </c>
    </row>
    <row r="182" spans="1:11" s="40" customFormat="1" ht="12.75">
      <c r="A182" s="48" t="s">
        <v>13</v>
      </c>
      <c r="B182" s="49" t="s">
        <v>180</v>
      </c>
      <c r="C182" s="50" t="s">
        <v>181</v>
      </c>
      <c r="D182" s="33"/>
      <c r="E182" s="51"/>
      <c r="F182" s="249"/>
      <c r="G182" s="52"/>
      <c r="H182" s="53"/>
      <c r="I182" s="53"/>
      <c r="J182" s="53"/>
      <c r="K182" s="53"/>
    </row>
    <row r="183" spans="1:11" s="40" customFormat="1" ht="12.75">
      <c r="A183" s="33">
        <v>157</v>
      </c>
      <c r="B183" s="34" t="s">
        <v>318</v>
      </c>
      <c r="C183" s="35" t="s">
        <v>182</v>
      </c>
      <c r="D183" s="36" t="s">
        <v>19</v>
      </c>
      <c r="E183" s="37">
        <v>17.3231</v>
      </c>
      <c r="F183" s="247"/>
      <c r="G183" s="38">
        <f aca="true" t="shared" si="36" ref="G183:G191">CEILING(E183*F183,1)</f>
        <v>0</v>
      </c>
      <c r="H183" s="39">
        <v>0.00021</v>
      </c>
      <c r="I183" s="39">
        <f aca="true" t="shared" si="37" ref="I183:I191">E183*H183</f>
        <v>0.003637851</v>
      </c>
      <c r="J183" s="39">
        <v>0</v>
      </c>
      <c r="K183" s="39">
        <f aca="true" t="shared" si="38" ref="K183:K191">E183*J183</f>
        <v>0</v>
      </c>
    </row>
    <row r="184" spans="1:11" s="40" customFormat="1" ht="76.5">
      <c r="A184" s="33">
        <v>158</v>
      </c>
      <c r="B184" s="34" t="s">
        <v>319</v>
      </c>
      <c r="C184" s="35" t="s">
        <v>549</v>
      </c>
      <c r="D184" s="36" t="s">
        <v>19</v>
      </c>
      <c r="E184" s="37">
        <v>17.3231</v>
      </c>
      <c r="F184" s="247"/>
      <c r="G184" s="38">
        <f t="shared" si="36"/>
        <v>0</v>
      </c>
      <c r="H184" s="39">
        <v>0.00474</v>
      </c>
      <c r="I184" s="39">
        <f t="shared" si="37"/>
        <v>0.08211149400000001</v>
      </c>
      <c r="J184" s="39">
        <v>0</v>
      </c>
      <c r="K184" s="39">
        <f t="shared" si="38"/>
        <v>0</v>
      </c>
    </row>
    <row r="185" spans="1:11" s="40" customFormat="1" ht="63.75">
      <c r="A185" s="33">
        <v>159</v>
      </c>
      <c r="B185" s="34">
        <v>597813700</v>
      </c>
      <c r="C185" s="35" t="s">
        <v>545</v>
      </c>
      <c r="D185" s="36" t="s">
        <v>19</v>
      </c>
      <c r="E185" s="37">
        <v>18.5357</v>
      </c>
      <c r="F185" s="247"/>
      <c r="G185" s="38">
        <f t="shared" si="36"/>
        <v>0</v>
      </c>
      <c r="H185" s="39">
        <v>0.0136</v>
      </c>
      <c r="I185" s="39">
        <f t="shared" si="37"/>
        <v>0.25208551999999995</v>
      </c>
      <c r="J185" s="39">
        <v>0</v>
      </c>
      <c r="K185" s="39">
        <f t="shared" si="38"/>
        <v>0</v>
      </c>
    </row>
    <row r="186" spans="1:11" s="40" customFormat="1" ht="12.75">
      <c r="A186" s="33">
        <v>160</v>
      </c>
      <c r="B186" s="34" t="s">
        <v>320</v>
      </c>
      <c r="C186" s="35" t="s">
        <v>183</v>
      </c>
      <c r="D186" s="36" t="s">
        <v>19</v>
      </c>
      <c r="E186" s="37">
        <v>13.3231</v>
      </c>
      <c r="F186" s="247"/>
      <c r="G186" s="38">
        <f t="shared" si="36"/>
        <v>0</v>
      </c>
      <c r="H186" s="39">
        <v>0</v>
      </c>
      <c r="I186" s="39">
        <f t="shared" si="37"/>
        <v>0</v>
      </c>
      <c r="J186" s="39">
        <v>0</v>
      </c>
      <c r="K186" s="39">
        <f t="shared" si="38"/>
        <v>0</v>
      </c>
    </row>
    <row r="187" spans="1:11" s="40" customFormat="1" ht="12.75">
      <c r="A187" s="33">
        <v>161</v>
      </c>
      <c r="B187" s="34" t="s">
        <v>321</v>
      </c>
      <c r="C187" s="35" t="s">
        <v>184</v>
      </c>
      <c r="D187" s="36" t="s">
        <v>21</v>
      </c>
      <c r="E187" s="37">
        <v>5.88</v>
      </c>
      <c r="F187" s="247"/>
      <c r="G187" s="38">
        <f t="shared" si="36"/>
        <v>0</v>
      </c>
      <c r="H187" s="39">
        <v>0.0001</v>
      </c>
      <c r="I187" s="39">
        <f t="shared" si="37"/>
        <v>0.000588</v>
      </c>
      <c r="J187" s="39">
        <v>0</v>
      </c>
      <c r="K187" s="39">
        <f t="shared" si="38"/>
        <v>0</v>
      </c>
    </row>
    <row r="188" spans="1:11" s="40" customFormat="1" ht="12.75">
      <c r="A188" s="33">
        <v>162</v>
      </c>
      <c r="B188" s="34" t="s">
        <v>322</v>
      </c>
      <c r="C188" s="35" t="s">
        <v>185</v>
      </c>
      <c r="D188" s="36" t="s">
        <v>21</v>
      </c>
      <c r="E188" s="37">
        <v>11.332</v>
      </c>
      <c r="F188" s="247"/>
      <c r="G188" s="38">
        <f t="shared" si="36"/>
        <v>0</v>
      </c>
      <c r="H188" s="39">
        <v>4E-05</v>
      </c>
      <c r="I188" s="39">
        <f t="shared" si="37"/>
        <v>0.0004532800000000001</v>
      </c>
      <c r="J188" s="39">
        <v>0</v>
      </c>
      <c r="K188" s="39">
        <f t="shared" si="38"/>
        <v>0</v>
      </c>
    </row>
    <row r="189" spans="1:11" s="40" customFormat="1" ht="12.75">
      <c r="A189" s="33">
        <v>163</v>
      </c>
      <c r="B189" s="34" t="s">
        <v>323</v>
      </c>
      <c r="C189" s="35" t="s">
        <v>186</v>
      </c>
      <c r="D189" s="36" t="s">
        <v>19</v>
      </c>
      <c r="E189" s="37">
        <v>1.4112</v>
      </c>
      <c r="F189" s="247"/>
      <c r="G189" s="38">
        <f t="shared" si="36"/>
        <v>0</v>
      </c>
      <c r="H189" s="39">
        <v>0.0029</v>
      </c>
      <c r="I189" s="39">
        <f t="shared" si="37"/>
        <v>0.00409248</v>
      </c>
      <c r="J189" s="39">
        <v>0</v>
      </c>
      <c r="K189" s="39">
        <f t="shared" si="38"/>
        <v>0</v>
      </c>
    </row>
    <row r="190" spans="1:11" s="40" customFormat="1" ht="12.75">
      <c r="A190" s="33">
        <v>164</v>
      </c>
      <c r="B190" s="34">
        <v>63465128</v>
      </c>
      <c r="C190" s="35" t="s">
        <v>187</v>
      </c>
      <c r="D190" s="36" t="s">
        <v>19</v>
      </c>
      <c r="E190" s="37">
        <v>1.4818</v>
      </c>
      <c r="F190" s="247"/>
      <c r="G190" s="38">
        <f t="shared" si="36"/>
        <v>0</v>
      </c>
      <c r="H190" s="39">
        <v>0.017</v>
      </c>
      <c r="I190" s="39">
        <f t="shared" si="37"/>
        <v>0.0251906</v>
      </c>
      <c r="J190" s="39">
        <v>0</v>
      </c>
      <c r="K190" s="39">
        <f t="shared" si="38"/>
        <v>0</v>
      </c>
    </row>
    <row r="191" spans="1:11" s="40" customFormat="1" ht="12.75">
      <c r="A191" s="33">
        <v>165</v>
      </c>
      <c r="B191" s="34" t="s">
        <v>324</v>
      </c>
      <c r="C191" s="35" t="s">
        <v>188</v>
      </c>
      <c r="D191" s="36" t="s">
        <v>87</v>
      </c>
      <c r="E191" s="37">
        <v>0.37</v>
      </c>
      <c r="F191" s="247"/>
      <c r="G191" s="38">
        <f t="shared" si="36"/>
        <v>0</v>
      </c>
      <c r="H191" s="39">
        <v>0</v>
      </c>
      <c r="I191" s="39">
        <f t="shared" si="37"/>
        <v>0</v>
      </c>
      <c r="J191" s="39">
        <v>0</v>
      </c>
      <c r="K191" s="39">
        <f t="shared" si="38"/>
        <v>0</v>
      </c>
    </row>
    <row r="192" spans="1:11" s="40" customFormat="1" ht="12.75">
      <c r="A192" s="41"/>
      <c r="B192" s="42" t="s">
        <v>15</v>
      </c>
      <c r="C192" s="43" t="str">
        <f>CONCATENATE(B182," ",C182)</f>
        <v>781 Obklady keramické</v>
      </c>
      <c r="D192" s="41"/>
      <c r="E192" s="44"/>
      <c r="F192" s="248"/>
      <c r="G192" s="45">
        <f>SUM(G182:G191)</f>
        <v>0</v>
      </c>
      <c r="H192" s="46"/>
      <c r="I192" s="47">
        <f>SUM(I182:I191)</f>
        <v>0.3681592249999999</v>
      </c>
      <c r="J192" s="46"/>
      <c r="K192" s="47">
        <f>SUM(K182:K191)</f>
        <v>0</v>
      </c>
    </row>
    <row r="193" spans="1:11" s="40" customFormat="1" ht="12.75">
      <c r="A193" s="48" t="s">
        <v>13</v>
      </c>
      <c r="B193" s="49" t="s">
        <v>189</v>
      </c>
      <c r="C193" s="50" t="s">
        <v>190</v>
      </c>
      <c r="D193" s="33"/>
      <c r="E193" s="51"/>
      <c r="F193" s="249"/>
      <c r="G193" s="52"/>
      <c r="H193" s="53"/>
      <c r="I193" s="53"/>
      <c r="J193" s="53"/>
      <c r="K193" s="53"/>
    </row>
    <row r="194" spans="1:11" s="40" customFormat="1" ht="12.75">
      <c r="A194" s="33">
        <v>166</v>
      </c>
      <c r="B194" s="34" t="s">
        <v>325</v>
      </c>
      <c r="C194" s="35" t="s">
        <v>191</v>
      </c>
      <c r="D194" s="36" t="s">
        <v>14</v>
      </c>
      <c r="E194" s="37">
        <v>1</v>
      </c>
      <c r="F194" s="247"/>
      <c r="G194" s="38">
        <f aca="true" t="shared" si="39" ref="G194">CEILING(E194*F194,1)</f>
        <v>0</v>
      </c>
      <c r="H194" s="39">
        <v>0.00024</v>
      </c>
      <c r="I194" s="39">
        <f>E194*H194</f>
        <v>0.00024</v>
      </c>
      <c r="J194" s="39">
        <v>0</v>
      </c>
      <c r="K194" s="39">
        <f>E194*J194</f>
        <v>0</v>
      </c>
    </row>
    <row r="195" spans="1:11" s="40" customFormat="1" ht="12.75">
      <c r="A195" s="41"/>
      <c r="B195" s="42" t="s">
        <v>15</v>
      </c>
      <c r="C195" s="43" t="str">
        <f>CONCATENATE(B193," ",C193)</f>
        <v>783 Nátěry</v>
      </c>
      <c r="D195" s="41"/>
      <c r="E195" s="44"/>
      <c r="F195" s="248"/>
      <c r="G195" s="45">
        <f>SUM(G193:G194)</f>
        <v>0</v>
      </c>
      <c r="H195" s="46"/>
      <c r="I195" s="47">
        <f>SUM(I193:I194)</f>
        <v>0.00024</v>
      </c>
      <c r="J195" s="46"/>
      <c r="K195" s="47">
        <f>SUM(K193:K194)</f>
        <v>0</v>
      </c>
    </row>
    <row r="196" spans="1:11" s="40" customFormat="1" ht="12.75">
      <c r="A196" s="48" t="s">
        <v>13</v>
      </c>
      <c r="B196" s="49" t="s">
        <v>192</v>
      </c>
      <c r="C196" s="50" t="s">
        <v>193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ht="63.75">
      <c r="A197" s="33">
        <v>167</v>
      </c>
      <c r="B197" s="34" t="s">
        <v>326</v>
      </c>
      <c r="C197" s="35" t="s">
        <v>546</v>
      </c>
      <c r="D197" s="36" t="s">
        <v>19</v>
      </c>
      <c r="E197" s="37">
        <v>66.887</v>
      </c>
      <c r="F197" s="247"/>
      <c r="G197" s="38">
        <f aca="true" t="shared" si="40" ref="G197:G199">CEILING(E197*F197,1)</f>
        <v>0</v>
      </c>
      <c r="H197" s="39">
        <v>7E-05</v>
      </c>
      <c r="I197" s="39">
        <f>E197*H197</f>
        <v>0.00468209</v>
      </c>
      <c r="J197" s="39">
        <v>0</v>
      </c>
      <c r="K197" s="39">
        <f>E197*J197</f>
        <v>0</v>
      </c>
    </row>
    <row r="198" spans="1:11" s="40" customFormat="1" ht="44.25" customHeight="1">
      <c r="A198" s="33">
        <v>168</v>
      </c>
      <c r="B198" s="34" t="s">
        <v>327</v>
      </c>
      <c r="C198" s="35" t="s">
        <v>555</v>
      </c>
      <c r="D198" s="36" t="s">
        <v>19</v>
      </c>
      <c r="E198" s="37">
        <v>22.72</v>
      </c>
      <c r="F198" s="247"/>
      <c r="G198" s="38">
        <f t="shared" si="40"/>
        <v>0</v>
      </c>
      <c r="H198" s="39">
        <v>0.00015</v>
      </c>
      <c r="I198" s="39">
        <f>E198*H198</f>
        <v>0.0034079999999999996</v>
      </c>
      <c r="J198" s="39">
        <v>0</v>
      </c>
      <c r="K198" s="39">
        <f>E198*J198</f>
        <v>0</v>
      </c>
    </row>
    <row r="199" spans="1:11" s="40" customFormat="1" ht="63.75">
      <c r="A199" s="33">
        <v>169</v>
      </c>
      <c r="B199" s="34" t="s">
        <v>328</v>
      </c>
      <c r="C199" s="35" t="s">
        <v>548</v>
      </c>
      <c r="D199" s="36" t="s">
        <v>554</v>
      </c>
      <c r="E199" s="37">
        <v>44.167</v>
      </c>
      <c r="F199" s="247"/>
      <c r="G199" s="38">
        <f t="shared" si="40"/>
        <v>0</v>
      </c>
      <c r="H199" s="39">
        <v>0.00016</v>
      </c>
      <c r="I199" s="39">
        <f>E199*H199</f>
        <v>0.007066720000000001</v>
      </c>
      <c r="J199" s="39">
        <v>0</v>
      </c>
      <c r="K199" s="39">
        <f>E199*J199</f>
        <v>0</v>
      </c>
    </row>
    <row r="200" spans="1:11" s="40" customFormat="1" ht="12.75">
      <c r="A200" s="41"/>
      <c r="B200" s="42" t="s">
        <v>15</v>
      </c>
      <c r="C200" s="43" t="str">
        <f>CONCATENATE(B196," ",C196)</f>
        <v>784 Malby</v>
      </c>
      <c r="D200" s="41"/>
      <c r="E200" s="44"/>
      <c r="F200" s="248"/>
      <c r="G200" s="45">
        <f>SUM(G196:G199)</f>
        <v>0</v>
      </c>
      <c r="H200" s="46"/>
      <c r="I200" s="47">
        <f>SUM(I196:I199)</f>
        <v>0.01515681</v>
      </c>
      <c r="J200" s="46"/>
      <c r="K200" s="47">
        <f>SUM(K196:K199)</f>
        <v>0</v>
      </c>
    </row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pans="1:7" s="40" customFormat="1" ht="12.75">
      <c r="A224" s="54"/>
      <c r="B224" s="54"/>
      <c r="C224" s="54"/>
      <c r="D224" s="54"/>
      <c r="E224" s="54"/>
      <c r="F224" s="54"/>
      <c r="G224" s="54"/>
    </row>
    <row r="225" spans="1:7" s="40" customFormat="1" ht="12.75">
      <c r="A225" s="54"/>
      <c r="B225" s="54"/>
      <c r="C225" s="54"/>
      <c r="D225" s="54"/>
      <c r="E225" s="54"/>
      <c r="F225" s="54"/>
      <c r="G225" s="54"/>
    </row>
    <row r="226" spans="1:7" s="40" customFormat="1" ht="12.75">
      <c r="A226" s="54"/>
      <c r="B226" s="54"/>
      <c r="C226" s="54"/>
      <c r="D226" s="54"/>
      <c r="E226" s="54"/>
      <c r="F226" s="54"/>
      <c r="G226" s="54"/>
    </row>
    <row r="227" spans="1:7" s="40" customFormat="1" ht="12.75">
      <c r="A227" s="54"/>
      <c r="B227" s="54"/>
      <c r="C227" s="54"/>
      <c r="D227" s="54"/>
      <c r="E227" s="54"/>
      <c r="F227" s="54"/>
      <c r="G227" s="54"/>
    </row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pans="1:5" s="40" customFormat="1" ht="12.75">
      <c r="A253" s="55"/>
      <c r="B253" s="55"/>
      <c r="E253" s="56"/>
    </row>
    <row r="254" spans="1:7" s="40" customFormat="1" ht="12.75">
      <c r="A254" s="54"/>
      <c r="B254" s="54"/>
      <c r="C254" s="57"/>
      <c r="D254" s="57"/>
      <c r="E254" s="58"/>
      <c r="F254" s="57"/>
      <c r="G254" s="59"/>
    </row>
    <row r="255" spans="1:7" s="40" customFormat="1" ht="12.75">
      <c r="A255" s="60"/>
      <c r="B255" s="60"/>
      <c r="C255" s="54"/>
      <c r="D255" s="54"/>
      <c r="E255" s="61"/>
      <c r="F255" s="54"/>
      <c r="G255" s="54"/>
    </row>
    <row r="256" spans="1:7" s="40" customFormat="1" ht="12.75">
      <c r="A256" s="54"/>
      <c r="B256" s="54"/>
      <c r="C256" s="54"/>
      <c r="D256" s="54"/>
      <c r="E256" s="61"/>
      <c r="F256" s="54"/>
      <c r="G256" s="54"/>
    </row>
    <row r="257" spans="1:7" s="40" customFormat="1" ht="12.75">
      <c r="A257" s="54"/>
      <c r="B257" s="54"/>
      <c r="C257" s="54"/>
      <c r="D257" s="54"/>
      <c r="E257" s="61"/>
      <c r="F257" s="54"/>
      <c r="G257" s="54"/>
    </row>
    <row r="258" spans="1:7" s="40" customFormat="1" ht="12.75">
      <c r="A258" s="54"/>
      <c r="B258" s="54"/>
      <c r="C258" s="54"/>
      <c r="D258" s="54"/>
      <c r="E258" s="61"/>
      <c r="F258" s="54"/>
      <c r="G258" s="54"/>
    </row>
    <row r="259" spans="1:7" s="40" customFormat="1" ht="12.75">
      <c r="A259" s="54"/>
      <c r="B259" s="54"/>
      <c r="C259" s="54"/>
      <c r="D259" s="54"/>
      <c r="E259" s="61"/>
      <c r="F259" s="54"/>
      <c r="G259" s="54"/>
    </row>
    <row r="260" spans="1:7" ht="12.75">
      <c r="A260" s="30"/>
      <c r="B260" s="30"/>
      <c r="C260" s="30"/>
      <c r="D260" s="30"/>
      <c r="E260" s="32"/>
      <c r="F260" s="30"/>
      <c r="G260" s="30"/>
    </row>
    <row r="261" spans="1:7" ht="12.75">
      <c r="A261" s="30"/>
      <c r="B261" s="30"/>
      <c r="C261" s="30"/>
      <c r="D261" s="30"/>
      <c r="E261" s="32"/>
      <c r="F261" s="30"/>
      <c r="G261" s="30"/>
    </row>
    <row r="262" spans="1:7" ht="12.75">
      <c r="A262" s="30"/>
      <c r="B262" s="30"/>
      <c r="C262" s="30"/>
      <c r="D262" s="30"/>
      <c r="E262" s="32"/>
      <c r="F262" s="30"/>
      <c r="G262" s="30"/>
    </row>
    <row r="263" spans="1:7" ht="12.75">
      <c r="A263" s="30"/>
      <c r="B263" s="30"/>
      <c r="C263" s="30"/>
      <c r="D263" s="30"/>
      <c r="E263" s="32"/>
      <c r="F263" s="30"/>
      <c r="G263" s="30"/>
    </row>
    <row r="264" spans="1:7" ht="12.75">
      <c r="A264" s="30"/>
      <c r="B264" s="30"/>
      <c r="C264" s="30"/>
      <c r="D264" s="30"/>
      <c r="E264" s="32"/>
      <c r="F264" s="30"/>
      <c r="G264" s="30"/>
    </row>
    <row r="265" spans="1:7" ht="12.75">
      <c r="A265" s="30"/>
      <c r="B265" s="30"/>
      <c r="C265" s="30"/>
      <c r="D265" s="30"/>
      <c r="E265" s="32"/>
      <c r="F265" s="30"/>
      <c r="G265" s="30"/>
    </row>
    <row r="266" spans="1:7" ht="12.75">
      <c r="A266" s="30"/>
      <c r="B266" s="30"/>
      <c r="C266" s="30"/>
      <c r="D266" s="30"/>
      <c r="E266" s="32"/>
      <c r="F266" s="30"/>
      <c r="G266" s="30"/>
    </row>
    <row r="267" spans="1:7" ht="12.75">
      <c r="A267" s="30"/>
      <c r="B267" s="30"/>
      <c r="C267" s="30"/>
      <c r="D267" s="30"/>
      <c r="E267" s="32"/>
      <c r="F267" s="30"/>
      <c r="G267" s="30"/>
    </row>
  </sheetData>
  <mergeCells count="4">
    <mergeCell ref="A1:I1"/>
    <mergeCell ref="A3:B3"/>
    <mergeCell ref="A4:B4"/>
    <mergeCell ref="G4:I4"/>
  </mergeCells>
  <printOptions/>
  <pageMargins left="0.3854166666666667" right="0.46875" top="0.787401575" bottom="0.787401575" header="0.3" footer="0.3"/>
  <pageSetup horizontalDpi="600" verticalDpi="600" orientation="landscape" paperSize="9" r:id="rId1"/>
  <headerFooter>
    <oddHeader xml:space="preserve">&amp;C
UK - Revitalizace ubytování na 12. a 15. NP - Krystal&amp;RPříloha č.9 - výkaz výměr vyhrazené plnění- stavební úpravy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4.375" style="7" customWidth="1"/>
    <col min="2" max="2" width="14.125" style="7" customWidth="1"/>
    <col min="3" max="3" width="46.125" style="7" customWidth="1"/>
    <col min="4" max="4" width="5.625" style="7" customWidth="1"/>
    <col min="5" max="5" width="10.00390625" style="31" customWidth="1"/>
    <col min="6" max="6" width="8.875" style="7" customWidth="1"/>
    <col min="7" max="7" width="10.125" style="7" customWidth="1"/>
    <col min="8" max="8" width="11.625" style="7" customWidth="1"/>
    <col min="9" max="9" width="11.875" style="7" customWidth="1"/>
    <col min="10" max="10" width="10.75390625" style="7" customWidth="1"/>
    <col min="11" max="11" width="11.625" style="7" customWidth="1"/>
    <col min="12" max="16384" width="9.125" style="7" customWidth="1"/>
  </cols>
  <sheetData>
    <row r="1" spans="1:9" ht="15">
      <c r="A1" s="352" t="s">
        <v>473</v>
      </c>
      <c r="B1" s="352"/>
      <c r="C1" s="352"/>
      <c r="D1" s="352"/>
      <c r="E1" s="352"/>
      <c r="F1" s="352"/>
      <c r="G1" s="352"/>
      <c r="H1" s="352"/>
      <c r="I1" s="352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3" t="s">
        <v>1</v>
      </c>
      <c r="B3" s="354"/>
      <c r="C3" s="1" t="str">
        <f>+ELEKTRO_B!C1</f>
        <v>UK - Revitalizace ubytování na 12. a 15. NP - Krystal</v>
      </c>
      <c r="D3" s="2"/>
      <c r="E3" s="3"/>
      <c r="F3" s="2"/>
      <c r="G3" s="11"/>
      <c r="H3" s="12"/>
      <c r="I3" s="13"/>
    </row>
    <row r="4" spans="1:9" ht="13.5" thickBot="1">
      <c r="A4" s="355" t="s">
        <v>0</v>
      </c>
      <c r="B4" s="356"/>
      <c r="C4" s="4" t="s">
        <v>472</v>
      </c>
      <c r="D4" s="5"/>
      <c r="E4" s="6"/>
      <c r="F4" s="5"/>
      <c r="G4" s="357"/>
      <c r="H4" s="357"/>
      <c r="I4" s="358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12.75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ht="12.75">
      <c r="A7" s="23" t="s">
        <v>13</v>
      </c>
      <c r="B7" s="24" t="s">
        <v>25</v>
      </c>
      <c r="C7" s="25" t="s">
        <v>26</v>
      </c>
      <c r="D7" s="26"/>
      <c r="E7" s="27"/>
      <c r="F7" s="27"/>
      <c r="G7" s="28"/>
      <c r="H7" s="29"/>
      <c r="I7" s="29"/>
      <c r="J7" s="29"/>
      <c r="K7" s="29"/>
    </row>
    <row r="8" spans="1:11" s="40" customFormat="1" ht="38.25">
      <c r="A8" s="33">
        <v>1</v>
      </c>
      <c r="B8" s="34" t="s">
        <v>448</v>
      </c>
      <c r="C8" s="35" t="s">
        <v>449</v>
      </c>
      <c r="D8" s="36" t="s">
        <v>19</v>
      </c>
      <c r="E8" s="37">
        <v>650</v>
      </c>
      <c r="F8" s="247"/>
      <c r="G8" s="38">
        <f>CEILING(E8*F8,1)</f>
        <v>0</v>
      </c>
      <c r="H8" s="39">
        <v>0.00963</v>
      </c>
      <c r="I8" s="39">
        <f>E8*H8</f>
        <v>6.2595</v>
      </c>
      <c r="J8" s="39">
        <v>0</v>
      </c>
      <c r="K8" s="39">
        <f>E8*J8</f>
        <v>0</v>
      </c>
    </row>
    <row r="9" spans="1:11" s="40" customFormat="1" ht="12.75">
      <c r="A9" s="41"/>
      <c r="B9" s="42" t="s">
        <v>15</v>
      </c>
      <c r="C9" s="43" t="str">
        <f>CONCATENATE(B7," ",C7)</f>
        <v>4 Vodorovné konstrukce</v>
      </c>
      <c r="D9" s="41"/>
      <c r="E9" s="44"/>
      <c r="F9" s="248"/>
      <c r="G9" s="45">
        <f>SUM(G7:G8)</f>
        <v>0</v>
      </c>
      <c r="H9" s="46"/>
      <c r="I9" s="47">
        <f>SUM(I7:I8)</f>
        <v>6.2595</v>
      </c>
      <c r="J9" s="46"/>
      <c r="K9" s="47">
        <f>SUM(K7:K8)</f>
        <v>0</v>
      </c>
    </row>
    <row r="10" spans="1:11" s="40" customFormat="1" ht="12.75">
      <c r="A10" s="48" t="s">
        <v>13</v>
      </c>
      <c r="B10" s="49" t="s">
        <v>49</v>
      </c>
      <c r="C10" s="50" t="s">
        <v>50</v>
      </c>
      <c r="D10" s="33"/>
      <c r="E10" s="51"/>
      <c r="F10" s="249"/>
      <c r="G10" s="52"/>
      <c r="H10" s="53"/>
      <c r="I10" s="53"/>
      <c r="J10" s="53"/>
      <c r="K10" s="53"/>
    </row>
    <row r="11" spans="1:11" s="40" customFormat="1" ht="12.75">
      <c r="A11" s="33">
        <v>2</v>
      </c>
      <c r="B11" s="34" t="s">
        <v>220</v>
      </c>
      <c r="C11" s="35" t="s">
        <v>51</v>
      </c>
      <c r="D11" s="36" t="s">
        <v>19</v>
      </c>
      <c r="E11" s="37">
        <v>650</v>
      </c>
      <c r="F11" s="247"/>
      <c r="G11" s="38">
        <f>CEILING(E11*F11,1)</f>
        <v>0</v>
      </c>
      <c r="H11" s="39">
        <v>0.00121</v>
      </c>
      <c r="I11" s="39">
        <f>E11*H11</f>
        <v>0.7865</v>
      </c>
      <c r="J11" s="39">
        <v>0</v>
      </c>
      <c r="K11" s="39">
        <f>E11*J11</f>
        <v>0</v>
      </c>
    </row>
    <row r="12" spans="1:11" s="40" customFormat="1" ht="12.75">
      <c r="A12" s="41"/>
      <c r="B12" s="42" t="s">
        <v>15</v>
      </c>
      <c r="C12" s="43" t="str">
        <f>CONCATENATE(B10," ",C10)</f>
        <v>94 Lešení a stavební výtahy</v>
      </c>
      <c r="D12" s="41"/>
      <c r="E12" s="44"/>
      <c r="F12" s="248"/>
      <c r="G12" s="45">
        <f>SUM(G10:G11)</f>
        <v>0</v>
      </c>
      <c r="H12" s="46"/>
      <c r="I12" s="47">
        <f>SUM(I10:I11)</f>
        <v>0.7865</v>
      </c>
      <c r="J12" s="46"/>
      <c r="K12" s="47">
        <f>SUM(K10:K11)</f>
        <v>0</v>
      </c>
    </row>
    <row r="13" spans="1:11" s="40" customFormat="1" ht="12.75">
      <c r="A13" s="48" t="s">
        <v>13</v>
      </c>
      <c r="B13" s="49" t="s">
        <v>52</v>
      </c>
      <c r="C13" s="50" t="s">
        <v>53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ht="12.75">
      <c r="A14" s="33">
        <v>3</v>
      </c>
      <c r="B14" s="34" t="s">
        <v>221</v>
      </c>
      <c r="C14" s="35" t="s">
        <v>54</v>
      </c>
      <c r="D14" s="36" t="s">
        <v>19</v>
      </c>
      <c r="E14" s="37">
        <v>650</v>
      </c>
      <c r="F14" s="247"/>
      <c r="G14" s="38">
        <f>CEILING(E14*F14,1)</f>
        <v>0</v>
      </c>
      <c r="H14" s="39">
        <v>4E-05</v>
      </c>
      <c r="I14" s="39">
        <f>E14*H14</f>
        <v>0.026000000000000002</v>
      </c>
      <c r="J14" s="39">
        <v>0</v>
      </c>
      <c r="K14" s="39">
        <f>E14*J14</f>
        <v>0</v>
      </c>
    </row>
    <row r="15" spans="1:11" s="40" customFormat="1" ht="12.75">
      <c r="A15" s="41"/>
      <c r="B15" s="42" t="s">
        <v>15</v>
      </c>
      <c r="C15" s="43" t="str">
        <f>CONCATENATE(B13," ",C13)</f>
        <v>95 Dokončovací kce na pozem.stav.</v>
      </c>
      <c r="D15" s="41"/>
      <c r="E15" s="44"/>
      <c r="F15" s="248"/>
      <c r="G15" s="45">
        <f>SUM(G13:G14)</f>
        <v>0</v>
      </c>
      <c r="H15" s="46"/>
      <c r="I15" s="47">
        <f>SUM(I13:I14)</f>
        <v>0.026000000000000002</v>
      </c>
      <c r="J15" s="46"/>
      <c r="K15" s="47">
        <f>SUM(K13:K14)</f>
        <v>0</v>
      </c>
    </row>
    <row r="16" spans="1:11" s="40" customFormat="1" ht="12.75">
      <c r="A16" s="48" t="s">
        <v>13</v>
      </c>
      <c r="B16" s="49" t="s">
        <v>55</v>
      </c>
      <c r="C16" s="50" t="s">
        <v>56</v>
      </c>
      <c r="D16" s="33"/>
      <c r="E16" s="51"/>
      <c r="F16" s="249"/>
      <c r="G16" s="52"/>
      <c r="H16" s="53"/>
      <c r="I16" s="53"/>
      <c r="J16" s="53"/>
      <c r="K16" s="53"/>
    </row>
    <row r="17" spans="1:11" s="40" customFormat="1" ht="12.75">
      <c r="A17" s="33">
        <v>4</v>
      </c>
      <c r="B17" s="34" t="s">
        <v>450</v>
      </c>
      <c r="C17" s="35" t="s">
        <v>451</v>
      </c>
      <c r="D17" s="36" t="s">
        <v>19</v>
      </c>
      <c r="E17" s="37">
        <v>650</v>
      </c>
      <c r="F17" s="247"/>
      <c r="G17" s="38">
        <f aca="true" t="shared" si="0" ref="G17:G28">CEILING(E17*F17,1)</f>
        <v>0</v>
      </c>
      <c r="H17" s="39">
        <v>0</v>
      </c>
      <c r="I17" s="39">
        <f aca="true" t="shared" si="1" ref="I17:I28">E17*H17</f>
        <v>0</v>
      </c>
      <c r="J17" s="39">
        <v>-0.004</v>
      </c>
      <c r="K17" s="39">
        <f aca="true" t="shared" si="2" ref="K17:K28">E17*J17</f>
        <v>-2.6</v>
      </c>
    </row>
    <row r="18" spans="1:11" s="40" customFormat="1" ht="12.75">
      <c r="A18" s="33">
        <v>5</v>
      </c>
      <c r="B18" s="34" t="s">
        <v>452</v>
      </c>
      <c r="C18" s="35" t="s">
        <v>453</v>
      </c>
      <c r="D18" s="36" t="s">
        <v>24</v>
      </c>
      <c r="E18" s="37">
        <v>58</v>
      </c>
      <c r="F18" s="247"/>
      <c r="G18" s="38">
        <f t="shared" si="0"/>
        <v>0</v>
      </c>
      <c r="H18" s="39">
        <v>0</v>
      </c>
      <c r="I18" s="39">
        <f t="shared" si="1"/>
        <v>0</v>
      </c>
      <c r="J18" s="39">
        <v>-0.007</v>
      </c>
      <c r="K18" s="39">
        <f t="shared" si="2"/>
        <v>-0.406</v>
      </c>
    </row>
    <row r="19" spans="1:11" s="40" customFormat="1" ht="12.75">
      <c r="A19" s="33">
        <v>6</v>
      </c>
      <c r="B19" s="34" t="s">
        <v>230</v>
      </c>
      <c r="C19" s="35" t="s">
        <v>65</v>
      </c>
      <c r="D19" s="36" t="s">
        <v>21</v>
      </c>
      <c r="E19" s="37">
        <v>250</v>
      </c>
      <c r="F19" s="247"/>
      <c r="G19" s="38">
        <f t="shared" si="0"/>
        <v>0</v>
      </c>
      <c r="H19" s="39">
        <v>0</v>
      </c>
      <c r="I19" s="39">
        <f t="shared" si="1"/>
        <v>0</v>
      </c>
      <c r="J19" s="39">
        <v>0</v>
      </c>
      <c r="K19" s="39">
        <f t="shared" si="2"/>
        <v>0</v>
      </c>
    </row>
    <row r="20" spans="1:11" s="40" customFormat="1" ht="12.75">
      <c r="A20" s="33">
        <v>7</v>
      </c>
      <c r="B20" s="34" t="s">
        <v>231</v>
      </c>
      <c r="C20" s="35" t="s">
        <v>66</v>
      </c>
      <c r="D20" s="36" t="s">
        <v>19</v>
      </c>
      <c r="E20" s="37">
        <v>650</v>
      </c>
      <c r="F20" s="247"/>
      <c r="G20" s="38">
        <f t="shared" si="0"/>
        <v>0</v>
      </c>
      <c r="H20" s="39">
        <v>0</v>
      </c>
      <c r="I20" s="39">
        <f t="shared" si="1"/>
        <v>0</v>
      </c>
      <c r="J20" s="39">
        <v>-0.001</v>
      </c>
      <c r="K20" s="39">
        <f t="shared" si="2"/>
        <v>-0.65</v>
      </c>
    </row>
    <row r="21" spans="1:11" s="40" customFormat="1" ht="12.75">
      <c r="A21" s="33">
        <v>8</v>
      </c>
      <c r="B21" s="34" t="s">
        <v>454</v>
      </c>
      <c r="C21" s="35" t="s">
        <v>67</v>
      </c>
      <c r="D21" s="36" t="s">
        <v>19</v>
      </c>
      <c r="E21" s="37">
        <v>650</v>
      </c>
      <c r="F21" s="247"/>
      <c r="G21" s="38">
        <f t="shared" si="0"/>
        <v>0</v>
      </c>
      <c r="H21" s="39">
        <v>0</v>
      </c>
      <c r="I21" s="39">
        <f t="shared" si="1"/>
        <v>0</v>
      </c>
      <c r="J21" s="39">
        <v>0</v>
      </c>
      <c r="K21" s="39">
        <f t="shared" si="2"/>
        <v>0</v>
      </c>
    </row>
    <row r="22" spans="1:11" s="40" customFormat="1" ht="12.75">
      <c r="A22" s="33">
        <v>9</v>
      </c>
      <c r="B22" s="34" t="s">
        <v>225</v>
      </c>
      <c r="C22" s="35" t="s">
        <v>60</v>
      </c>
      <c r="D22" s="36" t="s">
        <v>24</v>
      </c>
      <c r="E22" s="37">
        <v>6</v>
      </c>
      <c r="F22" s="247"/>
      <c r="G22" s="38">
        <f t="shared" si="0"/>
        <v>0</v>
      </c>
      <c r="H22" s="39">
        <v>0</v>
      </c>
      <c r="I22" s="39">
        <f t="shared" si="1"/>
        <v>0</v>
      </c>
      <c r="J22" s="39">
        <v>0</v>
      </c>
      <c r="K22" s="39">
        <f t="shared" si="2"/>
        <v>0</v>
      </c>
    </row>
    <row r="23" spans="1:11" s="40" customFormat="1" ht="12.75">
      <c r="A23" s="33">
        <v>10</v>
      </c>
      <c r="B23" s="34" t="s">
        <v>245</v>
      </c>
      <c r="C23" s="35" t="s">
        <v>86</v>
      </c>
      <c r="D23" s="36" t="s">
        <v>87</v>
      </c>
      <c r="E23" s="37">
        <v>1.2</v>
      </c>
      <c r="F23" s="247"/>
      <c r="G23" s="38">
        <f t="shared" si="0"/>
        <v>0</v>
      </c>
      <c r="H23" s="39">
        <v>0</v>
      </c>
      <c r="I23" s="39">
        <f t="shared" si="1"/>
        <v>0</v>
      </c>
      <c r="J23" s="39">
        <v>0</v>
      </c>
      <c r="K23" s="39">
        <f t="shared" si="2"/>
        <v>0</v>
      </c>
    </row>
    <row r="24" spans="1:11" s="40" customFormat="1" ht="12.75">
      <c r="A24" s="33">
        <v>11</v>
      </c>
      <c r="B24" s="34" t="s">
        <v>330</v>
      </c>
      <c r="C24" s="35" t="s">
        <v>331</v>
      </c>
      <c r="D24" s="36" t="s">
        <v>87</v>
      </c>
      <c r="E24" s="37">
        <v>3.5</v>
      </c>
      <c r="F24" s="247"/>
      <c r="G24" s="38">
        <f t="shared" si="0"/>
        <v>0</v>
      </c>
      <c r="H24" s="39">
        <v>0</v>
      </c>
      <c r="I24" s="39">
        <f t="shared" si="1"/>
        <v>0</v>
      </c>
      <c r="J24" s="39">
        <v>0</v>
      </c>
      <c r="K24" s="39">
        <f t="shared" si="2"/>
        <v>0</v>
      </c>
    </row>
    <row r="25" spans="1:11" s="40" customFormat="1" ht="12.75">
      <c r="A25" s="33">
        <v>12</v>
      </c>
      <c r="B25" s="34" t="s">
        <v>246</v>
      </c>
      <c r="C25" s="35" t="s">
        <v>88</v>
      </c>
      <c r="D25" s="36" t="s">
        <v>87</v>
      </c>
      <c r="E25" s="37">
        <v>1.3</v>
      </c>
      <c r="F25" s="247"/>
      <c r="G25" s="38">
        <f t="shared" si="0"/>
        <v>0</v>
      </c>
      <c r="H25" s="39">
        <v>0</v>
      </c>
      <c r="I25" s="39">
        <f t="shared" si="1"/>
        <v>0</v>
      </c>
      <c r="J25" s="39">
        <v>0</v>
      </c>
      <c r="K25" s="39">
        <f t="shared" si="2"/>
        <v>0</v>
      </c>
    </row>
    <row r="26" spans="1:11" s="40" customFormat="1" ht="12.75">
      <c r="A26" s="33">
        <v>13</v>
      </c>
      <c r="B26" s="34" t="s">
        <v>247</v>
      </c>
      <c r="C26" s="35" t="s">
        <v>89</v>
      </c>
      <c r="D26" s="36" t="s">
        <v>87</v>
      </c>
      <c r="E26" s="37">
        <v>13</v>
      </c>
      <c r="F26" s="247"/>
      <c r="G26" s="38">
        <f t="shared" si="0"/>
        <v>0</v>
      </c>
      <c r="H26" s="39">
        <v>0</v>
      </c>
      <c r="I26" s="39">
        <f t="shared" si="1"/>
        <v>0</v>
      </c>
      <c r="J26" s="39">
        <v>0</v>
      </c>
      <c r="K26" s="39">
        <f t="shared" si="2"/>
        <v>0</v>
      </c>
    </row>
    <row r="27" spans="1:11" s="40" customFormat="1" ht="12.75">
      <c r="A27" s="33">
        <v>14</v>
      </c>
      <c r="B27" s="34" t="s">
        <v>248</v>
      </c>
      <c r="C27" s="35" t="s">
        <v>90</v>
      </c>
      <c r="D27" s="36" t="s">
        <v>87</v>
      </c>
      <c r="E27" s="37">
        <v>1.3</v>
      </c>
      <c r="F27" s="247"/>
      <c r="G27" s="38">
        <f t="shared" si="0"/>
        <v>0</v>
      </c>
      <c r="H27" s="39">
        <v>0</v>
      </c>
      <c r="I27" s="39">
        <f t="shared" si="1"/>
        <v>0</v>
      </c>
      <c r="J27" s="39">
        <v>0</v>
      </c>
      <c r="K27" s="39">
        <f t="shared" si="2"/>
        <v>0</v>
      </c>
    </row>
    <row r="28" spans="1:11" s="40" customFormat="1" ht="12.75">
      <c r="A28" s="33">
        <v>15</v>
      </c>
      <c r="B28" s="34" t="s">
        <v>249</v>
      </c>
      <c r="C28" s="35" t="s">
        <v>91</v>
      </c>
      <c r="D28" s="36" t="s">
        <v>87</v>
      </c>
      <c r="E28" s="37">
        <v>1.3</v>
      </c>
      <c r="F28" s="247"/>
      <c r="G28" s="38">
        <f t="shared" si="0"/>
        <v>0</v>
      </c>
      <c r="H28" s="39">
        <v>0</v>
      </c>
      <c r="I28" s="39">
        <f t="shared" si="1"/>
        <v>0</v>
      </c>
      <c r="J28" s="39">
        <v>0</v>
      </c>
      <c r="K28" s="39">
        <f t="shared" si="2"/>
        <v>0</v>
      </c>
    </row>
    <row r="29" spans="1:11" s="40" customFormat="1" ht="12.75">
      <c r="A29" s="41"/>
      <c r="B29" s="42" t="s">
        <v>15</v>
      </c>
      <c r="C29" s="43" t="str">
        <f>CONCATENATE(B16," ",C16)</f>
        <v>96 Bourání konstrukcí</v>
      </c>
      <c r="D29" s="41"/>
      <c r="E29" s="44"/>
      <c r="F29" s="248"/>
      <c r="G29" s="45">
        <f>SUM(G16:G28)</f>
        <v>0</v>
      </c>
      <c r="H29" s="46"/>
      <c r="I29" s="47">
        <f>SUM(I16:I28)</f>
        <v>0</v>
      </c>
      <c r="J29" s="46"/>
      <c r="K29" s="47">
        <f>SUM(K16:K28)</f>
        <v>-3.656</v>
      </c>
    </row>
    <row r="30" spans="1:11" s="40" customFormat="1" ht="12.75">
      <c r="A30" s="48" t="s">
        <v>13</v>
      </c>
      <c r="B30" s="49" t="s">
        <v>92</v>
      </c>
      <c r="C30" s="50" t="s">
        <v>93</v>
      </c>
      <c r="D30" s="33"/>
      <c r="E30" s="51"/>
      <c r="F30" s="249"/>
      <c r="G30" s="52"/>
      <c r="H30" s="53"/>
      <c r="I30" s="53"/>
      <c r="J30" s="53"/>
      <c r="K30" s="53"/>
    </row>
    <row r="31" spans="1:11" s="40" customFormat="1" ht="12.75">
      <c r="A31" s="33">
        <v>16</v>
      </c>
      <c r="B31" s="34" t="s">
        <v>250</v>
      </c>
      <c r="C31" s="35" t="s">
        <v>94</v>
      </c>
      <c r="D31" s="36" t="s">
        <v>87</v>
      </c>
      <c r="E31" s="37">
        <v>3.5</v>
      </c>
      <c r="F31" s="247"/>
      <c r="G31" s="38">
        <f>CEILING(E31*F31,1)</f>
        <v>0</v>
      </c>
      <c r="H31" s="39">
        <v>0</v>
      </c>
      <c r="I31" s="39">
        <f>E31*H31</f>
        <v>0</v>
      </c>
      <c r="J31" s="39">
        <v>0</v>
      </c>
      <c r="K31" s="39">
        <f>E31*J31</f>
        <v>0</v>
      </c>
    </row>
    <row r="32" spans="1:11" s="40" customFormat="1" ht="12.75">
      <c r="A32" s="41"/>
      <c r="B32" s="42" t="s">
        <v>15</v>
      </c>
      <c r="C32" s="43" t="str">
        <f>CONCATENATE(B30," ",C30)</f>
        <v>99 Staveništní přesun hmot</v>
      </c>
      <c r="D32" s="41"/>
      <c r="E32" s="44"/>
      <c r="F32" s="248"/>
      <c r="G32" s="45">
        <f>SUM(G30:G31)</f>
        <v>0</v>
      </c>
      <c r="H32" s="46"/>
      <c r="I32" s="47">
        <f>SUM(I30:I31)</f>
        <v>0</v>
      </c>
      <c r="J32" s="46"/>
      <c r="K32" s="47">
        <f>SUM(K30:K31)</f>
        <v>0</v>
      </c>
    </row>
    <row r="33" spans="1:11" s="40" customFormat="1" ht="12.75">
      <c r="A33" s="48" t="s">
        <v>13</v>
      </c>
      <c r="B33" s="49" t="s">
        <v>155</v>
      </c>
      <c r="C33" s="50" t="s">
        <v>156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ht="12.75">
      <c r="A34" s="33">
        <v>17</v>
      </c>
      <c r="B34" s="34" t="s">
        <v>297</v>
      </c>
      <c r="C34" s="35" t="s">
        <v>158</v>
      </c>
      <c r="D34" s="36" t="s">
        <v>24</v>
      </c>
      <c r="E34" s="37">
        <v>6</v>
      </c>
      <c r="F34" s="247"/>
      <c r="G34" s="38">
        <f aca="true" t="shared" si="3" ref="G34:G38">CEILING(E34*F34,1)</f>
        <v>0</v>
      </c>
      <c r="H34" s="39">
        <v>0</v>
      </c>
      <c r="I34" s="39">
        <f>E34*H34</f>
        <v>0</v>
      </c>
      <c r="J34" s="39">
        <v>0</v>
      </c>
      <c r="K34" s="39">
        <f>E34*J34</f>
        <v>0</v>
      </c>
    </row>
    <row r="35" spans="1:11" s="40" customFormat="1" ht="38.25">
      <c r="A35" s="33">
        <v>18</v>
      </c>
      <c r="B35" s="34" t="s">
        <v>298</v>
      </c>
      <c r="C35" s="35" t="s">
        <v>455</v>
      </c>
      <c r="D35" s="36" t="s">
        <v>24</v>
      </c>
      <c r="E35" s="37">
        <v>6</v>
      </c>
      <c r="F35" s="247"/>
      <c r="G35" s="38">
        <f t="shared" si="3"/>
        <v>0</v>
      </c>
      <c r="H35" s="39">
        <v>0.03</v>
      </c>
      <c r="I35" s="39">
        <f>E35*H35</f>
        <v>0.18</v>
      </c>
      <c r="J35" s="39">
        <v>0</v>
      </c>
      <c r="K35" s="39">
        <f>E35*J35</f>
        <v>0</v>
      </c>
    </row>
    <row r="36" spans="1:11" s="40" customFormat="1" ht="12.75">
      <c r="A36" s="33">
        <v>19</v>
      </c>
      <c r="B36" s="34" t="s">
        <v>299</v>
      </c>
      <c r="C36" s="35" t="s">
        <v>159</v>
      </c>
      <c r="D36" s="36" t="s">
        <v>24</v>
      </c>
      <c r="E36" s="37">
        <v>6</v>
      </c>
      <c r="F36" s="247"/>
      <c r="G36" s="38">
        <f t="shared" si="3"/>
        <v>0</v>
      </c>
      <c r="H36" s="39">
        <v>0</v>
      </c>
      <c r="I36" s="39">
        <f aca="true" t="shared" si="4" ref="I36:I37">E36*H36</f>
        <v>0</v>
      </c>
      <c r="J36" s="39">
        <v>0</v>
      </c>
      <c r="K36" s="39">
        <f aca="true" t="shared" si="5" ref="K36:K37">E36*J36</f>
        <v>0</v>
      </c>
    </row>
    <row r="37" spans="1:11" s="40" customFormat="1" ht="76.5">
      <c r="A37" s="33">
        <v>20</v>
      </c>
      <c r="B37" s="34" t="s">
        <v>301</v>
      </c>
      <c r="C37" s="199" t="s">
        <v>539</v>
      </c>
      <c r="D37" s="36" t="s">
        <v>24</v>
      </c>
      <c r="E37" s="37">
        <v>6</v>
      </c>
      <c r="F37" s="247"/>
      <c r="G37" s="38">
        <f t="shared" si="3"/>
        <v>0</v>
      </c>
      <c r="H37" s="39">
        <v>0.002</v>
      </c>
      <c r="I37" s="39">
        <f t="shared" si="4"/>
        <v>0.012</v>
      </c>
      <c r="J37" s="39">
        <v>0</v>
      </c>
      <c r="K37" s="39">
        <f t="shared" si="5"/>
        <v>0</v>
      </c>
    </row>
    <row r="38" spans="1:11" s="40" customFormat="1" ht="12.75">
      <c r="A38" s="33">
        <v>21</v>
      </c>
      <c r="B38" s="34" t="s">
        <v>302</v>
      </c>
      <c r="C38" s="35" t="s">
        <v>160</v>
      </c>
      <c r="D38" s="36" t="s">
        <v>87</v>
      </c>
      <c r="E38" s="37">
        <v>0.3</v>
      </c>
      <c r="F38" s="247"/>
      <c r="G38" s="38">
        <f t="shared" si="3"/>
        <v>0</v>
      </c>
      <c r="H38" s="39">
        <v>0</v>
      </c>
      <c r="I38" s="39">
        <f>E38*H38</f>
        <v>0</v>
      </c>
      <c r="J38" s="39">
        <v>0</v>
      </c>
      <c r="K38" s="39">
        <f>E38*J38</f>
        <v>0</v>
      </c>
    </row>
    <row r="39" spans="1:11" s="40" customFormat="1" ht="12.75">
      <c r="A39" s="41"/>
      <c r="B39" s="42" t="s">
        <v>15</v>
      </c>
      <c r="C39" s="43" t="str">
        <f>CONCATENATE(B33," ",C33)</f>
        <v>766 Konstrukce truhlářské</v>
      </c>
      <c r="D39" s="41"/>
      <c r="E39" s="44"/>
      <c r="F39" s="248"/>
      <c r="G39" s="45">
        <f>SUM(G33:G38)</f>
        <v>0</v>
      </c>
      <c r="H39" s="46"/>
      <c r="I39" s="47">
        <f>SUM(I33:I38)</f>
        <v>0.192</v>
      </c>
      <c r="J39" s="46"/>
      <c r="K39" s="47">
        <f>SUM(K33:K38)</f>
        <v>0</v>
      </c>
    </row>
    <row r="40" spans="1:11" s="40" customFormat="1" ht="12.75">
      <c r="A40" s="48" t="s">
        <v>13</v>
      </c>
      <c r="B40" s="49" t="s">
        <v>172</v>
      </c>
      <c r="C40" s="50" t="s">
        <v>173</v>
      </c>
      <c r="D40" s="33"/>
      <c r="E40" s="51"/>
      <c r="F40" s="249"/>
      <c r="G40" s="52"/>
      <c r="H40" s="53"/>
      <c r="I40" s="53"/>
      <c r="J40" s="53"/>
      <c r="K40" s="53"/>
    </row>
    <row r="41" spans="1:11" s="40" customFormat="1" ht="12.75">
      <c r="A41" s="33">
        <v>22</v>
      </c>
      <c r="B41" s="34" t="s">
        <v>310</v>
      </c>
      <c r="C41" s="35" t="s">
        <v>174</v>
      </c>
      <c r="D41" s="36" t="s">
        <v>19</v>
      </c>
      <c r="E41" s="37">
        <v>650</v>
      </c>
      <c r="F41" s="247"/>
      <c r="G41" s="38">
        <f aca="true" t="shared" si="6" ref="G41:G45">CEILING(E41*F41,1)</f>
        <v>0</v>
      </c>
      <c r="H41" s="39">
        <v>0</v>
      </c>
      <c r="I41" s="39">
        <f>E41*H41</f>
        <v>0</v>
      </c>
      <c r="J41" s="39">
        <v>0</v>
      </c>
      <c r="K41" s="39">
        <f>E41*J41</f>
        <v>0</v>
      </c>
    </row>
    <row r="42" spans="1:11" s="40" customFormat="1" ht="12.75">
      <c r="A42" s="33">
        <v>23</v>
      </c>
      <c r="B42" s="34" t="s">
        <v>456</v>
      </c>
      <c r="C42" s="35" t="s">
        <v>457</v>
      </c>
      <c r="D42" s="36" t="s">
        <v>21</v>
      </c>
      <c r="E42" s="37">
        <v>250</v>
      </c>
      <c r="F42" s="247"/>
      <c r="G42" s="38">
        <f t="shared" si="6"/>
        <v>0</v>
      </c>
      <c r="H42" s="39">
        <v>0.00019</v>
      </c>
      <c r="I42" s="39">
        <f>E42*H42</f>
        <v>0.0475</v>
      </c>
      <c r="J42" s="39">
        <v>0</v>
      </c>
      <c r="K42" s="39">
        <f>E42*J42</f>
        <v>0</v>
      </c>
    </row>
    <row r="43" spans="1:11" s="40" customFormat="1" ht="25.5">
      <c r="A43" s="33">
        <v>24</v>
      </c>
      <c r="B43" s="34" t="s">
        <v>458</v>
      </c>
      <c r="C43" s="35" t="s">
        <v>459</v>
      </c>
      <c r="D43" s="36" t="s">
        <v>19</v>
      </c>
      <c r="E43" s="37">
        <v>650</v>
      </c>
      <c r="F43" s="247"/>
      <c r="G43" s="38">
        <f t="shared" si="6"/>
        <v>0</v>
      </c>
      <c r="H43" s="39">
        <v>0.00036</v>
      </c>
      <c r="I43" s="39">
        <f>E43*H43</f>
        <v>0.234</v>
      </c>
      <c r="J43" s="39">
        <v>0</v>
      </c>
      <c r="K43" s="39">
        <f>E43*J43</f>
        <v>0</v>
      </c>
    </row>
    <row r="44" spans="1:11" s="40" customFormat="1" ht="25.5">
      <c r="A44" s="33">
        <v>25</v>
      </c>
      <c r="B44" s="34">
        <v>697410982</v>
      </c>
      <c r="C44" s="35" t="s">
        <v>460</v>
      </c>
      <c r="D44" s="36" t="s">
        <v>19</v>
      </c>
      <c r="E44" s="37">
        <v>650</v>
      </c>
      <c r="F44" s="247"/>
      <c r="G44" s="38">
        <f t="shared" si="6"/>
        <v>0</v>
      </c>
      <c r="H44" s="39">
        <v>0.0019</v>
      </c>
      <c r="I44" s="39">
        <f>E44*H44</f>
        <v>1.235</v>
      </c>
      <c r="J44" s="39">
        <v>0</v>
      </c>
      <c r="K44" s="39">
        <f>E44*J44</f>
        <v>0</v>
      </c>
    </row>
    <row r="45" spans="1:11" s="40" customFormat="1" ht="12.75">
      <c r="A45" s="33">
        <v>26</v>
      </c>
      <c r="B45" s="34" t="s">
        <v>315</v>
      </c>
      <c r="C45" s="35" t="s">
        <v>176</v>
      </c>
      <c r="D45" s="36" t="s">
        <v>87</v>
      </c>
      <c r="E45" s="37">
        <v>1.1</v>
      </c>
      <c r="F45" s="247"/>
      <c r="G45" s="38">
        <f t="shared" si="6"/>
        <v>0</v>
      </c>
      <c r="H45" s="39">
        <v>0</v>
      </c>
      <c r="I45" s="39">
        <f>E45*H45</f>
        <v>0</v>
      </c>
      <c r="J45" s="39">
        <v>0</v>
      </c>
      <c r="K45" s="39">
        <f>E45*J45</f>
        <v>0</v>
      </c>
    </row>
    <row r="46" spans="1:11" s="40" customFormat="1" ht="12.75">
      <c r="A46" s="41"/>
      <c r="B46" s="42" t="s">
        <v>15</v>
      </c>
      <c r="C46" s="43" t="str">
        <f>CONCATENATE(B40," ",C40)</f>
        <v>776 Podlahy povlakové</v>
      </c>
      <c r="D46" s="41"/>
      <c r="E46" s="44"/>
      <c r="F46" s="248"/>
      <c r="G46" s="45">
        <f>SUM(G40:G45)</f>
        <v>0</v>
      </c>
      <c r="H46" s="46"/>
      <c r="I46" s="47">
        <f>SUM(I40:I45)</f>
        <v>1.5165000000000002</v>
      </c>
      <c r="J46" s="46"/>
      <c r="K46" s="47">
        <f>SUM(K40:K45)</f>
        <v>0</v>
      </c>
    </row>
    <row r="47" spans="1:11" s="40" customFormat="1" ht="12.75">
      <c r="A47" s="48" t="s">
        <v>13</v>
      </c>
      <c r="B47" s="49" t="s">
        <v>177</v>
      </c>
      <c r="C47" s="50" t="s">
        <v>178</v>
      </c>
      <c r="D47" s="33"/>
      <c r="E47" s="51"/>
      <c r="F47" s="249"/>
      <c r="G47" s="52"/>
      <c r="H47" s="53"/>
      <c r="I47" s="53"/>
      <c r="J47" s="53"/>
      <c r="K47" s="53"/>
    </row>
    <row r="48" spans="1:11" s="40" customFormat="1" ht="12.75">
      <c r="A48" s="33">
        <v>27</v>
      </c>
      <c r="B48" s="34" t="s">
        <v>316</v>
      </c>
      <c r="C48" s="35" t="s">
        <v>509</v>
      </c>
      <c r="D48" s="36" t="s">
        <v>19</v>
      </c>
      <c r="E48" s="37">
        <v>650</v>
      </c>
      <c r="F48" s="247"/>
      <c r="G48" s="38">
        <f aca="true" t="shared" si="7" ref="G48:G49">CEILING(E48*F48,1)</f>
        <v>0</v>
      </c>
      <c r="H48" s="39">
        <v>0.0022</v>
      </c>
      <c r="I48" s="39">
        <f>E48*H48</f>
        <v>1.4300000000000002</v>
      </c>
      <c r="J48" s="39">
        <v>0</v>
      </c>
      <c r="K48" s="39">
        <f>E48*J48</f>
        <v>0</v>
      </c>
    </row>
    <row r="49" spans="1:11" s="40" customFormat="1" ht="12.75">
      <c r="A49" s="33">
        <v>28</v>
      </c>
      <c r="B49" s="34" t="s">
        <v>317</v>
      </c>
      <c r="C49" s="35" t="s">
        <v>179</v>
      </c>
      <c r="D49" s="36" t="s">
        <v>87</v>
      </c>
      <c r="E49" s="37">
        <v>0.8</v>
      </c>
      <c r="F49" s="247"/>
      <c r="G49" s="38">
        <f t="shared" si="7"/>
        <v>0</v>
      </c>
      <c r="H49" s="39">
        <v>0</v>
      </c>
      <c r="I49" s="39">
        <f>E49*H49</f>
        <v>0</v>
      </c>
      <c r="J49" s="39">
        <v>0</v>
      </c>
      <c r="K49" s="39">
        <f>E49*J49</f>
        <v>0</v>
      </c>
    </row>
    <row r="50" spans="1:11" s="40" customFormat="1" ht="12.75">
      <c r="A50" s="41"/>
      <c r="B50" s="42" t="s">
        <v>15</v>
      </c>
      <c r="C50" s="43" t="str">
        <f>CONCATENATE(B47," ",C47)</f>
        <v>777 Podlahy ze syntetických hmot</v>
      </c>
      <c r="D50" s="41"/>
      <c r="E50" s="44"/>
      <c r="F50" s="248"/>
      <c r="G50" s="45">
        <f>SUM(G47:G49)</f>
        <v>0</v>
      </c>
      <c r="H50" s="46"/>
      <c r="I50" s="47">
        <f>SUM(I47:I49)</f>
        <v>1.4300000000000002</v>
      </c>
      <c r="J50" s="46"/>
      <c r="K50" s="47">
        <f>SUM(K47:K49)</f>
        <v>0</v>
      </c>
    </row>
    <row r="51" spans="1:11" s="40" customFormat="1" ht="12.75">
      <c r="A51" s="48" t="s">
        <v>13</v>
      </c>
      <c r="B51" s="49" t="s">
        <v>461</v>
      </c>
      <c r="C51" s="50" t="s">
        <v>462</v>
      </c>
      <c r="D51" s="33"/>
      <c r="E51" s="51"/>
      <c r="F51" s="249"/>
      <c r="G51" s="52"/>
      <c r="H51" s="53"/>
      <c r="I51" s="53"/>
      <c r="J51" s="53"/>
      <c r="K51" s="53"/>
    </row>
    <row r="52" spans="1:11" s="40" customFormat="1" ht="12.75">
      <c r="A52" s="33">
        <v>29</v>
      </c>
      <c r="B52" s="34" t="s">
        <v>463</v>
      </c>
      <c r="C52" s="269" t="s">
        <v>507</v>
      </c>
      <c r="D52" s="268" t="s">
        <v>21</v>
      </c>
      <c r="E52" s="37">
        <v>750</v>
      </c>
      <c r="F52" s="247"/>
      <c r="G52" s="38">
        <f aca="true" t="shared" si="8" ref="G52:G60">CEILING(E52*F52,1)</f>
        <v>0</v>
      </c>
      <c r="H52" s="39"/>
      <c r="I52" s="39"/>
      <c r="J52" s="39"/>
      <c r="K52" s="39"/>
    </row>
    <row r="53" spans="1:11" s="40" customFormat="1" ht="12.75">
      <c r="A53" s="33">
        <v>30</v>
      </c>
      <c r="B53" s="34" t="s">
        <v>464</v>
      </c>
      <c r="C53" s="269" t="s">
        <v>508</v>
      </c>
      <c r="D53" s="268" t="s">
        <v>21</v>
      </c>
      <c r="E53" s="37">
        <v>750</v>
      </c>
      <c r="F53" s="247"/>
      <c r="G53" s="38">
        <f t="shared" si="8"/>
        <v>0</v>
      </c>
      <c r="H53" s="39"/>
      <c r="I53" s="39"/>
      <c r="J53" s="39"/>
      <c r="K53" s="39"/>
    </row>
    <row r="54" spans="1:11" s="40" customFormat="1" ht="12.75">
      <c r="A54" s="33">
        <v>31</v>
      </c>
      <c r="B54" s="34" t="s">
        <v>465</v>
      </c>
      <c r="C54" s="269" t="s">
        <v>537</v>
      </c>
      <c r="D54" s="268" t="s">
        <v>14</v>
      </c>
      <c r="E54" s="37">
        <v>2</v>
      </c>
      <c r="F54" s="247"/>
      <c r="G54" s="38">
        <f t="shared" si="8"/>
        <v>0</v>
      </c>
      <c r="H54" s="39"/>
      <c r="I54" s="39"/>
      <c r="J54" s="39"/>
      <c r="K54" s="39"/>
    </row>
    <row r="55" spans="1:11" s="40" customFormat="1" ht="12.75">
      <c r="A55" s="33">
        <v>32</v>
      </c>
      <c r="B55" s="34" t="s">
        <v>466</v>
      </c>
      <c r="C55" s="96" t="s">
        <v>422</v>
      </c>
      <c r="D55" s="36" t="s">
        <v>14</v>
      </c>
      <c r="E55" s="37">
        <v>12</v>
      </c>
      <c r="F55" s="247"/>
      <c r="G55" s="38">
        <f t="shared" si="8"/>
        <v>0</v>
      </c>
      <c r="H55" s="39"/>
      <c r="I55" s="39"/>
      <c r="J55" s="39"/>
      <c r="K55" s="39"/>
    </row>
    <row r="56" spans="1:11" s="40" customFormat="1" ht="12.75">
      <c r="A56" s="33">
        <v>33</v>
      </c>
      <c r="B56" s="34" t="s">
        <v>467</v>
      </c>
      <c r="C56" s="96" t="s">
        <v>423</v>
      </c>
      <c r="D56" s="36" t="s">
        <v>14</v>
      </c>
      <c r="E56" s="37">
        <v>12</v>
      </c>
      <c r="F56" s="247"/>
      <c r="G56" s="38">
        <f t="shared" si="8"/>
        <v>0</v>
      </c>
      <c r="H56" s="39"/>
      <c r="I56" s="39"/>
      <c r="J56" s="39"/>
      <c r="K56" s="39"/>
    </row>
    <row r="57" spans="1:11" s="40" customFormat="1" ht="12.75">
      <c r="A57" s="33">
        <v>34</v>
      </c>
      <c r="B57" s="34" t="s">
        <v>468</v>
      </c>
      <c r="C57" s="96" t="s">
        <v>368</v>
      </c>
      <c r="D57" s="36" t="s">
        <v>83</v>
      </c>
      <c r="E57" s="37">
        <v>1</v>
      </c>
      <c r="F57" s="247"/>
      <c r="G57" s="38">
        <f t="shared" si="8"/>
        <v>0</v>
      </c>
      <c r="H57" s="39"/>
      <c r="I57" s="39"/>
      <c r="J57" s="39"/>
      <c r="K57" s="39"/>
    </row>
    <row r="58" spans="1:11" s="40" customFormat="1" ht="12.75">
      <c r="A58" s="33">
        <v>35</v>
      </c>
      <c r="B58" s="34" t="s">
        <v>469</v>
      </c>
      <c r="C58" s="35" t="s">
        <v>470</v>
      </c>
      <c r="D58" s="36" t="s">
        <v>14</v>
      </c>
      <c r="E58" s="37">
        <v>62</v>
      </c>
      <c r="F58" s="247"/>
      <c r="G58" s="38">
        <f t="shared" si="8"/>
        <v>0</v>
      </c>
      <c r="H58" s="39"/>
      <c r="I58" s="39"/>
      <c r="J58" s="39"/>
      <c r="K58" s="39"/>
    </row>
    <row r="59" spans="1:11" s="40" customFormat="1" ht="25.5">
      <c r="A59" s="33">
        <v>36</v>
      </c>
      <c r="B59" s="34" t="s">
        <v>471</v>
      </c>
      <c r="C59" s="35" t="s">
        <v>522</v>
      </c>
      <c r="D59" s="36" t="s">
        <v>14</v>
      </c>
      <c r="E59" s="37">
        <v>62</v>
      </c>
      <c r="F59" s="247"/>
      <c r="G59" s="38">
        <f t="shared" si="8"/>
        <v>0</v>
      </c>
      <c r="H59" s="39"/>
      <c r="I59" s="39"/>
      <c r="J59" s="39"/>
      <c r="K59" s="39"/>
    </row>
    <row r="60" spans="1:11" s="40" customFormat="1" ht="12.75">
      <c r="A60" s="33">
        <v>37</v>
      </c>
      <c r="B60" s="34" t="s">
        <v>474</v>
      </c>
      <c r="C60" s="35" t="s">
        <v>153</v>
      </c>
      <c r="D60" s="36" t="s">
        <v>14</v>
      </c>
      <c r="E60" s="37">
        <v>4</v>
      </c>
      <c r="F60" s="247"/>
      <c r="G60" s="38">
        <f t="shared" si="8"/>
        <v>0</v>
      </c>
      <c r="H60" s="39"/>
      <c r="I60" s="39"/>
      <c r="J60" s="39"/>
      <c r="K60" s="39"/>
    </row>
    <row r="61" spans="1:11" ht="12.75">
      <c r="A61" s="187"/>
      <c r="B61" s="188" t="s">
        <v>15</v>
      </c>
      <c r="C61" s="189" t="str">
        <f>CONCATENATE(B51," ",C51)</f>
        <v>M21 Elektromontáže</v>
      </c>
      <c r="D61" s="187"/>
      <c r="E61" s="190"/>
      <c r="F61" s="254"/>
      <c r="G61" s="191">
        <f>SUM(G51:G60)</f>
        <v>0</v>
      </c>
      <c r="H61" s="192"/>
      <c r="I61" s="193">
        <f>SUM(I51:I51)</f>
        <v>0</v>
      </c>
      <c r="J61" s="192"/>
      <c r="K61" s="193">
        <f>SUM(K51:K51)</f>
        <v>0</v>
      </c>
    </row>
    <row r="62" spans="1:11" ht="12.75">
      <c r="A62" s="270">
        <v>38</v>
      </c>
      <c r="B62" s="49" t="s">
        <v>31</v>
      </c>
      <c r="C62" s="50" t="s">
        <v>32</v>
      </c>
      <c r="D62" s="33"/>
      <c r="E62" s="51"/>
      <c r="F62" s="249"/>
      <c r="G62" s="52"/>
      <c r="H62" s="53"/>
      <c r="I62" s="53"/>
      <c r="J62" s="53"/>
      <c r="K62" s="53"/>
    </row>
    <row r="63" spans="1:11" ht="12.75">
      <c r="A63" s="271">
        <v>39</v>
      </c>
      <c r="B63" s="34" t="s">
        <v>210</v>
      </c>
      <c r="C63" s="35" t="s">
        <v>33</v>
      </c>
      <c r="D63" s="36" t="s">
        <v>19</v>
      </c>
      <c r="E63" s="37">
        <v>750</v>
      </c>
      <c r="F63" s="247"/>
      <c r="G63" s="38">
        <f aca="true" t="shared" si="9" ref="G63:G65">CEILING(E63*F63,1)</f>
        <v>0</v>
      </c>
      <c r="H63" s="39">
        <v>4E-05</v>
      </c>
      <c r="I63" s="39">
        <f aca="true" t="shared" si="10" ref="I63:I65">E63*H63</f>
        <v>0.030000000000000002</v>
      </c>
      <c r="J63" s="39">
        <v>0</v>
      </c>
      <c r="K63" s="39">
        <f aca="true" t="shared" si="11" ref="K63:K65">E63*J63</f>
        <v>0</v>
      </c>
    </row>
    <row r="64" spans="1:11" ht="12.75">
      <c r="A64" s="271">
        <v>40</v>
      </c>
      <c r="B64" s="34" t="s">
        <v>211</v>
      </c>
      <c r="C64" s="35" t="s">
        <v>34</v>
      </c>
      <c r="D64" s="36" t="s">
        <v>19</v>
      </c>
      <c r="E64" s="37">
        <v>580</v>
      </c>
      <c r="F64" s="247"/>
      <c r="G64" s="38">
        <f t="shared" si="9"/>
        <v>0</v>
      </c>
      <c r="H64" s="39">
        <v>0.00645</v>
      </c>
      <c r="I64" s="39">
        <f t="shared" si="10"/>
        <v>3.741</v>
      </c>
      <c r="J64" s="39">
        <v>0</v>
      </c>
      <c r="K64" s="39">
        <f t="shared" si="11"/>
        <v>0</v>
      </c>
    </row>
    <row r="65" spans="1:11" ht="12.75">
      <c r="A65" s="271">
        <v>41</v>
      </c>
      <c r="B65" s="34" t="s">
        <v>212</v>
      </c>
      <c r="C65" s="35" t="s">
        <v>35</v>
      </c>
      <c r="D65" s="36" t="s">
        <v>19</v>
      </c>
      <c r="E65" s="37">
        <v>1800</v>
      </c>
      <c r="F65" s="247"/>
      <c r="G65" s="38">
        <f t="shared" si="9"/>
        <v>0</v>
      </c>
      <c r="H65" s="39">
        <v>0.00579</v>
      </c>
      <c r="I65" s="39">
        <f t="shared" si="10"/>
        <v>10.422</v>
      </c>
      <c r="J65" s="39">
        <v>0</v>
      </c>
      <c r="K65" s="39">
        <f t="shared" si="11"/>
        <v>0</v>
      </c>
    </row>
    <row r="66" spans="1:11" ht="12.75">
      <c r="A66" s="272"/>
      <c r="B66" s="42" t="s">
        <v>15</v>
      </c>
      <c r="C66" s="43" t="str">
        <f>CONCATENATE(B62," ",C62)</f>
        <v>61 Upravy povrchů vnitřní</v>
      </c>
      <c r="D66" s="41"/>
      <c r="E66" s="44"/>
      <c r="F66" s="248"/>
      <c r="G66" s="45">
        <f>SUM(G62:G65)</f>
        <v>0</v>
      </c>
      <c r="H66" s="46"/>
      <c r="I66" s="47">
        <f>SUM(I62:I65)</f>
        <v>14.193000000000001</v>
      </c>
      <c r="J66" s="46"/>
      <c r="K66" s="47">
        <f>SUM(K62:K65)</f>
        <v>0</v>
      </c>
    </row>
    <row r="67" spans="1:11" ht="12.75">
      <c r="A67" s="48" t="s">
        <v>13</v>
      </c>
      <c r="B67" s="49" t="s">
        <v>192</v>
      </c>
      <c r="C67" s="50" t="s">
        <v>193</v>
      </c>
      <c r="D67" s="33"/>
      <c r="E67" s="51"/>
      <c r="F67" s="249"/>
      <c r="G67" s="52"/>
      <c r="H67" s="53"/>
      <c r="I67" s="53"/>
      <c r="J67" s="53"/>
      <c r="K67" s="53"/>
    </row>
    <row r="68" spans="1:11" ht="12.75">
      <c r="A68" s="33">
        <v>42</v>
      </c>
      <c r="B68" s="34" t="s">
        <v>326</v>
      </c>
      <c r="C68" s="35" t="s">
        <v>194</v>
      </c>
      <c r="D68" s="36" t="s">
        <v>19</v>
      </c>
      <c r="E68" s="37">
        <v>1800</v>
      </c>
      <c r="F68" s="247"/>
      <c r="G68" s="38">
        <f aca="true" t="shared" si="12" ref="G68:G70">CEILING(E68*F68,1)</f>
        <v>0</v>
      </c>
      <c r="H68" s="39">
        <v>7E-05</v>
      </c>
      <c r="I68" s="39">
        <f>E68*H68</f>
        <v>0.126</v>
      </c>
      <c r="J68" s="39">
        <v>0</v>
      </c>
      <c r="K68" s="39">
        <f>E68*J68</f>
        <v>0</v>
      </c>
    </row>
    <row r="69" spans="1:11" ht="12.75">
      <c r="A69" s="33">
        <v>43</v>
      </c>
      <c r="B69" s="34" t="s">
        <v>327</v>
      </c>
      <c r="C69" s="35" t="s">
        <v>195</v>
      </c>
      <c r="D69" s="36" t="s">
        <v>19</v>
      </c>
      <c r="E69" s="37">
        <v>1800</v>
      </c>
      <c r="F69" s="247"/>
      <c r="G69" s="38">
        <f t="shared" si="12"/>
        <v>0</v>
      </c>
      <c r="H69" s="39">
        <v>0.00015</v>
      </c>
      <c r="I69" s="39">
        <f>E69*H69</f>
        <v>0.26999999999999996</v>
      </c>
      <c r="J69" s="39">
        <v>0</v>
      </c>
      <c r="K69" s="39">
        <f>E69*J69</f>
        <v>0</v>
      </c>
    </row>
    <row r="70" spans="1:11" ht="12.75">
      <c r="A70" s="33">
        <v>44</v>
      </c>
      <c r="B70" s="34" t="s">
        <v>328</v>
      </c>
      <c r="C70" s="35" t="s">
        <v>196</v>
      </c>
      <c r="D70" s="36" t="s">
        <v>19</v>
      </c>
      <c r="E70" s="37">
        <v>1800</v>
      </c>
      <c r="F70" s="247"/>
      <c r="G70" s="38">
        <f t="shared" si="12"/>
        <v>0</v>
      </c>
      <c r="H70" s="39">
        <v>0.00016</v>
      </c>
      <c r="I70" s="39">
        <f>E70*H70</f>
        <v>0.28800000000000003</v>
      </c>
      <c r="J70" s="39">
        <v>0</v>
      </c>
      <c r="K70" s="39">
        <f>E70*J70</f>
        <v>0</v>
      </c>
    </row>
    <row r="71" spans="1:11" ht="12.75">
      <c r="A71" s="41"/>
      <c r="B71" s="42" t="s">
        <v>15</v>
      </c>
      <c r="C71" s="43" t="str">
        <f>CONCATENATE(B67," ",C67)</f>
        <v>784 Malby</v>
      </c>
      <c r="D71" s="41"/>
      <c r="E71" s="44"/>
      <c r="F71" s="248"/>
      <c r="G71" s="45">
        <f>SUM(G67:G70)</f>
        <v>0</v>
      </c>
      <c r="H71" s="46"/>
      <c r="I71" s="47">
        <f>SUM(I67:I70)</f>
        <v>0.6839999999999999</v>
      </c>
      <c r="J71" s="46"/>
      <c r="K71" s="47">
        <f>SUM(K67:K70)</f>
        <v>0</v>
      </c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spans="1:7" ht="12.75">
      <c r="A81" s="30"/>
      <c r="B81" s="30"/>
      <c r="C81" s="30"/>
      <c r="D81" s="30"/>
      <c r="E81" s="30"/>
      <c r="F81" s="30"/>
      <c r="G81" s="30"/>
    </row>
    <row r="82" spans="1:7" ht="12.75">
      <c r="A82" s="30"/>
      <c r="B82" s="30"/>
      <c r="C82" s="30"/>
      <c r="D82" s="30"/>
      <c r="E82" s="30"/>
      <c r="F82" s="30"/>
      <c r="G82" s="30"/>
    </row>
    <row r="83" spans="1:7" ht="12.75">
      <c r="A83" s="30"/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spans="1:2" ht="12.75">
      <c r="A110" s="194"/>
      <c r="B110" s="194"/>
    </row>
    <row r="111" spans="1:7" ht="12.75">
      <c r="A111" s="30"/>
      <c r="B111" s="30"/>
      <c r="C111" s="195"/>
      <c r="D111" s="195"/>
      <c r="E111" s="196"/>
      <c r="F111" s="195"/>
      <c r="G111" s="197"/>
    </row>
    <row r="112" spans="1:7" ht="12.75">
      <c r="A112" s="198"/>
      <c r="B112" s="198"/>
      <c r="C112" s="30"/>
      <c r="D112" s="30"/>
      <c r="E112" s="32"/>
      <c r="F112" s="30"/>
      <c r="G112" s="30"/>
    </row>
    <row r="113" spans="1:7" ht="12.75">
      <c r="A113" s="30"/>
      <c r="B113" s="30"/>
      <c r="C113" s="30"/>
      <c r="D113" s="30"/>
      <c r="E113" s="32"/>
      <c r="F113" s="30"/>
      <c r="G113" s="30"/>
    </row>
    <row r="114" spans="1:7" ht="12.75">
      <c r="A114" s="30"/>
      <c r="B114" s="30"/>
      <c r="C114" s="30"/>
      <c r="D114" s="30"/>
      <c r="E114" s="32"/>
      <c r="F114" s="30"/>
      <c r="G114" s="30"/>
    </row>
    <row r="115" spans="1:7" ht="12.75">
      <c r="A115" s="30"/>
      <c r="B115" s="30"/>
      <c r="C115" s="30"/>
      <c r="D115" s="30"/>
      <c r="E115" s="32"/>
      <c r="F115" s="30"/>
      <c r="G115" s="30"/>
    </row>
    <row r="116" spans="1:7" ht="12.75">
      <c r="A116" s="30"/>
      <c r="B116" s="30"/>
      <c r="C116" s="30"/>
      <c r="D116" s="30"/>
      <c r="E116" s="32"/>
      <c r="F116" s="30"/>
      <c r="G116" s="30"/>
    </row>
    <row r="117" spans="1:7" ht="12.75">
      <c r="A117" s="30"/>
      <c r="B117" s="30"/>
      <c r="C117" s="30"/>
      <c r="D117" s="30"/>
      <c r="E117" s="32"/>
      <c r="F117" s="30"/>
      <c r="G117" s="30"/>
    </row>
    <row r="118" spans="1:7" ht="12.75">
      <c r="A118" s="30"/>
      <c r="B118" s="30"/>
      <c r="C118" s="30"/>
      <c r="D118" s="30"/>
      <c r="E118" s="32"/>
      <c r="F118" s="30"/>
      <c r="G118" s="30"/>
    </row>
    <row r="119" spans="1:7" ht="12.75">
      <c r="A119" s="30"/>
      <c r="B119" s="30"/>
      <c r="C119" s="30"/>
      <c r="D119" s="30"/>
      <c r="E119" s="32"/>
      <c r="F119" s="30"/>
      <c r="G119" s="30"/>
    </row>
    <row r="120" spans="1:7" ht="12.75">
      <c r="A120" s="30"/>
      <c r="B120" s="30"/>
      <c r="C120" s="30"/>
      <c r="D120" s="30"/>
      <c r="E120" s="32"/>
      <c r="F120" s="30"/>
      <c r="G120" s="30"/>
    </row>
    <row r="121" spans="1:7" ht="12.75">
      <c r="A121" s="30"/>
      <c r="B121" s="30"/>
      <c r="C121" s="30"/>
      <c r="D121" s="30"/>
      <c r="E121" s="32"/>
      <c r="F121" s="30"/>
      <c r="G121" s="30"/>
    </row>
    <row r="122" spans="1:7" ht="12.75">
      <c r="A122" s="30"/>
      <c r="B122" s="30"/>
      <c r="C122" s="30"/>
      <c r="D122" s="30"/>
      <c r="E122" s="32"/>
      <c r="F122" s="30"/>
      <c r="G122" s="30"/>
    </row>
    <row r="123" spans="1:7" ht="12.75">
      <c r="A123" s="30"/>
      <c r="B123" s="30"/>
      <c r="C123" s="30"/>
      <c r="D123" s="30"/>
      <c r="E123" s="32"/>
      <c r="F123" s="30"/>
      <c r="G123" s="30"/>
    </row>
    <row r="124" spans="1:7" ht="12.75">
      <c r="A124" s="30"/>
      <c r="B124" s="30"/>
      <c r="C124" s="30"/>
      <c r="D124" s="30"/>
      <c r="E124" s="32"/>
      <c r="F124" s="30"/>
      <c r="G124" s="30"/>
    </row>
  </sheetData>
  <mergeCells count="4">
    <mergeCell ref="A1:I1"/>
    <mergeCell ref="A3:B3"/>
    <mergeCell ref="A4:B4"/>
    <mergeCell ref="G4:I4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&amp;C
UK SBZ - Revitalizace ubytování na 12. a 15. NP - Krystal&amp;RPříloha č.9 - výkaz výměr vyhrazené plnění- stavební úpravy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tabSelected="1" view="pageLayout" workbookViewId="0" topLeftCell="A1">
      <selection activeCell="B3" sqref="B3"/>
    </sheetView>
  </sheetViews>
  <sheetFormatPr defaultColWidth="9.00390625" defaultRowHeight="12.75"/>
  <cols>
    <col min="1" max="1" width="6.375" style="154" customWidth="1"/>
    <col min="2" max="2" width="10.625" style="155" customWidth="1"/>
    <col min="3" max="3" width="44.75390625" style="155" bestFit="1" customWidth="1"/>
    <col min="4" max="4" width="5.75390625" style="136" customWidth="1"/>
    <col min="5" max="5" width="7.625" style="156" customWidth="1"/>
    <col min="6" max="6" width="8.75390625" style="156" customWidth="1"/>
    <col min="7" max="7" width="9.75390625" style="155" customWidth="1"/>
    <col min="8" max="8" width="10.25390625" style="157" customWidth="1"/>
    <col min="9" max="9" width="9.125" style="155" customWidth="1"/>
    <col min="257" max="257" width="6.375" style="0" customWidth="1"/>
    <col min="258" max="258" width="7.125" style="0" bestFit="1" customWidth="1"/>
    <col min="259" max="259" width="44.75390625" style="0" bestFit="1" customWidth="1"/>
    <col min="260" max="260" width="5.75390625" style="0" customWidth="1"/>
    <col min="261" max="261" width="7.625" style="0" customWidth="1"/>
    <col min="262" max="262" width="8.75390625" style="0" customWidth="1"/>
    <col min="263" max="263" width="9.75390625" style="0" customWidth="1"/>
    <col min="264" max="264" width="8.25390625" style="0" customWidth="1"/>
    <col min="513" max="513" width="6.375" style="0" customWidth="1"/>
    <col min="514" max="514" width="7.125" style="0" bestFit="1" customWidth="1"/>
    <col min="515" max="515" width="44.75390625" style="0" bestFit="1" customWidth="1"/>
    <col min="516" max="516" width="5.75390625" style="0" customWidth="1"/>
    <col min="517" max="517" width="7.625" style="0" customWidth="1"/>
    <col min="518" max="518" width="8.75390625" style="0" customWidth="1"/>
    <col min="519" max="519" width="9.75390625" style="0" customWidth="1"/>
    <col min="520" max="520" width="8.25390625" style="0" customWidth="1"/>
    <col min="769" max="769" width="6.375" style="0" customWidth="1"/>
    <col min="770" max="770" width="7.125" style="0" bestFit="1" customWidth="1"/>
    <col min="771" max="771" width="44.75390625" style="0" bestFit="1" customWidth="1"/>
    <col min="772" max="772" width="5.75390625" style="0" customWidth="1"/>
    <col min="773" max="773" width="7.625" style="0" customWidth="1"/>
    <col min="774" max="774" width="8.75390625" style="0" customWidth="1"/>
    <col min="775" max="775" width="9.75390625" style="0" customWidth="1"/>
    <col min="776" max="776" width="8.25390625" style="0" customWidth="1"/>
    <col min="1025" max="1025" width="6.375" style="0" customWidth="1"/>
    <col min="1026" max="1026" width="7.125" style="0" bestFit="1" customWidth="1"/>
    <col min="1027" max="1027" width="44.75390625" style="0" bestFit="1" customWidth="1"/>
    <col min="1028" max="1028" width="5.75390625" style="0" customWidth="1"/>
    <col min="1029" max="1029" width="7.625" style="0" customWidth="1"/>
    <col min="1030" max="1030" width="8.75390625" style="0" customWidth="1"/>
    <col min="1031" max="1031" width="9.75390625" style="0" customWidth="1"/>
    <col min="1032" max="1032" width="8.25390625" style="0" customWidth="1"/>
    <col min="1281" max="1281" width="6.375" style="0" customWidth="1"/>
    <col min="1282" max="1282" width="7.125" style="0" bestFit="1" customWidth="1"/>
    <col min="1283" max="1283" width="44.75390625" style="0" bestFit="1" customWidth="1"/>
    <col min="1284" max="1284" width="5.75390625" style="0" customWidth="1"/>
    <col min="1285" max="1285" width="7.625" style="0" customWidth="1"/>
    <col min="1286" max="1286" width="8.75390625" style="0" customWidth="1"/>
    <col min="1287" max="1287" width="9.75390625" style="0" customWidth="1"/>
    <col min="1288" max="1288" width="8.25390625" style="0" customWidth="1"/>
    <col min="1537" max="1537" width="6.375" style="0" customWidth="1"/>
    <col min="1538" max="1538" width="7.125" style="0" bestFit="1" customWidth="1"/>
    <col min="1539" max="1539" width="44.75390625" style="0" bestFit="1" customWidth="1"/>
    <col min="1540" max="1540" width="5.75390625" style="0" customWidth="1"/>
    <col min="1541" max="1541" width="7.625" style="0" customWidth="1"/>
    <col min="1542" max="1542" width="8.75390625" style="0" customWidth="1"/>
    <col min="1543" max="1543" width="9.75390625" style="0" customWidth="1"/>
    <col min="1544" max="1544" width="8.25390625" style="0" customWidth="1"/>
    <col min="1793" max="1793" width="6.375" style="0" customWidth="1"/>
    <col min="1794" max="1794" width="7.125" style="0" bestFit="1" customWidth="1"/>
    <col min="1795" max="1795" width="44.75390625" style="0" bestFit="1" customWidth="1"/>
    <col min="1796" max="1796" width="5.75390625" style="0" customWidth="1"/>
    <col min="1797" max="1797" width="7.625" style="0" customWidth="1"/>
    <col min="1798" max="1798" width="8.75390625" style="0" customWidth="1"/>
    <col min="1799" max="1799" width="9.75390625" style="0" customWidth="1"/>
    <col min="1800" max="1800" width="8.25390625" style="0" customWidth="1"/>
    <col min="2049" max="2049" width="6.375" style="0" customWidth="1"/>
    <col min="2050" max="2050" width="7.125" style="0" bestFit="1" customWidth="1"/>
    <col min="2051" max="2051" width="44.75390625" style="0" bestFit="1" customWidth="1"/>
    <col min="2052" max="2052" width="5.75390625" style="0" customWidth="1"/>
    <col min="2053" max="2053" width="7.625" style="0" customWidth="1"/>
    <col min="2054" max="2054" width="8.75390625" style="0" customWidth="1"/>
    <col min="2055" max="2055" width="9.75390625" style="0" customWidth="1"/>
    <col min="2056" max="2056" width="8.25390625" style="0" customWidth="1"/>
    <col min="2305" max="2305" width="6.375" style="0" customWidth="1"/>
    <col min="2306" max="2306" width="7.125" style="0" bestFit="1" customWidth="1"/>
    <col min="2307" max="2307" width="44.75390625" style="0" bestFit="1" customWidth="1"/>
    <col min="2308" max="2308" width="5.75390625" style="0" customWidth="1"/>
    <col min="2309" max="2309" width="7.625" style="0" customWidth="1"/>
    <col min="2310" max="2310" width="8.75390625" style="0" customWidth="1"/>
    <col min="2311" max="2311" width="9.75390625" style="0" customWidth="1"/>
    <col min="2312" max="2312" width="8.25390625" style="0" customWidth="1"/>
    <col min="2561" max="2561" width="6.375" style="0" customWidth="1"/>
    <col min="2562" max="2562" width="7.125" style="0" bestFit="1" customWidth="1"/>
    <col min="2563" max="2563" width="44.75390625" style="0" bestFit="1" customWidth="1"/>
    <col min="2564" max="2564" width="5.75390625" style="0" customWidth="1"/>
    <col min="2565" max="2565" width="7.625" style="0" customWidth="1"/>
    <col min="2566" max="2566" width="8.75390625" style="0" customWidth="1"/>
    <col min="2567" max="2567" width="9.75390625" style="0" customWidth="1"/>
    <col min="2568" max="2568" width="8.25390625" style="0" customWidth="1"/>
    <col min="2817" max="2817" width="6.375" style="0" customWidth="1"/>
    <col min="2818" max="2818" width="7.125" style="0" bestFit="1" customWidth="1"/>
    <col min="2819" max="2819" width="44.75390625" style="0" bestFit="1" customWidth="1"/>
    <col min="2820" max="2820" width="5.75390625" style="0" customWidth="1"/>
    <col min="2821" max="2821" width="7.625" style="0" customWidth="1"/>
    <col min="2822" max="2822" width="8.75390625" style="0" customWidth="1"/>
    <col min="2823" max="2823" width="9.75390625" style="0" customWidth="1"/>
    <col min="2824" max="2824" width="8.25390625" style="0" customWidth="1"/>
    <col min="3073" max="3073" width="6.375" style="0" customWidth="1"/>
    <col min="3074" max="3074" width="7.125" style="0" bestFit="1" customWidth="1"/>
    <col min="3075" max="3075" width="44.75390625" style="0" bestFit="1" customWidth="1"/>
    <col min="3076" max="3076" width="5.75390625" style="0" customWidth="1"/>
    <col min="3077" max="3077" width="7.625" style="0" customWidth="1"/>
    <col min="3078" max="3078" width="8.75390625" style="0" customWidth="1"/>
    <col min="3079" max="3079" width="9.75390625" style="0" customWidth="1"/>
    <col min="3080" max="3080" width="8.25390625" style="0" customWidth="1"/>
    <col min="3329" max="3329" width="6.375" style="0" customWidth="1"/>
    <col min="3330" max="3330" width="7.125" style="0" bestFit="1" customWidth="1"/>
    <col min="3331" max="3331" width="44.75390625" style="0" bestFit="1" customWidth="1"/>
    <col min="3332" max="3332" width="5.75390625" style="0" customWidth="1"/>
    <col min="3333" max="3333" width="7.625" style="0" customWidth="1"/>
    <col min="3334" max="3334" width="8.75390625" style="0" customWidth="1"/>
    <col min="3335" max="3335" width="9.75390625" style="0" customWidth="1"/>
    <col min="3336" max="3336" width="8.25390625" style="0" customWidth="1"/>
    <col min="3585" max="3585" width="6.375" style="0" customWidth="1"/>
    <col min="3586" max="3586" width="7.125" style="0" bestFit="1" customWidth="1"/>
    <col min="3587" max="3587" width="44.75390625" style="0" bestFit="1" customWidth="1"/>
    <col min="3588" max="3588" width="5.75390625" style="0" customWidth="1"/>
    <col min="3589" max="3589" width="7.625" style="0" customWidth="1"/>
    <col min="3590" max="3590" width="8.75390625" style="0" customWidth="1"/>
    <col min="3591" max="3591" width="9.75390625" style="0" customWidth="1"/>
    <col min="3592" max="3592" width="8.25390625" style="0" customWidth="1"/>
    <col min="3841" max="3841" width="6.375" style="0" customWidth="1"/>
    <col min="3842" max="3842" width="7.125" style="0" bestFit="1" customWidth="1"/>
    <col min="3843" max="3843" width="44.75390625" style="0" bestFit="1" customWidth="1"/>
    <col min="3844" max="3844" width="5.75390625" style="0" customWidth="1"/>
    <col min="3845" max="3845" width="7.625" style="0" customWidth="1"/>
    <col min="3846" max="3846" width="8.75390625" style="0" customWidth="1"/>
    <col min="3847" max="3847" width="9.75390625" style="0" customWidth="1"/>
    <col min="3848" max="3848" width="8.25390625" style="0" customWidth="1"/>
    <col min="4097" max="4097" width="6.375" style="0" customWidth="1"/>
    <col min="4098" max="4098" width="7.125" style="0" bestFit="1" customWidth="1"/>
    <col min="4099" max="4099" width="44.75390625" style="0" bestFit="1" customWidth="1"/>
    <col min="4100" max="4100" width="5.75390625" style="0" customWidth="1"/>
    <col min="4101" max="4101" width="7.625" style="0" customWidth="1"/>
    <col min="4102" max="4102" width="8.75390625" style="0" customWidth="1"/>
    <col min="4103" max="4103" width="9.75390625" style="0" customWidth="1"/>
    <col min="4104" max="4104" width="8.25390625" style="0" customWidth="1"/>
    <col min="4353" max="4353" width="6.375" style="0" customWidth="1"/>
    <col min="4354" max="4354" width="7.125" style="0" bestFit="1" customWidth="1"/>
    <col min="4355" max="4355" width="44.75390625" style="0" bestFit="1" customWidth="1"/>
    <col min="4356" max="4356" width="5.75390625" style="0" customWidth="1"/>
    <col min="4357" max="4357" width="7.625" style="0" customWidth="1"/>
    <col min="4358" max="4358" width="8.75390625" style="0" customWidth="1"/>
    <col min="4359" max="4359" width="9.75390625" style="0" customWidth="1"/>
    <col min="4360" max="4360" width="8.25390625" style="0" customWidth="1"/>
    <col min="4609" max="4609" width="6.375" style="0" customWidth="1"/>
    <col min="4610" max="4610" width="7.125" style="0" bestFit="1" customWidth="1"/>
    <col min="4611" max="4611" width="44.75390625" style="0" bestFit="1" customWidth="1"/>
    <col min="4612" max="4612" width="5.75390625" style="0" customWidth="1"/>
    <col min="4613" max="4613" width="7.625" style="0" customWidth="1"/>
    <col min="4614" max="4614" width="8.75390625" style="0" customWidth="1"/>
    <col min="4615" max="4615" width="9.75390625" style="0" customWidth="1"/>
    <col min="4616" max="4616" width="8.25390625" style="0" customWidth="1"/>
    <col min="4865" max="4865" width="6.375" style="0" customWidth="1"/>
    <col min="4866" max="4866" width="7.125" style="0" bestFit="1" customWidth="1"/>
    <col min="4867" max="4867" width="44.75390625" style="0" bestFit="1" customWidth="1"/>
    <col min="4868" max="4868" width="5.75390625" style="0" customWidth="1"/>
    <col min="4869" max="4869" width="7.625" style="0" customWidth="1"/>
    <col min="4870" max="4870" width="8.75390625" style="0" customWidth="1"/>
    <col min="4871" max="4871" width="9.75390625" style="0" customWidth="1"/>
    <col min="4872" max="4872" width="8.25390625" style="0" customWidth="1"/>
    <col min="5121" max="5121" width="6.375" style="0" customWidth="1"/>
    <col min="5122" max="5122" width="7.125" style="0" bestFit="1" customWidth="1"/>
    <col min="5123" max="5123" width="44.75390625" style="0" bestFit="1" customWidth="1"/>
    <col min="5124" max="5124" width="5.75390625" style="0" customWidth="1"/>
    <col min="5125" max="5125" width="7.625" style="0" customWidth="1"/>
    <col min="5126" max="5126" width="8.75390625" style="0" customWidth="1"/>
    <col min="5127" max="5127" width="9.75390625" style="0" customWidth="1"/>
    <col min="5128" max="5128" width="8.25390625" style="0" customWidth="1"/>
    <col min="5377" max="5377" width="6.375" style="0" customWidth="1"/>
    <col min="5378" max="5378" width="7.125" style="0" bestFit="1" customWidth="1"/>
    <col min="5379" max="5379" width="44.75390625" style="0" bestFit="1" customWidth="1"/>
    <col min="5380" max="5380" width="5.75390625" style="0" customWidth="1"/>
    <col min="5381" max="5381" width="7.625" style="0" customWidth="1"/>
    <col min="5382" max="5382" width="8.75390625" style="0" customWidth="1"/>
    <col min="5383" max="5383" width="9.75390625" style="0" customWidth="1"/>
    <col min="5384" max="5384" width="8.25390625" style="0" customWidth="1"/>
    <col min="5633" max="5633" width="6.375" style="0" customWidth="1"/>
    <col min="5634" max="5634" width="7.125" style="0" bestFit="1" customWidth="1"/>
    <col min="5635" max="5635" width="44.75390625" style="0" bestFit="1" customWidth="1"/>
    <col min="5636" max="5636" width="5.75390625" style="0" customWidth="1"/>
    <col min="5637" max="5637" width="7.625" style="0" customWidth="1"/>
    <col min="5638" max="5638" width="8.75390625" style="0" customWidth="1"/>
    <col min="5639" max="5639" width="9.75390625" style="0" customWidth="1"/>
    <col min="5640" max="5640" width="8.25390625" style="0" customWidth="1"/>
    <col min="5889" max="5889" width="6.375" style="0" customWidth="1"/>
    <col min="5890" max="5890" width="7.125" style="0" bestFit="1" customWidth="1"/>
    <col min="5891" max="5891" width="44.75390625" style="0" bestFit="1" customWidth="1"/>
    <col min="5892" max="5892" width="5.75390625" style="0" customWidth="1"/>
    <col min="5893" max="5893" width="7.625" style="0" customWidth="1"/>
    <col min="5894" max="5894" width="8.75390625" style="0" customWidth="1"/>
    <col min="5895" max="5895" width="9.75390625" style="0" customWidth="1"/>
    <col min="5896" max="5896" width="8.25390625" style="0" customWidth="1"/>
    <col min="6145" max="6145" width="6.375" style="0" customWidth="1"/>
    <col min="6146" max="6146" width="7.125" style="0" bestFit="1" customWidth="1"/>
    <col min="6147" max="6147" width="44.75390625" style="0" bestFit="1" customWidth="1"/>
    <col min="6148" max="6148" width="5.75390625" style="0" customWidth="1"/>
    <col min="6149" max="6149" width="7.625" style="0" customWidth="1"/>
    <col min="6150" max="6150" width="8.75390625" style="0" customWidth="1"/>
    <col min="6151" max="6151" width="9.75390625" style="0" customWidth="1"/>
    <col min="6152" max="6152" width="8.25390625" style="0" customWidth="1"/>
    <col min="6401" max="6401" width="6.375" style="0" customWidth="1"/>
    <col min="6402" max="6402" width="7.125" style="0" bestFit="1" customWidth="1"/>
    <col min="6403" max="6403" width="44.75390625" style="0" bestFit="1" customWidth="1"/>
    <col min="6404" max="6404" width="5.75390625" style="0" customWidth="1"/>
    <col min="6405" max="6405" width="7.625" style="0" customWidth="1"/>
    <col min="6406" max="6406" width="8.75390625" style="0" customWidth="1"/>
    <col min="6407" max="6407" width="9.75390625" style="0" customWidth="1"/>
    <col min="6408" max="6408" width="8.25390625" style="0" customWidth="1"/>
    <col min="6657" max="6657" width="6.375" style="0" customWidth="1"/>
    <col min="6658" max="6658" width="7.125" style="0" bestFit="1" customWidth="1"/>
    <col min="6659" max="6659" width="44.75390625" style="0" bestFit="1" customWidth="1"/>
    <col min="6660" max="6660" width="5.75390625" style="0" customWidth="1"/>
    <col min="6661" max="6661" width="7.625" style="0" customWidth="1"/>
    <col min="6662" max="6662" width="8.75390625" style="0" customWidth="1"/>
    <col min="6663" max="6663" width="9.75390625" style="0" customWidth="1"/>
    <col min="6664" max="6664" width="8.25390625" style="0" customWidth="1"/>
    <col min="6913" max="6913" width="6.375" style="0" customWidth="1"/>
    <col min="6914" max="6914" width="7.125" style="0" bestFit="1" customWidth="1"/>
    <col min="6915" max="6915" width="44.75390625" style="0" bestFit="1" customWidth="1"/>
    <col min="6916" max="6916" width="5.75390625" style="0" customWidth="1"/>
    <col min="6917" max="6917" width="7.625" style="0" customWidth="1"/>
    <col min="6918" max="6918" width="8.75390625" style="0" customWidth="1"/>
    <col min="6919" max="6919" width="9.75390625" style="0" customWidth="1"/>
    <col min="6920" max="6920" width="8.25390625" style="0" customWidth="1"/>
    <col min="7169" max="7169" width="6.375" style="0" customWidth="1"/>
    <col min="7170" max="7170" width="7.125" style="0" bestFit="1" customWidth="1"/>
    <col min="7171" max="7171" width="44.75390625" style="0" bestFit="1" customWidth="1"/>
    <col min="7172" max="7172" width="5.75390625" style="0" customWidth="1"/>
    <col min="7173" max="7173" width="7.625" style="0" customWidth="1"/>
    <col min="7174" max="7174" width="8.75390625" style="0" customWidth="1"/>
    <col min="7175" max="7175" width="9.75390625" style="0" customWidth="1"/>
    <col min="7176" max="7176" width="8.25390625" style="0" customWidth="1"/>
    <col min="7425" max="7425" width="6.375" style="0" customWidth="1"/>
    <col min="7426" max="7426" width="7.125" style="0" bestFit="1" customWidth="1"/>
    <col min="7427" max="7427" width="44.75390625" style="0" bestFit="1" customWidth="1"/>
    <col min="7428" max="7428" width="5.75390625" style="0" customWidth="1"/>
    <col min="7429" max="7429" width="7.625" style="0" customWidth="1"/>
    <col min="7430" max="7430" width="8.75390625" style="0" customWidth="1"/>
    <col min="7431" max="7431" width="9.75390625" style="0" customWidth="1"/>
    <col min="7432" max="7432" width="8.25390625" style="0" customWidth="1"/>
    <col min="7681" max="7681" width="6.375" style="0" customWidth="1"/>
    <col min="7682" max="7682" width="7.125" style="0" bestFit="1" customWidth="1"/>
    <col min="7683" max="7683" width="44.75390625" style="0" bestFit="1" customWidth="1"/>
    <col min="7684" max="7684" width="5.75390625" style="0" customWidth="1"/>
    <col min="7685" max="7685" width="7.625" style="0" customWidth="1"/>
    <col min="7686" max="7686" width="8.75390625" style="0" customWidth="1"/>
    <col min="7687" max="7687" width="9.75390625" style="0" customWidth="1"/>
    <col min="7688" max="7688" width="8.25390625" style="0" customWidth="1"/>
    <col min="7937" max="7937" width="6.375" style="0" customWidth="1"/>
    <col min="7938" max="7938" width="7.125" style="0" bestFit="1" customWidth="1"/>
    <col min="7939" max="7939" width="44.75390625" style="0" bestFit="1" customWidth="1"/>
    <col min="7940" max="7940" width="5.75390625" style="0" customWidth="1"/>
    <col min="7941" max="7941" width="7.625" style="0" customWidth="1"/>
    <col min="7942" max="7942" width="8.75390625" style="0" customWidth="1"/>
    <col min="7943" max="7943" width="9.75390625" style="0" customWidth="1"/>
    <col min="7944" max="7944" width="8.25390625" style="0" customWidth="1"/>
    <col min="8193" max="8193" width="6.375" style="0" customWidth="1"/>
    <col min="8194" max="8194" width="7.125" style="0" bestFit="1" customWidth="1"/>
    <col min="8195" max="8195" width="44.75390625" style="0" bestFit="1" customWidth="1"/>
    <col min="8196" max="8196" width="5.75390625" style="0" customWidth="1"/>
    <col min="8197" max="8197" width="7.625" style="0" customWidth="1"/>
    <col min="8198" max="8198" width="8.75390625" style="0" customWidth="1"/>
    <col min="8199" max="8199" width="9.75390625" style="0" customWidth="1"/>
    <col min="8200" max="8200" width="8.25390625" style="0" customWidth="1"/>
    <col min="8449" max="8449" width="6.375" style="0" customWidth="1"/>
    <col min="8450" max="8450" width="7.125" style="0" bestFit="1" customWidth="1"/>
    <col min="8451" max="8451" width="44.75390625" style="0" bestFit="1" customWidth="1"/>
    <col min="8452" max="8452" width="5.75390625" style="0" customWidth="1"/>
    <col min="8453" max="8453" width="7.625" style="0" customWidth="1"/>
    <col min="8454" max="8454" width="8.75390625" style="0" customWidth="1"/>
    <col min="8455" max="8455" width="9.75390625" style="0" customWidth="1"/>
    <col min="8456" max="8456" width="8.25390625" style="0" customWidth="1"/>
    <col min="8705" max="8705" width="6.375" style="0" customWidth="1"/>
    <col min="8706" max="8706" width="7.125" style="0" bestFit="1" customWidth="1"/>
    <col min="8707" max="8707" width="44.75390625" style="0" bestFit="1" customWidth="1"/>
    <col min="8708" max="8708" width="5.75390625" style="0" customWidth="1"/>
    <col min="8709" max="8709" width="7.625" style="0" customWidth="1"/>
    <col min="8710" max="8710" width="8.75390625" style="0" customWidth="1"/>
    <col min="8711" max="8711" width="9.75390625" style="0" customWidth="1"/>
    <col min="8712" max="8712" width="8.25390625" style="0" customWidth="1"/>
    <col min="8961" max="8961" width="6.375" style="0" customWidth="1"/>
    <col min="8962" max="8962" width="7.125" style="0" bestFit="1" customWidth="1"/>
    <col min="8963" max="8963" width="44.75390625" style="0" bestFit="1" customWidth="1"/>
    <col min="8964" max="8964" width="5.75390625" style="0" customWidth="1"/>
    <col min="8965" max="8965" width="7.625" style="0" customWidth="1"/>
    <col min="8966" max="8966" width="8.75390625" style="0" customWidth="1"/>
    <col min="8967" max="8967" width="9.75390625" style="0" customWidth="1"/>
    <col min="8968" max="8968" width="8.25390625" style="0" customWidth="1"/>
    <col min="9217" max="9217" width="6.375" style="0" customWidth="1"/>
    <col min="9218" max="9218" width="7.125" style="0" bestFit="1" customWidth="1"/>
    <col min="9219" max="9219" width="44.75390625" style="0" bestFit="1" customWidth="1"/>
    <col min="9220" max="9220" width="5.75390625" style="0" customWidth="1"/>
    <col min="9221" max="9221" width="7.625" style="0" customWidth="1"/>
    <col min="9222" max="9222" width="8.75390625" style="0" customWidth="1"/>
    <col min="9223" max="9223" width="9.75390625" style="0" customWidth="1"/>
    <col min="9224" max="9224" width="8.25390625" style="0" customWidth="1"/>
    <col min="9473" max="9473" width="6.375" style="0" customWidth="1"/>
    <col min="9474" max="9474" width="7.125" style="0" bestFit="1" customWidth="1"/>
    <col min="9475" max="9475" width="44.75390625" style="0" bestFit="1" customWidth="1"/>
    <col min="9476" max="9476" width="5.75390625" style="0" customWidth="1"/>
    <col min="9477" max="9477" width="7.625" style="0" customWidth="1"/>
    <col min="9478" max="9478" width="8.75390625" style="0" customWidth="1"/>
    <col min="9479" max="9479" width="9.75390625" style="0" customWidth="1"/>
    <col min="9480" max="9480" width="8.25390625" style="0" customWidth="1"/>
    <col min="9729" max="9729" width="6.375" style="0" customWidth="1"/>
    <col min="9730" max="9730" width="7.125" style="0" bestFit="1" customWidth="1"/>
    <col min="9731" max="9731" width="44.75390625" style="0" bestFit="1" customWidth="1"/>
    <col min="9732" max="9732" width="5.75390625" style="0" customWidth="1"/>
    <col min="9733" max="9733" width="7.625" style="0" customWidth="1"/>
    <col min="9734" max="9734" width="8.75390625" style="0" customWidth="1"/>
    <col min="9735" max="9735" width="9.75390625" style="0" customWidth="1"/>
    <col min="9736" max="9736" width="8.25390625" style="0" customWidth="1"/>
    <col min="9985" max="9985" width="6.375" style="0" customWidth="1"/>
    <col min="9986" max="9986" width="7.125" style="0" bestFit="1" customWidth="1"/>
    <col min="9987" max="9987" width="44.75390625" style="0" bestFit="1" customWidth="1"/>
    <col min="9988" max="9988" width="5.75390625" style="0" customWidth="1"/>
    <col min="9989" max="9989" width="7.625" style="0" customWidth="1"/>
    <col min="9990" max="9990" width="8.75390625" style="0" customWidth="1"/>
    <col min="9991" max="9991" width="9.75390625" style="0" customWidth="1"/>
    <col min="9992" max="9992" width="8.25390625" style="0" customWidth="1"/>
    <col min="10241" max="10241" width="6.375" style="0" customWidth="1"/>
    <col min="10242" max="10242" width="7.125" style="0" bestFit="1" customWidth="1"/>
    <col min="10243" max="10243" width="44.75390625" style="0" bestFit="1" customWidth="1"/>
    <col min="10244" max="10244" width="5.75390625" style="0" customWidth="1"/>
    <col min="10245" max="10245" width="7.625" style="0" customWidth="1"/>
    <col min="10246" max="10246" width="8.75390625" style="0" customWidth="1"/>
    <col min="10247" max="10247" width="9.75390625" style="0" customWidth="1"/>
    <col min="10248" max="10248" width="8.25390625" style="0" customWidth="1"/>
    <col min="10497" max="10497" width="6.375" style="0" customWidth="1"/>
    <col min="10498" max="10498" width="7.125" style="0" bestFit="1" customWidth="1"/>
    <col min="10499" max="10499" width="44.75390625" style="0" bestFit="1" customWidth="1"/>
    <col min="10500" max="10500" width="5.75390625" style="0" customWidth="1"/>
    <col min="10501" max="10501" width="7.625" style="0" customWidth="1"/>
    <col min="10502" max="10502" width="8.75390625" style="0" customWidth="1"/>
    <col min="10503" max="10503" width="9.75390625" style="0" customWidth="1"/>
    <col min="10504" max="10504" width="8.25390625" style="0" customWidth="1"/>
    <col min="10753" max="10753" width="6.375" style="0" customWidth="1"/>
    <col min="10754" max="10754" width="7.125" style="0" bestFit="1" customWidth="1"/>
    <col min="10755" max="10755" width="44.75390625" style="0" bestFit="1" customWidth="1"/>
    <col min="10756" max="10756" width="5.75390625" style="0" customWidth="1"/>
    <col min="10757" max="10757" width="7.625" style="0" customWidth="1"/>
    <col min="10758" max="10758" width="8.75390625" style="0" customWidth="1"/>
    <col min="10759" max="10759" width="9.75390625" style="0" customWidth="1"/>
    <col min="10760" max="10760" width="8.25390625" style="0" customWidth="1"/>
    <col min="11009" max="11009" width="6.375" style="0" customWidth="1"/>
    <col min="11010" max="11010" width="7.125" style="0" bestFit="1" customWidth="1"/>
    <col min="11011" max="11011" width="44.75390625" style="0" bestFit="1" customWidth="1"/>
    <col min="11012" max="11012" width="5.75390625" style="0" customWidth="1"/>
    <col min="11013" max="11013" width="7.625" style="0" customWidth="1"/>
    <col min="11014" max="11014" width="8.75390625" style="0" customWidth="1"/>
    <col min="11015" max="11015" width="9.75390625" style="0" customWidth="1"/>
    <col min="11016" max="11016" width="8.25390625" style="0" customWidth="1"/>
    <col min="11265" max="11265" width="6.375" style="0" customWidth="1"/>
    <col min="11266" max="11266" width="7.125" style="0" bestFit="1" customWidth="1"/>
    <col min="11267" max="11267" width="44.75390625" style="0" bestFit="1" customWidth="1"/>
    <col min="11268" max="11268" width="5.75390625" style="0" customWidth="1"/>
    <col min="11269" max="11269" width="7.625" style="0" customWidth="1"/>
    <col min="11270" max="11270" width="8.75390625" style="0" customWidth="1"/>
    <col min="11271" max="11271" width="9.75390625" style="0" customWidth="1"/>
    <col min="11272" max="11272" width="8.25390625" style="0" customWidth="1"/>
    <col min="11521" max="11521" width="6.375" style="0" customWidth="1"/>
    <col min="11522" max="11522" width="7.125" style="0" bestFit="1" customWidth="1"/>
    <col min="11523" max="11523" width="44.75390625" style="0" bestFit="1" customWidth="1"/>
    <col min="11524" max="11524" width="5.75390625" style="0" customWidth="1"/>
    <col min="11525" max="11525" width="7.625" style="0" customWidth="1"/>
    <col min="11526" max="11526" width="8.75390625" style="0" customWidth="1"/>
    <col min="11527" max="11527" width="9.75390625" style="0" customWidth="1"/>
    <col min="11528" max="11528" width="8.25390625" style="0" customWidth="1"/>
    <col min="11777" max="11777" width="6.375" style="0" customWidth="1"/>
    <col min="11778" max="11778" width="7.125" style="0" bestFit="1" customWidth="1"/>
    <col min="11779" max="11779" width="44.75390625" style="0" bestFit="1" customWidth="1"/>
    <col min="11780" max="11780" width="5.75390625" style="0" customWidth="1"/>
    <col min="11781" max="11781" width="7.625" style="0" customWidth="1"/>
    <col min="11782" max="11782" width="8.75390625" style="0" customWidth="1"/>
    <col min="11783" max="11783" width="9.75390625" style="0" customWidth="1"/>
    <col min="11784" max="11784" width="8.25390625" style="0" customWidth="1"/>
    <col min="12033" max="12033" width="6.375" style="0" customWidth="1"/>
    <col min="12034" max="12034" width="7.125" style="0" bestFit="1" customWidth="1"/>
    <col min="12035" max="12035" width="44.75390625" style="0" bestFit="1" customWidth="1"/>
    <col min="12036" max="12036" width="5.75390625" style="0" customWidth="1"/>
    <col min="12037" max="12037" width="7.625" style="0" customWidth="1"/>
    <col min="12038" max="12038" width="8.75390625" style="0" customWidth="1"/>
    <col min="12039" max="12039" width="9.75390625" style="0" customWidth="1"/>
    <col min="12040" max="12040" width="8.25390625" style="0" customWidth="1"/>
    <col min="12289" max="12289" width="6.375" style="0" customWidth="1"/>
    <col min="12290" max="12290" width="7.125" style="0" bestFit="1" customWidth="1"/>
    <col min="12291" max="12291" width="44.75390625" style="0" bestFit="1" customWidth="1"/>
    <col min="12292" max="12292" width="5.75390625" style="0" customWidth="1"/>
    <col min="12293" max="12293" width="7.625" style="0" customWidth="1"/>
    <col min="12294" max="12294" width="8.75390625" style="0" customWidth="1"/>
    <col min="12295" max="12295" width="9.75390625" style="0" customWidth="1"/>
    <col min="12296" max="12296" width="8.25390625" style="0" customWidth="1"/>
    <col min="12545" max="12545" width="6.375" style="0" customWidth="1"/>
    <col min="12546" max="12546" width="7.125" style="0" bestFit="1" customWidth="1"/>
    <col min="12547" max="12547" width="44.75390625" style="0" bestFit="1" customWidth="1"/>
    <col min="12548" max="12548" width="5.75390625" style="0" customWidth="1"/>
    <col min="12549" max="12549" width="7.625" style="0" customWidth="1"/>
    <col min="12550" max="12550" width="8.75390625" style="0" customWidth="1"/>
    <col min="12551" max="12551" width="9.75390625" style="0" customWidth="1"/>
    <col min="12552" max="12552" width="8.25390625" style="0" customWidth="1"/>
    <col min="12801" max="12801" width="6.375" style="0" customWidth="1"/>
    <col min="12802" max="12802" width="7.125" style="0" bestFit="1" customWidth="1"/>
    <col min="12803" max="12803" width="44.75390625" style="0" bestFit="1" customWidth="1"/>
    <col min="12804" max="12804" width="5.75390625" style="0" customWidth="1"/>
    <col min="12805" max="12805" width="7.625" style="0" customWidth="1"/>
    <col min="12806" max="12806" width="8.75390625" style="0" customWidth="1"/>
    <col min="12807" max="12807" width="9.75390625" style="0" customWidth="1"/>
    <col min="12808" max="12808" width="8.25390625" style="0" customWidth="1"/>
    <col min="13057" max="13057" width="6.375" style="0" customWidth="1"/>
    <col min="13058" max="13058" width="7.125" style="0" bestFit="1" customWidth="1"/>
    <col min="13059" max="13059" width="44.75390625" style="0" bestFit="1" customWidth="1"/>
    <col min="13060" max="13060" width="5.75390625" style="0" customWidth="1"/>
    <col min="13061" max="13061" width="7.625" style="0" customWidth="1"/>
    <col min="13062" max="13062" width="8.75390625" style="0" customWidth="1"/>
    <col min="13063" max="13063" width="9.75390625" style="0" customWidth="1"/>
    <col min="13064" max="13064" width="8.25390625" style="0" customWidth="1"/>
    <col min="13313" max="13313" width="6.375" style="0" customWidth="1"/>
    <col min="13314" max="13314" width="7.125" style="0" bestFit="1" customWidth="1"/>
    <col min="13315" max="13315" width="44.75390625" style="0" bestFit="1" customWidth="1"/>
    <col min="13316" max="13316" width="5.75390625" style="0" customWidth="1"/>
    <col min="13317" max="13317" width="7.625" style="0" customWidth="1"/>
    <col min="13318" max="13318" width="8.75390625" style="0" customWidth="1"/>
    <col min="13319" max="13319" width="9.75390625" style="0" customWidth="1"/>
    <col min="13320" max="13320" width="8.25390625" style="0" customWidth="1"/>
    <col min="13569" max="13569" width="6.375" style="0" customWidth="1"/>
    <col min="13570" max="13570" width="7.125" style="0" bestFit="1" customWidth="1"/>
    <col min="13571" max="13571" width="44.75390625" style="0" bestFit="1" customWidth="1"/>
    <col min="13572" max="13572" width="5.75390625" style="0" customWidth="1"/>
    <col min="13573" max="13573" width="7.625" style="0" customWidth="1"/>
    <col min="13574" max="13574" width="8.75390625" style="0" customWidth="1"/>
    <col min="13575" max="13575" width="9.75390625" style="0" customWidth="1"/>
    <col min="13576" max="13576" width="8.25390625" style="0" customWidth="1"/>
    <col min="13825" max="13825" width="6.375" style="0" customWidth="1"/>
    <col min="13826" max="13826" width="7.125" style="0" bestFit="1" customWidth="1"/>
    <col min="13827" max="13827" width="44.75390625" style="0" bestFit="1" customWidth="1"/>
    <col min="13828" max="13828" width="5.75390625" style="0" customWidth="1"/>
    <col min="13829" max="13829" width="7.625" style="0" customWidth="1"/>
    <col min="13830" max="13830" width="8.75390625" style="0" customWidth="1"/>
    <col min="13831" max="13831" width="9.75390625" style="0" customWidth="1"/>
    <col min="13832" max="13832" width="8.25390625" style="0" customWidth="1"/>
    <col min="14081" max="14081" width="6.375" style="0" customWidth="1"/>
    <col min="14082" max="14082" width="7.125" style="0" bestFit="1" customWidth="1"/>
    <col min="14083" max="14083" width="44.75390625" style="0" bestFit="1" customWidth="1"/>
    <col min="14084" max="14084" width="5.75390625" style="0" customWidth="1"/>
    <col min="14085" max="14085" width="7.625" style="0" customWidth="1"/>
    <col min="14086" max="14086" width="8.75390625" style="0" customWidth="1"/>
    <col min="14087" max="14087" width="9.75390625" style="0" customWidth="1"/>
    <col min="14088" max="14088" width="8.25390625" style="0" customWidth="1"/>
    <col min="14337" max="14337" width="6.375" style="0" customWidth="1"/>
    <col min="14338" max="14338" width="7.125" style="0" bestFit="1" customWidth="1"/>
    <col min="14339" max="14339" width="44.75390625" style="0" bestFit="1" customWidth="1"/>
    <col min="14340" max="14340" width="5.75390625" style="0" customWidth="1"/>
    <col min="14341" max="14341" width="7.625" style="0" customWidth="1"/>
    <col min="14342" max="14342" width="8.75390625" style="0" customWidth="1"/>
    <col min="14343" max="14343" width="9.75390625" style="0" customWidth="1"/>
    <col min="14344" max="14344" width="8.25390625" style="0" customWidth="1"/>
    <col min="14593" max="14593" width="6.375" style="0" customWidth="1"/>
    <col min="14594" max="14594" width="7.125" style="0" bestFit="1" customWidth="1"/>
    <col min="14595" max="14595" width="44.75390625" style="0" bestFit="1" customWidth="1"/>
    <col min="14596" max="14596" width="5.75390625" style="0" customWidth="1"/>
    <col min="14597" max="14597" width="7.625" style="0" customWidth="1"/>
    <col min="14598" max="14598" width="8.75390625" style="0" customWidth="1"/>
    <col min="14599" max="14599" width="9.75390625" style="0" customWidth="1"/>
    <col min="14600" max="14600" width="8.25390625" style="0" customWidth="1"/>
    <col min="14849" max="14849" width="6.375" style="0" customWidth="1"/>
    <col min="14850" max="14850" width="7.125" style="0" bestFit="1" customWidth="1"/>
    <col min="14851" max="14851" width="44.75390625" style="0" bestFit="1" customWidth="1"/>
    <col min="14852" max="14852" width="5.75390625" style="0" customWidth="1"/>
    <col min="14853" max="14853" width="7.625" style="0" customWidth="1"/>
    <col min="14854" max="14854" width="8.75390625" style="0" customWidth="1"/>
    <col min="14855" max="14855" width="9.75390625" style="0" customWidth="1"/>
    <col min="14856" max="14856" width="8.25390625" style="0" customWidth="1"/>
    <col min="15105" max="15105" width="6.375" style="0" customWidth="1"/>
    <col min="15106" max="15106" width="7.125" style="0" bestFit="1" customWidth="1"/>
    <col min="15107" max="15107" width="44.75390625" style="0" bestFit="1" customWidth="1"/>
    <col min="15108" max="15108" width="5.75390625" style="0" customWidth="1"/>
    <col min="15109" max="15109" width="7.625" style="0" customWidth="1"/>
    <col min="15110" max="15110" width="8.75390625" style="0" customWidth="1"/>
    <col min="15111" max="15111" width="9.75390625" style="0" customWidth="1"/>
    <col min="15112" max="15112" width="8.25390625" style="0" customWidth="1"/>
    <col min="15361" max="15361" width="6.375" style="0" customWidth="1"/>
    <col min="15362" max="15362" width="7.125" style="0" bestFit="1" customWidth="1"/>
    <col min="15363" max="15363" width="44.75390625" style="0" bestFit="1" customWidth="1"/>
    <col min="15364" max="15364" width="5.75390625" style="0" customWidth="1"/>
    <col min="15365" max="15365" width="7.625" style="0" customWidth="1"/>
    <col min="15366" max="15366" width="8.75390625" style="0" customWidth="1"/>
    <col min="15367" max="15367" width="9.75390625" style="0" customWidth="1"/>
    <col min="15368" max="15368" width="8.25390625" style="0" customWidth="1"/>
    <col min="15617" max="15617" width="6.375" style="0" customWidth="1"/>
    <col min="15618" max="15618" width="7.125" style="0" bestFit="1" customWidth="1"/>
    <col min="15619" max="15619" width="44.75390625" style="0" bestFit="1" customWidth="1"/>
    <col min="15620" max="15620" width="5.75390625" style="0" customWidth="1"/>
    <col min="15621" max="15621" width="7.625" style="0" customWidth="1"/>
    <col min="15622" max="15622" width="8.75390625" style="0" customWidth="1"/>
    <col min="15623" max="15623" width="9.75390625" style="0" customWidth="1"/>
    <col min="15624" max="15624" width="8.25390625" style="0" customWidth="1"/>
    <col min="15873" max="15873" width="6.375" style="0" customWidth="1"/>
    <col min="15874" max="15874" width="7.125" style="0" bestFit="1" customWidth="1"/>
    <col min="15875" max="15875" width="44.75390625" style="0" bestFit="1" customWidth="1"/>
    <col min="15876" max="15876" width="5.75390625" style="0" customWidth="1"/>
    <col min="15877" max="15877" width="7.625" style="0" customWidth="1"/>
    <col min="15878" max="15878" width="8.75390625" style="0" customWidth="1"/>
    <col min="15879" max="15879" width="9.75390625" style="0" customWidth="1"/>
    <col min="15880" max="15880" width="8.25390625" style="0" customWidth="1"/>
    <col min="16129" max="16129" width="6.375" style="0" customWidth="1"/>
    <col min="16130" max="16130" width="7.125" style="0" bestFit="1" customWidth="1"/>
    <col min="16131" max="16131" width="44.75390625" style="0" bestFit="1" customWidth="1"/>
    <col min="16132" max="16132" width="5.75390625" style="0" customWidth="1"/>
    <col min="16133" max="16133" width="7.625" style="0" customWidth="1"/>
    <col min="16134" max="16134" width="8.75390625" style="0" customWidth="1"/>
    <col min="16135" max="16135" width="9.75390625" style="0" customWidth="1"/>
    <col min="16136" max="16136" width="8.25390625" style="0" customWidth="1"/>
  </cols>
  <sheetData>
    <row r="1" spans="1:8" s="7" customFormat="1" ht="13.5" thickTop="1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8" s="7" customFormat="1" ht="13.5" thickBot="1">
      <c r="A2" s="355" t="s">
        <v>0</v>
      </c>
      <c r="B2" s="356"/>
      <c r="C2" s="4" t="s">
        <v>812</v>
      </c>
      <c r="D2" s="5"/>
      <c r="E2" s="6"/>
      <c r="F2" s="357"/>
      <c r="G2" s="357"/>
      <c r="H2" s="358"/>
    </row>
    <row r="3" spans="1:9" s="63" customFormat="1" ht="15.75" thickTop="1">
      <c r="A3" s="64"/>
      <c r="B3" s="65"/>
      <c r="C3" s="68" t="s">
        <v>332</v>
      </c>
      <c r="D3" s="65"/>
      <c r="E3" s="65"/>
      <c r="F3" s="65"/>
      <c r="G3" s="66"/>
      <c r="H3" s="67"/>
      <c r="I3" s="62"/>
    </row>
    <row r="4" spans="1:9" s="63" customFormat="1" ht="12.75" thickBot="1">
      <c r="A4" s="69"/>
      <c r="B4" s="70"/>
      <c r="C4" s="70"/>
      <c r="D4" s="70"/>
      <c r="E4" s="70"/>
      <c r="F4" s="70"/>
      <c r="G4" s="71"/>
      <c r="H4" s="72"/>
      <c r="I4" s="62"/>
    </row>
    <row r="5" spans="1:9" s="80" customFormat="1" ht="11.25">
      <c r="A5" s="73" t="s">
        <v>333</v>
      </c>
      <c r="B5" s="74" t="s">
        <v>334</v>
      </c>
      <c r="C5" s="75" t="s">
        <v>335</v>
      </c>
      <c r="D5" s="76"/>
      <c r="E5" s="74" t="s">
        <v>336</v>
      </c>
      <c r="F5" s="74" t="s">
        <v>337</v>
      </c>
      <c r="G5" s="77" t="s">
        <v>338</v>
      </c>
      <c r="H5" s="78"/>
      <c r="I5" s="79"/>
    </row>
    <row r="6" spans="1:9" s="80" customFormat="1" ht="11.25">
      <c r="A6" s="81" t="s">
        <v>339</v>
      </c>
      <c r="B6" s="82" t="s">
        <v>340</v>
      </c>
      <c r="C6" s="83"/>
      <c r="D6" s="84"/>
      <c r="E6" s="82" t="s">
        <v>341</v>
      </c>
      <c r="F6" s="82" t="s">
        <v>342</v>
      </c>
      <c r="G6" s="82" t="s">
        <v>343</v>
      </c>
      <c r="H6" s="85" t="s">
        <v>344</v>
      </c>
      <c r="I6" s="79"/>
    </row>
    <row r="7" spans="1:9" s="80" customFormat="1" ht="12.75">
      <c r="A7" s="86">
        <v>1</v>
      </c>
      <c r="B7" s="87"/>
      <c r="C7" s="88" t="s">
        <v>345</v>
      </c>
      <c r="D7" s="87"/>
      <c r="E7" s="89"/>
      <c r="F7" s="89"/>
      <c r="G7" s="87"/>
      <c r="H7" s="90"/>
      <c r="I7" s="79"/>
    </row>
    <row r="8" spans="1:9" s="80" customFormat="1" ht="12.75">
      <c r="A8" s="91"/>
      <c r="B8" s="92"/>
      <c r="C8" s="93"/>
      <c r="D8" s="92"/>
      <c r="E8" s="92"/>
      <c r="F8" s="92"/>
      <c r="G8" s="163"/>
      <c r="H8" s="94"/>
      <c r="I8" s="79"/>
    </row>
    <row r="9" spans="1:9" s="80" customFormat="1" ht="24">
      <c r="A9" s="95" t="s">
        <v>346</v>
      </c>
      <c r="B9" s="92" t="s">
        <v>347</v>
      </c>
      <c r="C9" s="96" t="s">
        <v>477</v>
      </c>
      <c r="D9" s="92"/>
      <c r="E9" s="97" t="s">
        <v>14</v>
      </c>
      <c r="F9" s="96">
        <v>2</v>
      </c>
      <c r="G9" s="255"/>
      <c r="H9" s="162">
        <f aca="true" t="shared" si="0" ref="H9:H21">F9*G9</f>
        <v>0</v>
      </c>
      <c r="I9" s="79"/>
    </row>
    <row r="10" spans="1:9" s="80" customFormat="1" ht="36">
      <c r="A10" s="95" t="s">
        <v>348</v>
      </c>
      <c r="B10" s="92" t="s">
        <v>349</v>
      </c>
      <c r="C10" s="96" t="s">
        <v>350</v>
      </c>
      <c r="D10" s="92"/>
      <c r="E10" s="97" t="s">
        <v>14</v>
      </c>
      <c r="F10" s="96">
        <v>1</v>
      </c>
      <c r="G10" s="255"/>
      <c r="H10" s="162">
        <f t="shared" si="0"/>
        <v>0</v>
      </c>
      <c r="I10" s="79"/>
    </row>
    <row r="11" spans="1:9" s="80" customFormat="1" ht="24">
      <c r="A11" s="95" t="s">
        <v>351</v>
      </c>
      <c r="B11" s="92" t="s">
        <v>352</v>
      </c>
      <c r="C11" s="96" t="s">
        <v>353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6">
      <c r="A12" s="95" t="s">
        <v>354</v>
      </c>
      <c r="B12" s="92" t="s">
        <v>355</v>
      </c>
      <c r="C12" s="96" t="s">
        <v>356</v>
      </c>
      <c r="D12" s="92"/>
      <c r="E12" s="97" t="s">
        <v>14</v>
      </c>
      <c r="F12" s="96">
        <v>2</v>
      </c>
      <c r="G12" s="255"/>
      <c r="H12" s="162">
        <f t="shared" si="0"/>
        <v>0</v>
      </c>
      <c r="I12" s="79"/>
    </row>
    <row r="13" spans="1:9" s="80" customFormat="1" ht="12.75">
      <c r="A13" s="95" t="s">
        <v>357</v>
      </c>
      <c r="B13" s="98"/>
      <c r="C13" s="96" t="s">
        <v>421</v>
      </c>
      <c r="D13" s="99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101" customFormat="1" ht="12.75">
      <c r="A14" s="95" t="s">
        <v>358</v>
      </c>
      <c r="B14" s="98"/>
      <c r="C14" s="96" t="s">
        <v>422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100"/>
    </row>
    <row r="15" spans="1:9" s="101" customFormat="1" ht="12.75">
      <c r="A15" s="95" t="s">
        <v>359</v>
      </c>
      <c r="B15" s="98"/>
      <c r="C15" s="96"/>
      <c r="D15" s="99"/>
      <c r="E15" s="97" t="s">
        <v>14</v>
      </c>
      <c r="F15" s="96">
        <v>1</v>
      </c>
      <c r="G15" s="255"/>
      <c r="H15" s="162">
        <f t="shared" si="0"/>
        <v>0</v>
      </c>
      <c r="I15" s="100"/>
    </row>
    <row r="16" spans="1:9" s="101" customFormat="1" ht="12.75">
      <c r="A16" s="95" t="s">
        <v>360</v>
      </c>
      <c r="B16" s="98"/>
      <c r="C16" s="96" t="s">
        <v>361</v>
      </c>
      <c r="D16" s="99"/>
      <c r="E16" s="97" t="s">
        <v>14</v>
      </c>
      <c r="F16" s="96">
        <v>1</v>
      </c>
      <c r="G16" s="255"/>
      <c r="H16" s="162">
        <f t="shared" si="0"/>
        <v>0</v>
      </c>
      <c r="I16" s="100"/>
    </row>
    <row r="17" spans="1:9" s="101" customFormat="1" ht="12.75">
      <c r="A17" s="95" t="s">
        <v>362</v>
      </c>
      <c r="B17" s="98"/>
      <c r="C17" s="96" t="s">
        <v>423</v>
      </c>
      <c r="D17" s="99"/>
      <c r="E17" s="97" t="s">
        <v>14</v>
      </c>
      <c r="F17" s="96">
        <v>10</v>
      </c>
      <c r="G17" s="255"/>
      <c r="H17" s="162">
        <f t="shared" si="0"/>
        <v>0</v>
      </c>
      <c r="I17" s="100"/>
    </row>
    <row r="18" spans="1:9" s="101" customFormat="1" ht="24">
      <c r="A18" s="95" t="s">
        <v>363</v>
      </c>
      <c r="B18" s="98"/>
      <c r="C18" s="96" t="s">
        <v>424</v>
      </c>
      <c r="D18" s="102"/>
      <c r="E18" s="103" t="s">
        <v>14</v>
      </c>
      <c r="F18" s="104">
        <v>1</v>
      </c>
      <c r="G18" s="255"/>
      <c r="H18" s="162">
        <f t="shared" si="0"/>
        <v>0</v>
      </c>
      <c r="I18" s="100"/>
    </row>
    <row r="19" spans="1:9" s="101" customFormat="1" ht="12.75">
      <c r="A19" s="95" t="s">
        <v>364</v>
      </c>
      <c r="B19" s="98"/>
      <c r="C19" s="96" t="s">
        <v>425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00"/>
    </row>
    <row r="20" spans="1:9" s="101" customFormat="1" ht="12.75">
      <c r="A20" s="95" t="s">
        <v>365</v>
      </c>
      <c r="B20" s="98"/>
      <c r="C20" s="96" t="s">
        <v>366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00"/>
    </row>
    <row r="21" spans="1:9" s="101" customFormat="1" ht="12.75">
      <c r="A21" s="95" t="s">
        <v>367</v>
      </c>
      <c r="B21" s="98"/>
      <c r="C21" s="96" t="s">
        <v>368</v>
      </c>
      <c r="D21" s="99"/>
      <c r="E21" s="97" t="s">
        <v>83</v>
      </c>
      <c r="F21" s="96">
        <v>1</v>
      </c>
      <c r="G21" s="255"/>
      <c r="H21" s="162">
        <f t="shared" si="0"/>
        <v>0</v>
      </c>
      <c r="I21" s="100"/>
    </row>
    <row r="22" spans="1:9" s="101" customFormat="1" ht="12.75">
      <c r="A22" s="105"/>
      <c r="B22" s="98"/>
      <c r="C22" s="96"/>
      <c r="D22" s="99"/>
      <c r="E22" s="96"/>
      <c r="F22" s="96"/>
      <c r="G22" s="255"/>
      <c r="H22" s="162" t="str">
        <f>IF(AND(F22&gt;0,G22&gt;0),ROUND(F22*G22,0)," ")</f>
        <v xml:space="preserve"> </v>
      </c>
      <c r="I22" s="100"/>
    </row>
    <row r="23" spans="1:9" s="101" customFormat="1" ht="12.75">
      <c r="A23" s="95" t="s">
        <v>369</v>
      </c>
      <c r="B23" s="98"/>
      <c r="C23" s="106" t="s">
        <v>370</v>
      </c>
      <c r="D23" s="99"/>
      <c r="E23" s="96"/>
      <c r="F23" s="96"/>
      <c r="G23" s="255"/>
      <c r="H23" s="162" t="str">
        <f>IF(AND(F23&gt;0,G23&gt;0),ROUND(F23*G23,0)," ")</f>
        <v xml:space="preserve"> </v>
      </c>
      <c r="I23" s="100"/>
    </row>
    <row r="24" spans="1:9" s="101" customFormat="1" ht="12.75">
      <c r="A24" s="95"/>
      <c r="B24" s="98"/>
      <c r="C24" s="106"/>
      <c r="D24" s="99"/>
      <c r="E24" s="96"/>
      <c r="F24" s="96"/>
      <c r="G24" s="255"/>
      <c r="H24" s="162"/>
      <c r="I24" s="100"/>
    </row>
    <row r="25" spans="1:9" s="101" customFormat="1" ht="12.75">
      <c r="A25" s="95" t="s">
        <v>371</v>
      </c>
      <c r="B25" s="98"/>
      <c r="C25" s="96" t="s">
        <v>372</v>
      </c>
      <c r="D25" s="99"/>
      <c r="E25" s="97" t="s">
        <v>21</v>
      </c>
      <c r="F25" s="104">
        <v>25</v>
      </c>
      <c r="G25" s="255"/>
      <c r="H25" s="162">
        <f>F25*G25</f>
        <v>0</v>
      </c>
      <c r="I25" s="100"/>
    </row>
    <row r="26" spans="1:9" s="101" customFormat="1" ht="12.75">
      <c r="A26" s="95" t="s">
        <v>373</v>
      </c>
      <c r="B26" s="98"/>
      <c r="C26" s="96" t="s">
        <v>374</v>
      </c>
      <c r="D26" s="99"/>
      <c r="E26" s="97" t="s">
        <v>14</v>
      </c>
      <c r="F26" s="104">
        <v>1</v>
      </c>
      <c r="G26" s="255"/>
      <c r="H26" s="162">
        <f aca="true" t="shared" si="1" ref="H26:H42">F26*G26</f>
        <v>0</v>
      </c>
      <c r="I26" s="100"/>
    </row>
    <row r="27" spans="1:9" s="101" customFormat="1" ht="12.75">
      <c r="A27" s="95" t="s">
        <v>375</v>
      </c>
      <c r="B27" s="98"/>
      <c r="C27" s="96" t="s">
        <v>376</v>
      </c>
      <c r="D27" s="99"/>
      <c r="E27" s="97" t="s">
        <v>14</v>
      </c>
      <c r="F27" s="104">
        <f>SUM(F13:F14,F17:F19)</f>
        <v>16</v>
      </c>
      <c r="G27" s="255"/>
      <c r="H27" s="162">
        <f t="shared" si="1"/>
        <v>0</v>
      </c>
      <c r="I27" s="100"/>
    </row>
    <row r="28" spans="1:9" s="101" customFormat="1" ht="12.75">
      <c r="A28" s="95" t="s">
        <v>377</v>
      </c>
      <c r="B28" s="98"/>
      <c r="C28" s="96" t="s">
        <v>378</v>
      </c>
      <c r="D28" s="99"/>
      <c r="E28" s="97" t="s">
        <v>21</v>
      </c>
      <c r="F28" s="104">
        <v>15</v>
      </c>
      <c r="G28" s="255"/>
      <c r="H28" s="162">
        <f t="shared" si="1"/>
        <v>0</v>
      </c>
      <c r="I28" s="100"/>
    </row>
    <row r="29" spans="1:9" s="101" customFormat="1" ht="12.75">
      <c r="A29" s="95" t="s">
        <v>379</v>
      </c>
      <c r="B29" s="98"/>
      <c r="C29" s="96" t="s">
        <v>380</v>
      </c>
      <c r="D29" s="99"/>
      <c r="E29" s="97" t="s">
        <v>21</v>
      </c>
      <c r="F29" s="104">
        <v>30</v>
      </c>
      <c r="G29" s="255"/>
      <c r="H29" s="162">
        <f t="shared" si="1"/>
        <v>0</v>
      </c>
      <c r="I29" s="100"/>
    </row>
    <row r="30" spans="1:9" s="101" customFormat="1" ht="12.75">
      <c r="A30" s="95" t="s">
        <v>381</v>
      </c>
      <c r="B30" s="98"/>
      <c r="C30" s="96" t="s">
        <v>382</v>
      </c>
      <c r="D30" s="99"/>
      <c r="E30" s="97" t="s">
        <v>21</v>
      </c>
      <c r="F30" s="104">
        <v>10</v>
      </c>
      <c r="G30" s="255"/>
      <c r="H30" s="162">
        <f t="shared" si="1"/>
        <v>0</v>
      </c>
      <c r="I30" s="100"/>
    </row>
    <row r="31" spans="1:9" s="101" customFormat="1" ht="12.75">
      <c r="A31" s="95" t="s">
        <v>383</v>
      </c>
      <c r="B31" s="98"/>
      <c r="C31" s="96" t="s">
        <v>384</v>
      </c>
      <c r="D31" s="99"/>
      <c r="E31" s="97" t="s">
        <v>21</v>
      </c>
      <c r="F31" s="104">
        <v>20</v>
      </c>
      <c r="G31" s="255"/>
      <c r="H31" s="162">
        <f t="shared" si="1"/>
        <v>0</v>
      </c>
      <c r="I31" s="100"/>
    </row>
    <row r="32" spans="1:9" s="101" customFormat="1" ht="12.75">
      <c r="A32" s="95" t="s">
        <v>385</v>
      </c>
      <c r="B32" s="98"/>
      <c r="C32" s="96" t="s">
        <v>386</v>
      </c>
      <c r="D32" s="99"/>
      <c r="E32" s="97" t="s">
        <v>21</v>
      </c>
      <c r="F32" s="104">
        <v>30</v>
      </c>
      <c r="G32" s="255"/>
      <c r="H32" s="162">
        <f t="shared" si="1"/>
        <v>0</v>
      </c>
      <c r="I32" s="100"/>
    </row>
    <row r="33" spans="1:9" s="101" customFormat="1" ht="12.75">
      <c r="A33" s="95" t="s">
        <v>387</v>
      </c>
      <c r="B33" s="98"/>
      <c r="C33" s="96" t="s">
        <v>388</v>
      </c>
      <c r="D33" s="99"/>
      <c r="E33" s="97" t="s">
        <v>21</v>
      </c>
      <c r="F33" s="104">
        <v>40</v>
      </c>
      <c r="G33" s="255"/>
      <c r="H33" s="162">
        <f t="shared" si="1"/>
        <v>0</v>
      </c>
      <c r="I33" s="100"/>
    </row>
    <row r="34" spans="1:9" s="101" customFormat="1" ht="12.75">
      <c r="A34" s="95" t="s">
        <v>389</v>
      </c>
      <c r="B34" s="98"/>
      <c r="C34" s="96" t="s">
        <v>390</v>
      </c>
      <c r="D34" s="99"/>
      <c r="E34" s="97" t="s">
        <v>21</v>
      </c>
      <c r="F34" s="104">
        <v>10</v>
      </c>
      <c r="G34" s="255"/>
      <c r="H34" s="162">
        <f t="shared" si="1"/>
        <v>0</v>
      </c>
      <c r="I34" s="100"/>
    </row>
    <row r="35" spans="1:9" s="101" customFormat="1" ht="48">
      <c r="A35" s="95" t="s">
        <v>391</v>
      </c>
      <c r="B35" s="98"/>
      <c r="C35" s="96" t="s">
        <v>800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00"/>
    </row>
    <row r="36" spans="1:9" s="101" customFormat="1" ht="24">
      <c r="A36" s="95" t="s">
        <v>392</v>
      </c>
      <c r="B36" s="98"/>
      <c r="C36" s="96" t="s">
        <v>801</v>
      </c>
      <c r="D36" s="99"/>
      <c r="E36" s="97" t="s">
        <v>14</v>
      </c>
      <c r="F36" s="104">
        <v>15</v>
      </c>
      <c r="G36" s="255"/>
      <c r="H36" s="162">
        <f t="shared" si="1"/>
        <v>0</v>
      </c>
      <c r="I36" s="100"/>
    </row>
    <row r="37" spans="1:9" s="101" customFormat="1" ht="12.75">
      <c r="A37" s="95" t="s">
        <v>393</v>
      </c>
      <c r="B37" s="98"/>
      <c r="C37" s="96"/>
      <c r="D37" s="99"/>
      <c r="E37" s="97" t="s">
        <v>14</v>
      </c>
      <c r="F37" s="104">
        <v>0</v>
      </c>
      <c r="G37" s="255"/>
      <c r="H37" s="162">
        <f t="shared" si="1"/>
        <v>0</v>
      </c>
      <c r="I37" s="100"/>
    </row>
    <row r="38" spans="1:9" s="101" customFormat="1" ht="12.75">
      <c r="A38" s="95" t="s">
        <v>394</v>
      </c>
      <c r="B38" s="98"/>
      <c r="C38" s="96" t="s">
        <v>562</v>
      </c>
      <c r="D38" s="99"/>
      <c r="E38" s="97" t="s">
        <v>83</v>
      </c>
      <c r="F38" s="104">
        <v>1</v>
      </c>
      <c r="G38" s="255"/>
      <c r="H38" s="162">
        <f t="shared" si="1"/>
        <v>0</v>
      </c>
      <c r="I38" s="100"/>
    </row>
    <row r="39" spans="1:9" s="101" customFormat="1" ht="12.75">
      <c r="A39" s="95" t="s">
        <v>395</v>
      </c>
      <c r="B39" s="98"/>
      <c r="C39" s="107" t="s">
        <v>396</v>
      </c>
      <c r="D39" s="99"/>
      <c r="E39" s="103" t="s">
        <v>83</v>
      </c>
      <c r="F39" s="104">
        <v>1</v>
      </c>
      <c r="G39" s="256"/>
      <c r="H39" s="162">
        <f t="shared" si="1"/>
        <v>0</v>
      </c>
      <c r="I39" s="100"/>
    </row>
    <row r="40" spans="1:9" s="101" customFormat="1" ht="12.75">
      <c r="A40" s="95" t="s">
        <v>397</v>
      </c>
      <c r="B40" s="98"/>
      <c r="C40" s="107" t="s">
        <v>398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00"/>
    </row>
    <row r="41" spans="1:9" s="101" customFormat="1" ht="12.75">
      <c r="A41" s="95" t="s">
        <v>399</v>
      </c>
      <c r="B41" s="98"/>
      <c r="C41" s="107" t="s">
        <v>400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00"/>
    </row>
    <row r="42" spans="1:9" s="101" customFormat="1" ht="12.75">
      <c r="A42" s="95" t="s">
        <v>401</v>
      </c>
      <c r="B42" s="98"/>
      <c r="C42" s="96" t="s">
        <v>368</v>
      </c>
      <c r="D42" s="99"/>
      <c r="E42" s="97" t="s">
        <v>83</v>
      </c>
      <c r="F42" s="96">
        <v>1</v>
      </c>
      <c r="G42" s="255"/>
      <c r="H42" s="162">
        <f t="shared" si="1"/>
        <v>0</v>
      </c>
      <c r="I42" s="100"/>
    </row>
    <row r="43" spans="1:9" s="101" customFormat="1" ht="12.75">
      <c r="A43" s="95"/>
      <c r="B43" s="98"/>
      <c r="C43" s="96"/>
      <c r="D43" s="99"/>
      <c r="E43" s="108"/>
      <c r="F43" s="104"/>
      <c r="G43" s="255"/>
      <c r="H43" s="162" t="str">
        <f>IF(AND(F43&gt;0,G43&gt;0),ROUND(F43*G43,0)," ")</f>
        <v xml:space="preserve"> </v>
      </c>
      <c r="I43" s="100"/>
    </row>
    <row r="44" spans="1:9" s="101" customFormat="1" ht="12.75">
      <c r="A44" s="95" t="s">
        <v>16</v>
      </c>
      <c r="B44" s="98"/>
      <c r="C44" s="109" t="s">
        <v>402</v>
      </c>
      <c r="D44" s="99"/>
      <c r="E44" s="108"/>
      <c r="F44" s="104"/>
      <c r="G44" s="255"/>
      <c r="H44" s="162" t="str">
        <f>IF(AND(F44&gt;0,G44&gt;0),ROUND(F44*G44,0)," ")</f>
        <v xml:space="preserve"> </v>
      </c>
      <c r="I44" s="100"/>
    </row>
    <row r="45" spans="1:9" s="101" customFormat="1" ht="12.75">
      <c r="A45" s="95"/>
      <c r="B45" s="98"/>
      <c r="C45" s="109"/>
      <c r="D45" s="99"/>
      <c r="E45" s="108"/>
      <c r="F45" s="104"/>
      <c r="G45" s="255"/>
      <c r="H45" s="162"/>
      <c r="I45" s="100"/>
    </row>
    <row r="46" spans="1:9" s="101" customFormat="1" ht="242.25">
      <c r="A46" s="110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00"/>
    </row>
    <row r="47" spans="1:9" s="101" customFormat="1" ht="12.75">
      <c r="A47" s="110" t="s">
        <v>404</v>
      </c>
      <c r="B47" s="113"/>
      <c r="C47" s="114" t="s">
        <v>405</v>
      </c>
      <c r="D47" s="115"/>
      <c r="E47" s="116" t="s">
        <v>14</v>
      </c>
      <c r="F47" s="117">
        <v>1</v>
      </c>
      <c r="G47" s="258"/>
      <c r="H47" s="164" t="str">
        <f aca="true" t="shared" si="2" ref="H47:H53">IF(AND(F47&gt;0,G47&gt;0),ROUND(F47*G47,0)," ")</f>
        <v xml:space="preserve"> </v>
      </c>
      <c r="I47" s="100"/>
    </row>
    <row r="48" spans="1:9" s="101" customFormat="1" ht="12.75">
      <c r="A48" s="110" t="s">
        <v>406</v>
      </c>
      <c r="B48" s="113"/>
      <c r="C48" s="114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00"/>
    </row>
    <row r="49" spans="1:9" s="101" customFormat="1" ht="12.75">
      <c r="A49" s="110" t="s">
        <v>408</v>
      </c>
      <c r="B49" s="113"/>
      <c r="C49" s="114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00"/>
    </row>
    <row r="50" spans="1:9" s="101" customFormat="1" ht="12.75">
      <c r="A50" s="110" t="s">
        <v>410</v>
      </c>
      <c r="B50" s="113"/>
      <c r="C50" s="114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00"/>
    </row>
    <row r="51" spans="1:9" s="101" customFormat="1" ht="12.75">
      <c r="A51" s="110" t="s">
        <v>412</v>
      </c>
      <c r="B51" s="113"/>
      <c r="C51" s="114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00"/>
    </row>
    <row r="52" spans="1:9" s="101" customFormat="1" ht="12.75">
      <c r="A52" s="110" t="s">
        <v>414</v>
      </c>
      <c r="B52" s="113"/>
      <c r="C52" s="114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00"/>
    </row>
    <row r="53" spans="1:9" s="101" customFormat="1" ht="12.75">
      <c r="A53" s="110" t="s">
        <v>416</v>
      </c>
      <c r="B53" s="113"/>
      <c r="C53" s="114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00"/>
    </row>
    <row r="54" spans="1:9" s="101" customFormat="1" ht="13.5" thickBot="1">
      <c r="A54" s="118"/>
      <c r="B54" s="119"/>
      <c r="C54" s="120"/>
      <c r="D54" s="121"/>
      <c r="E54" s="122"/>
      <c r="F54" s="123"/>
      <c r="G54" s="259"/>
      <c r="H54" s="165">
        <f>SUM(H9:H53)</f>
        <v>0</v>
      </c>
      <c r="I54" s="100"/>
    </row>
    <row r="55" spans="1:9" s="101" customFormat="1" ht="12.75">
      <c r="A55" s="124"/>
      <c r="B55" s="125"/>
      <c r="C55" s="126"/>
      <c r="D55" s="127"/>
      <c r="E55" s="128"/>
      <c r="F55" s="129"/>
      <c r="G55" s="158"/>
      <c r="H55" s="159" t="str">
        <f aca="true" t="shared" si="3" ref="H55:H118">IF(AND(F55&gt;0,G55&gt;0),ROUND(F55*G55,0)," ")</f>
        <v xml:space="preserve"> </v>
      </c>
      <c r="I55" s="100"/>
    </row>
    <row r="56" spans="1:9" s="101" customFormat="1" ht="12.75">
      <c r="A56" s="124"/>
      <c r="B56" s="125"/>
      <c r="C56" s="166"/>
      <c r="D56" s="127"/>
      <c r="E56" s="128"/>
      <c r="F56" s="129"/>
      <c r="G56" s="158"/>
      <c r="H56" s="159" t="str">
        <f t="shared" si="3"/>
        <v xml:space="preserve"> </v>
      </c>
      <c r="I56" s="100"/>
    </row>
    <row r="57" spans="1:9" s="101" customFormat="1" ht="13.5" thickBot="1">
      <c r="A57" s="169"/>
      <c r="B57" s="170"/>
      <c r="C57" s="171" t="s">
        <v>420</v>
      </c>
      <c r="D57" s="172"/>
      <c r="E57" s="173" t="s">
        <v>83</v>
      </c>
      <c r="F57" s="174">
        <v>1</v>
      </c>
      <c r="G57" s="260"/>
      <c r="H57" s="175">
        <f>+G57*F57</f>
        <v>0</v>
      </c>
      <c r="I57" s="100"/>
    </row>
    <row r="58" spans="1:9" s="101" customFormat="1" ht="12.75">
      <c r="A58" s="124"/>
      <c r="B58" s="167" t="s">
        <v>15</v>
      </c>
      <c r="C58" s="168" t="str">
        <f>CONCATENATE(B56," ",C56)</f>
        <v xml:space="preserve"> </v>
      </c>
      <c r="D58" s="127"/>
      <c r="E58" s="128"/>
      <c r="F58" s="129"/>
      <c r="G58" s="158"/>
      <c r="H58" s="159">
        <f>+H54+H57</f>
        <v>0</v>
      </c>
      <c r="I58" s="100"/>
    </row>
    <row r="59" spans="1:9" s="101" customFormat="1" ht="12.75">
      <c r="A59" s="124"/>
      <c r="B59" s="125"/>
      <c r="C59" s="126"/>
      <c r="D59" s="127"/>
      <c r="E59" s="128"/>
      <c r="F59" s="129"/>
      <c r="G59" s="158"/>
      <c r="H59" s="159" t="str">
        <f t="shared" si="3"/>
        <v xml:space="preserve"> </v>
      </c>
      <c r="I59" s="100"/>
    </row>
    <row r="60" spans="1:9" s="101" customFormat="1" ht="12.75">
      <c r="A60" s="124"/>
      <c r="B60" s="125"/>
      <c r="C60" s="126"/>
      <c r="D60" s="127"/>
      <c r="E60" s="128"/>
      <c r="F60" s="129"/>
      <c r="G60" s="158"/>
      <c r="H60" s="159" t="str">
        <f t="shared" si="3"/>
        <v xml:space="preserve"> </v>
      </c>
      <c r="I60" s="100"/>
    </row>
    <row r="61" spans="1:9" s="101" customFormat="1" ht="12.75">
      <c r="A61" s="124"/>
      <c r="B61" s="125"/>
      <c r="C61" s="126"/>
      <c r="D61" s="127"/>
      <c r="E61" s="128"/>
      <c r="F61" s="129"/>
      <c r="G61" s="158"/>
      <c r="H61" s="159" t="str">
        <f t="shared" si="3"/>
        <v xml:space="preserve"> </v>
      </c>
      <c r="I61" s="100"/>
    </row>
    <row r="62" spans="1:9" s="101" customFormat="1" ht="12.75">
      <c r="A62" s="132"/>
      <c r="B62" s="125"/>
      <c r="C62" s="126"/>
      <c r="D62" s="127"/>
      <c r="E62" s="128"/>
      <c r="F62" s="129"/>
      <c r="G62" s="158"/>
      <c r="H62" s="159" t="str">
        <f t="shared" si="3"/>
        <v xml:space="preserve"> </v>
      </c>
      <c r="I62" s="100"/>
    </row>
    <row r="63" spans="1:9" s="101" customFormat="1" ht="12.75">
      <c r="A63" s="124"/>
      <c r="B63" s="125"/>
      <c r="C63" s="126"/>
      <c r="D63" s="127"/>
      <c r="E63" s="128"/>
      <c r="F63" s="129"/>
      <c r="G63" s="158"/>
      <c r="H63" s="159" t="str">
        <f t="shared" si="3"/>
        <v xml:space="preserve"> </v>
      </c>
      <c r="I63" s="100"/>
    </row>
    <row r="64" spans="1:9" s="101" customFormat="1" ht="12.75">
      <c r="A64" s="124"/>
      <c r="B64" s="125"/>
      <c r="C64" s="126"/>
      <c r="D64" s="127"/>
      <c r="E64" s="128"/>
      <c r="F64" s="129"/>
      <c r="G64" s="158"/>
      <c r="H64" s="159" t="str">
        <f t="shared" si="3"/>
        <v xml:space="preserve"> </v>
      </c>
      <c r="I64" s="100"/>
    </row>
    <row r="65" spans="1:9" s="101" customFormat="1" ht="12.75">
      <c r="A65" s="124"/>
      <c r="B65" s="125"/>
      <c r="C65" s="126"/>
      <c r="D65" s="127"/>
      <c r="E65" s="128"/>
      <c r="F65" s="129"/>
      <c r="G65" s="158"/>
      <c r="H65" s="159" t="str">
        <f t="shared" si="3"/>
        <v xml:space="preserve"> </v>
      </c>
      <c r="I65" s="100"/>
    </row>
    <row r="66" spans="1:9" s="101" customFormat="1" ht="12.75">
      <c r="A66" s="124"/>
      <c r="B66" s="125"/>
      <c r="C66" s="126"/>
      <c r="D66" s="127"/>
      <c r="E66" s="128"/>
      <c r="F66" s="129"/>
      <c r="G66" s="158"/>
      <c r="H66" s="159" t="str">
        <f t="shared" si="3"/>
        <v xml:space="preserve"> </v>
      </c>
      <c r="I66" s="100"/>
    </row>
    <row r="67" spans="1:9" s="101" customFormat="1" ht="12.75">
      <c r="A67" s="124"/>
      <c r="B67" s="125"/>
      <c r="C67" s="126"/>
      <c r="D67" s="127"/>
      <c r="E67" s="128"/>
      <c r="F67" s="129"/>
      <c r="G67" s="158"/>
      <c r="H67" s="159" t="str">
        <f t="shared" si="3"/>
        <v xml:space="preserve"> </v>
      </c>
      <c r="I67" s="100"/>
    </row>
    <row r="68" spans="1:9" s="101" customFormat="1" ht="12.75">
      <c r="A68" s="124"/>
      <c r="B68" s="125"/>
      <c r="C68" s="126"/>
      <c r="D68" s="127"/>
      <c r="E68" s="128"/>
      <c r="F68" s="129"/>
      <c r="G68" s="158"/>
      <c r="H68" s="159" t="str">
        <f t="shared" si="3"/>
        <v xml:space="preserve"> </v>
      </c>
      <c r="I68" s="100"/>
    </row>
    <row r="69" spans="1:9" s="101" customFormat="1" ht="12.75">
      <c r="A69" s="124"/>
      <c r="B69" s="125"/>
      <c r="C69" s="126"/>
      <c r="D69" s="127"/>
      <c r="E69" s="128"/>
      <c r="F69" s="129"/>
      <c r="G69" s="158"/>
      <c r="H69" s="159" t="str">
        <f t="shared" si="3"/>
        <v xml:space="preserve"> </v>
      </c>
      <c r="I69" s="100"/>
    </row>
    <row r="70" spans="1:9" s="101" customFormat="1" ht="12.75">
      <c r="A70" s="124"/>
      <c r="B70" s="125"/>
      <c r="C70" s="126"/>
      <c r="D70" s="127"/>
      <c r="E70" s="128"/>
      <c r="F70" s="129"/>
      <c r="G70" s="158"/>
      <c r="H70" s="159" t="str">
        <f t="shared" si="3"/>
        <v xml:space="preserve"> </v>
      </c>
      <c r="I70" s="100"/>
    </row>
    <row r="71" spans="1:9" s="101" customFormat="1" ht="12.75">
      <c r="A71" s="132"/>
      <c r="B71" s="125"/>
      <c r="C71" s="126"/>
      <c r="D71" s="127"/>
      <c r="E71" s="128"/>
      <c r="F71" s="129"/>
      <c r="G71" s="158"/>
      <c r="H71" s="159" t="str">
        <f t="shared" si="3"/>
        <v xml:space="preserve"> </v>
      </c>
      <c r="I71" s="100"/>
    </row>
    <row r="72" spans="1:9" s="101" customFormat="1" ht="12.75">
      <c r="A72" s="124"/>
      <c r="B72" s="125"/>
      <c r="C72" s="126"/>
      <c r="D72" s="127"/>
      <c r="E72" s="128"/>
      <c r="F72" s="129"/>
      <c r="G72" s="158"/>
      <c r="H72" s="159" t="str">
        <f t="shared" si="3"/>
        <v xml:space="preserve"> </v>
      </c>
      <c r="I72" s="100"/>
    </row>
    <row r="73" spans="1:9" s="101" customFormat="1" ht="12.75">
      <c r="A73" s="124"/>
      <c r="B73" s="125"/>
      <c r="C73" s="126"/>
      <c r="D73" s="127"/>
      <c r="E73" s="128"/>
      <c r="F73" s="129"/>
      <c r="G73" s="158"/>
      <c r="H73" s="159" t="str">
        <f t="shared" si="3"/>
        <v xml:space="preserve"> </v>
      </c>
      <c r="I73" s="100"/>
    </row>
    <row r="74" spans="1:9" s="101" customFormat="1" ht="12.75">
      <c r="A74" s="132"/>
      <c r="B74" s="125"/>
      <c r="C74" s="126"/>
      <c r="D74" s="127"/>
      <c r="E74" s="128"/>
      <c r="F74" s="129"/>
      <c r="G74" s="158"/>
      <c r="H74" s="159" t="str">
        <f t="shared" si="3"/>
        <v xml:space="preserve"> </v>
      </c>
      <c r="I74" s="100"/>
    </row>
    <row r="75" spans="1:9" s="101" customFormat="1" ht="12.75">
      <c r="A75" s="124"/>
      <c r="B75" s="125"/>
      <c r="C75" s="126"/>
      <c r="D75" s="127"/>
      <c r="E75" s="128"/>
      <c r="F75" s="129"/>
      <c r="G75" s="158"/>
      <c r="H75" s="159" t="str">
        <f t="shared" si="3"/>
        <v xml:space="preserve"> </v>
      </c>
      <c r="I75" s="100"/>
    </row>
    <row r="76" spans="1:9" s="101" customFormat="1" ht="12.75">
      <c r="A76" s="132"/>
      <c r="B76" s="125"/>
      <c r="C76" s="126"/>
      <c r="D76" s="127"/>
      <c r="E76" s="128"/>
      <c r="F76" s="129"/>
      <c r="G76" s="158"/>
      <c r="H76" s="159" t="str">
        <f t="shared" si="3"/>
        <v xml:space="preserve"> </v>
      </c>
      <c r="I76" s="100"/>
    </row>
    <row r="77" spans="1:9" s="101" customFormat="1" ht="12.75">
      <c r="A77" s="124"/>
      <c r="B77" s="125"/>
      <c r="C77" s="126"/>
      <c r="D77" s="127"/>
      <c r="E77" s="128"/>
      <c r="F77" s="129"/>
      <c r="G77" s="158"/>
      <c r="H77" s="159" t="str">
        <f t="shared" si="3"/>
        <v xml:space="preserve"> </v>
      </c>
      <c r="I77" s="100"/>
    </row>
    <row r="78" spans="1:9" s="101" customFormat="1" ht="12.75">
      <c r="A78" s="124"/>
      <c r="B78" s="125"/>
      <c r="C78" s="126"/>
      <c r="D78" s="127"/>
      <c r="E78" s="128"/>
      <c r="F78" s="129"/>
      <c r="G78" s="158"/>
      <c r="H78" s="159" t="str">
        <f t="shared" si="3"/>
        <v xml:space="preserve"> </v>
      </c>
      <c r="I78" s="100"/>
    </row>
    <row r="79" spans="1:9" s="101" customFormat="1" ht="12.75">
      <c r="A79" s="132"/>
      <c r="B79" s="125"/>
      <c r="C79" s="126"/>
      <c r="D79" s="127"/>
      <c r="E79" s="128"/>
      <c r="F79" s="129"/>
      <c r="G79" s="158"/>
      <c r="H79" s="159" t="str">
        <f t="shared" si="3"/>
        <v xml:space="preserve"> </v>
      </c>
      <c r="I79" s="100"/>
    </row>
    <row r="80" spans="1:9" s="101" customFormat="1" ht="12.75">
      <c r="A80" s="124"/>
      <c r="B80" s="125"/>
      <c r="C80" s="126"/>
      <c r="D80" s="127"/>
      <c r="E80" s="128"/>
      <c r="F80" s="129"/>
      <c r="G80" s="158"/>
      <c r="H80" s="159" t="str">
        <f t="shared" si="3"/>
        <v xml:space="preserve"> </v>
      </c>
      <c r="I80" s="100"/>
    </row>
    <row r="81" spans="1:9" s="101" customFormat="1" ht="12.75">
      <c r="A81" s="124"/>
      <c r="B81" s="125"/>
      <c r="C81" s="126"/>
      <c r="D81" s="127"/>
      <c r="E81" s="128"/>
      <c r="F81" s="129"/>
      <c r="G81" s="158"/>
      <c r="H81" s="159" t="str">
        <f t="shared" si="3"/>
        <v xml:space="preserve"> </v>
      </c>
      <c r="I81" s="100"/>
    </row>
    <row r="82" spans="1:9" s="101" customFormat="1" ht="12.75">
      <c r="A82" s="132"/>
      <c r="B82" s="125"/>
      <c r="C82" s="126"/>
      <c r="D82" s="127"/>
      <c r="E82" s="128"/>
      <c r="F82" s="129"/>
      <c r="G82" s="158"/>
      <c r="H82" s="159" t="str">
        <f t="shared" si="3"/>
        <v xml:space="preserve"> </v>
      </c>
      <c r="I82" s="100"/>
    </row>
    <row r="83" spans="1:9" s="101" customFormat="1" ht="12.75">
      <c r="A83" s="124"/>
      <c r="B83" s="125"/>
      <c r="C83" s="126"/>
      <c r="D83" s="127"/>
      <c r="E83" s="128"/>
      <c r="F83" s="129"/>
      <c r="G83" s="158"/>
      <c r="H83" s="159" t="str">
        <f t="shared" si="3"/>
        <v xml:space="preserve"> </v>
      </c>
      <c r="I83" s="100"/>
    </row>
    <row r="84" spans="1:9" s="101" customFormat="1" ht="12.75">
      <c r="A84" s="124"/>
      <c r="B84" s="125"/>
      <c r="C84" s="126"/>
      <c r="D84" s="127"/>
      <c r="E84" s="128"/>
      <c r="F84" s="129"/>
      <c r="G84" s="158"/>
      <c r="H84" s="159" t="str">
        <f t="shared" si="3"/>
        <v xml:space="preserve"> </v>
      </c>
      <c r="I84" s="100"/>
    </row>
    <row r="85" spans="1:9" s="101" customFormat="1" ht="12.75">
      <c r="A85" s="132"/>
      <c r="B85" s="125"/>
      <c r="C85" s="126"/>
      <c r="D85" s="127"/>
      <c r="E85" s="128"/>
      <c r="F85" s="129"/>
      <c r="G85" s="158"/>
      <c r="H85" s="159" t="str">
        <f t="shared" si="3"/>
        <v xml:space="preserve"> </v>
      </c>
      <c r="I85" s="100"/>
    </row>
    <row r="86" spans="1:9" s="101" customFormat="1" ht="12.75">
      <c r="A86" s="124"/>
      <c r="B86" s="125"/>
      <c r="C86" s="126"/>
      <c r="D86" s="127"/>
      <c r="E86" s="128"/>
      <c r="F86" s="129"/>
      <c r="G86" s="158"/>
      <c r="H86" s="159" t="str">
        <f t="shared" si="3"/>
        <v xml:space="preserve"> </v>
      </c>
      <c r="I86" s="100"/>
    </row>
    <row r="87" spans="1:9" s="101" customFormat="1" ht="12.75">
      <c r="A87" s="124"/>
      <c r="B87" s="125"/>
      <c r="C87" s="126"/>
      <c r="D87" s="127"/>
      <c r="E87" s="128"/>
      <c r="F87" s="129"/>
      <c r="G87" s="158"/>
      <c r="H87" s="159" t="str">
        <f t="shared" si="3"/>
        <v xml:space="preserve"> </v>
      </c>
      <c r="I87" s="100"/>
    </row>
    <row r="88" spans="1:9" s="101" customFormat="1" ht="12.75">
      <c r="A88" s="132"/>
      <c r="B88" s="125"/>
      <c r="C88" s="126"/>
      <c r="D88" s="127"/>
      <c r="E88" s="128"/>
      <c r="F88" s="129"/>
      <c r="G88" s="158"/>
      <c r="H88" s="159" t="str">
        <f t="shared" si="3"/>
        <v xml:space="preserve"> </v>
      </c>
      <c r="I88" s="100"/>
    </row>
    <row r="89" spans="1:9" s="101" customFormat="1" ht="12.75">
      <c r="A89" s="124"/>
      <c r="B89" s="125"/>
      <c r="C89" s="126"/>
      <c r="D89" s="127"/>
      <c r="E89" s="128"/>
      <c r="F89" s="129"/>
      <c r="G89" s="158"/>
      <c r="H89" s="159" t="str">
        <f t="shared" si="3"/>
        <v xml:space="preserve"> </v>
      </c>
      <c r="I89" s="100"/>
    </row>
    <row r="90" spans="1:9" s="101" customFormat="1" ht="12.75">
      <c r="A90" s="132"/>
      <c r="B90" s="125"/>
      <c r="C90" s="126"/>
      <c r="D90" s="127"/>
      <c r="E90" s="128"/>
      <c r="F90" s="129"/>
      <c r="G90" s="158"/>
      <c r="H90" s="159" t="str">
        <f t="shared" si="3"/>
        <v xml:space="preserve"> </v>
      </c>
      <c r="I90" s="100"/>
    </row>
    <row r="91" spans="1:9" s="101" customFormat="1" ht="12.75">
      <c r="A91" s="124"/>
      <c r="B91" s="125"/>
      <c r="C91" s="126"/>
      <c r="D91" s="127"/>
      <c r="E91" s="128"/>
      <c r="F91" s="129"/>
      <c r="G91" s="158"/>
      <c r="H91" s="159" t="str">
        <f t="shared" si="3"/>
        <v xml:space="preserve"> </v>
      </c>
      <c r="I91" s="100"/>
    </row>
    <row r="92" spans="1:9" s="101" customFormat="1" ht="12.75">
      <c r="A92" s="124"/>
      <c r="B92" s="125"/>
      <c r="C92" s="126"/>
      <c r="D92" s="127"/>
      <c r="E92" s="128"/>
      <c r="F92" s="129"/>
      <c r="G92" s="158"/>
      <c r="H92" s="159" t="str">
        <f t="shared" si="3"/>
        <v xml:space="preserve"> </v>
      </c>
      <c r="I92" s="100"/>
    </row>
    <row r="93" spans="1:9" s="101" customFormat="1" ht="12.75">
      <c r="A93" s="132"/>
      <c r="B93" s="125"/>
      <c r="C93" s="126"/>
      <c r="D93" s="127"/>
      <c r="E93" s="128"/>
      <c r="F93" s="129"/>
      <c r="G93" s="158"/>
      <c r="H93" s="159" t="str">
        <f t="shared" si="3"/>
        <v xml:space="preserve"> </v>
      </c>
      <c r="I93" s="100"/>
    </row>
    <row r="94" spans="1:9" s="101" customFormat="1" ht="12.75">
      <c r="A94" s="124"/>
      <c r="B94" s="125"/>
      <c r="C94" s="126"/>
      <c r="D94" s="127"/>
      <c r="E94" s="128"/>
      <c r="F94" s="129"/>
      <c r="G94" s="158"/>
      <c r="H94" s="159" t="str">
        <f t="shared" si="3"/>
        <v xml:space="preserve"> </v>
      </c>
      <c r="I94" s="100"/>
    </row>
    <row r="95" spans="1:9" s="101" customFormat="1" ht="12.75">
      <c r="A95" s="132"/>
      <c r="B95" s="125"/>
      <c r="C95" s="126"/>
      <c r="D95" s="127"/>
      <c r="E95" s="128"/>
      <c r="F95" s="129"/>
      <c r="G95" s="158"/>
      <c r="H95" s="159" t="str">
        <f t="shared" si="3"/>
        <v xml:space="preserve"> </v>
      </c>
      <c r="I95" s="100"/>
    </row>
    <row r="96" spans="1:9" s="101" customFormat="1" ht="12.75">
      <c r="A96" s="124"/>
      <c r="B96" s="125"/>
      <c r="C96" s="126"/>
      <c r="D96" s="127"/>
      <c r="E96" s="128"/>
      <c r="F96" s="129"/>
      <c r="G96" s="158"/>
      <c r="H96" s="159" t="str">
        <f t="shared" si="3"/>
        <v xml:space="preserve"> </v>
      </c>
      <c r="I96" s="100"/>
    </row>
    <row r="97" spans="1:9" s="101" customFormat="1" ht="12.75">
      <c r="A97" s="124"/>
      <c r="B97" s="125"/>
      <c r="C97" s="126"/>
      <c r="D97" s="127"/>
      <c r="E97" s="128"/>
      <c r="F97" s="129"/>
      <c r="G97" s="158"/>
      <c r="H97" s="159" t="str">
        <f t="shared" si="3"/>
        <v xml:space="preserve"> </v>
      </c>
      <c r="I97" s="100"/>
    </row>
    <row r="98" spans="1:9" s="101" customFormat="1" ht="12.75">
      <c r="A98" s="124"/>
      <c r="B98" s="125"/>
      <c r="C98" s="126"/>
      <c r="D98" s="127"/>
      <c r="E98" s="128"/>
      <c r="F98" s="129"/>
      <c r="G98" s="158"/>
      <c r="H98" s="159" t="str">
        <f t="shared" si="3"/>
        <v xml:space="preserve"> </v>
      </c>
      <c r="I98" s="100"/>
    </row>
    <row r="99" spans="1:9" s="101" customFormat="1" ht="12.75">
      <c r="A99" s="124"/>
      <c r="B99" s="125"/>
      <c r="C99" s="126"/>
      <c r="D99" s="127"/>
      <c r="E99" s="128"/>
      <c r="F99" s="129"/>
      <c r="G99" s="158"/>
      <c r="H99" s="159" t="str">
        <f t="shared" si="3"/>
        <v xml:space="preserve"> </v>
      </c>
      <c r="I99" s="100"/>
    </row>
    <row r="100" spans="1:9" s="101" customFormat="1" ht="12.75">
      <c r="A100" s="124"/>
      <c r="B100" s="125"/>
      <c r="C100" s="126"/>
      <c r="D100" s="127"/>
      <c r="E100" s="128"/>
      <c r="F100" s="129"/>
      <c r="G100" s="158"/>
      <c r="H100" s="159" t="str">
        <f t="shared" si="3"/>
        <v xml:space="preserve"> </v>
      </c>
      <c r="I100" s="100"/>
    </row>
    <row r="101" spans="1:9" s="101" customFormat="1" ht="12.75">
      <c r="A101" s="124"/>
      <c r="B101" s="125"/>
      <c r="C101" s="133"/>
      <c r="D101" s="127"/>
      <c r="E101" s="128"/>
      <c r="F101" s="129"/>
      <c r="G101" s="158"/>
      <c r="H101" s="159" t="str">
        <f t="shared" si="3"/>
        <v xml:space="preserve"> </v>
      </c>
      <c r="I101" s="100"/>
    </row>
    <row r="102" spans="1:9" s="101" customFormat="1" ht="12.75">
      <c r="A102" s="124"/>
      <c r="B102" s="125"/>
      <c r="C102" s="126"/>
      <c r="D102" s="127"/>
      <c r="E102" s="128"/>
      <c r="F102" s="129"/>
      <c r="G102" s="158"/>
      <c r="H102" s="159" t="str">
        <f t="shared" si="3"/>
        <v xml:space="preserve"> </v>
      </c>
      <c r="I102" s="100"/>
    </row>
    <row r="103" spans="1:9" s="101" customFormat="1" ht="12.75">
      <c r="A103" s="132"/>
      <c r="B103" s="125"/>
      <c r="C103" s="126"/>
      <c r="D103" s="127"/>
      <c r="E103" s="128"/>
      <c r="F103" s="129"/>
      <c r="G103" s="158"/>
      <c r="H103" s="159" t="str">
        <f t="shared" si="3"/>
        <v xml:space="preserve"> </v>
      </c>
      <c r="I103" s="100"/>
    </row>
    <row r="104" spans="1:9" s="101" customFormat="1" ht="12.75">
      <c r="A104" s="124"/>
      <c r="B104" s="125"/>
      <c r="C104" s="126"/>
      <c r="D104" s="127"/>
      <c r="E104" s="128"/>
      <c r="F104" s="129"/>
      <c r="G104" s="158"/>
      <c r="H104" s="159" t="str">
        <f t="shared" si="3"/>
        <v xml:space="preserve"> </v>
      </c>
      <c r="I104" s="100"/>
    </row>
    <row r="105" spans="1:9" s="101" customFormat="1" ht="12.75">
      <c r="A105" s="124"/>
      <c r="B105" s="125"/>
      <c r="C105" s="126"/>
      <c r="D105" s="127"/>
      <c r="E105" s="128"/>
      <c r="F105" s="129"/>
      <c r="G105" s="158"/>
      <c r="H105" s="159" t="str">
        <f t="shared" si="3"/>
        <v xml:space="preserve"> </v>
      </c>
      <c r="I105" s="100"/>
    </row>
    <row r="106" spans="1:9" s="101" customFormat="1" ht="12.75">
      <c r="A106" s="124"/>
      <c r="B106" s="125"/>
      <c r="C106" s="126"/>
      <c r="D106" s="127"/>
      <c r="E106" s="128"/>
      <c r="F106" s="129"/>
      <c r="G106" s="158"/>
      <c r="H106" s="159" t="str">
        <f t="shared" si="3"/>
        <v xml:space="preserve"> </v>
      </c>
      <c r="I106" s="100"/>
    </row>
    <row r="107" spans="1:9" s="101" customFormat="1" ht="12.75">
      <c r="A107" s="124"/>
      <c r="B107" s="125"/>
      <c r="C107" s="126"/>
      <c r="D107" s="127"/>
      <c r="E107" s="128"/>
      <c r="F107" s="129"/>
      <c r="G107" s="158"/>
      <c r="H107" s="159" t="str">
        <f t="shared" si="3"/>
        <v xml:space="preserve"> </v>
      </c>
      <c r="I107" s="100"/>
    </row>
    <row r="108" spans="1:9" s="101" customFormat="1" ht="12.75">
      <c r="A108" s="132"/>
      <c r="B108" s="125"/>
      <c r="C108" s="126"/>
      <c r="D108" s="127"/>
      <c r="E108" s="128"/>
      <c r="F108" s="129"/>
      <c r="G108" s="158"/>
      <c r="H108" s="159" t="str">
        <f t="shared" si="3"/>
        <v xml:space="preserve"> </v>
      </c>
      <c r="I108" s="100"/>
    </row>
    <row r="109" spans="1:9" s="101" customFormat="1" ht="12.75">
      <c r="A109" s="124"/>
      <c r="B109" s="125"/>
      <c r="C109" s="126"/>
      <c r="D109" s="127"/>
      <c r="E109" s="128"/>
      <c r="F109" s="129"/>
      <c r="G109" s="158"/>
      <c r="H109" s="159" t="str">
        <f t="shared" si="3"/>
        <v xml:space="preserve"> </v>
      </c>
      <c r="I109" s="100"/>
    </row>
    <row r="110" spans="1:9" s="101" customFormat="1" ht="12.75">
      <c r="A110" s="124"/>
      <c r="B110" s="125"/>
      <c r="C110" s="126"/>
      <c r="D110" s="127"/>
      <c r="E110" s="128"/>
      <c r="F110" s="129"/>
      <c r="G110" s="158"/>
      <c r="H110" s="159" t="str">
        <f t="shared" si="3"/>
        <v xml:space="preserve"> </v>
      </c>
      <c r="I110" s="100"/>
    </row>
    <row r="111" spans="1:9" s="101" customFormat="1" ht="12.75">
      <c r="A111" s="132"/>
      <c r="B111" s="125"/>
      <c r="C111" s="126"/>
      <c r="D111" s="127"/>
      <c r="E111" s="128"/>
      <c r="F111" s="129"/>
      <c r="G111" s="158"/>
      <c r="H111" s="159" t="str">
        <f t="shared" si="3"/>
        <v xml:space="preserve"> </v>
      </c>
      <c r="I111" s="100"/>
    </row>
    <row r="112" spans="1:9" s="101" customFormat="1" ht="12.75">
      <c r="A112" s="124"/>
      <c r="B112" s="125"/>
      <c r="C112" s="126"/>
      <c r="D112" s="127"/>
      <c r="E112" s="128"/>
      <c r="F112" s="129"/>
      <c r="G112" s="158"/>
      <c r="H112" s="159" t="str">
        <f t="shared" si="3"/>
        <v xml:space="preserve"> </v>
      </c>
      <c r="I112" s="100"/>
    </row>
    <row r="113" spans="1:9" s="101" customFormat="1" ht="12.75">
      <c r="A113" s="124"/>
      <c r="B113" s="125"/>
      <c r="C113" s="126"/>
      <c r="D113" s="127"/>
      <c r="E113" s="128"/>
      <c r="F113" s="129"/>
      <c r="G113" s="158"/>
      <c r="H113" s="159" t="str">
        <f t="shared" si="3"/>
        <v xml:space="preserve"> </v>
      </c>
      <c r="I113" s="100"/>
    </row>
    <row r="114" spans="1:9" s="101" customFormat="1" ht="12.75">
      <c r="A114" s="132"/>
      <c r="B114" s="125"/>
      <c r="C114" s="126"/>
      <c r="D114" s="127"/>
      <c r="E114" s="128"/>
      <c r="F114" s="129"/>
      <c r="G114" s="158"/>
      <c r="H114" s="159" t="str">
        <f t="shared" si="3"/>
        <v xml:space="preserve"> </v>
      </c>
      <c r="I114" s="100"/>
    </row>
    <row r="115" spans="1:9" s="101" customFormat="1" ht="12.75">
      <c r="A115" s="124"/>
      <c r="B115" s="125"/>
      <c r="C115" s="126"/>
      <c r="D115" s="127"/>
      <c r="E115" s="128"/>
      <c r="F115" s="129"/>
      <c r="G115" s="158"/>
      <c r="H115" s="159" t="str">
        <f t="shared" si="3"/>
        <v xml:space="preserve"> </v>
      </c>
      <c r="I115" s="100"/>
    </row>
    <row r="116" spans="1:9" s="101" customFormat="1" ht="12.75">
      <c r="A116" s="124"/>
      <c r="B116" s="125"/>
      <c r="C116" s="126"/>
      <c r="D116" s="127"/>
      <c r="E116" s="128"/>
      <c r="F116" s="129"/>
      <c r="G116" s="158"/>
      <c r="H116" s="159" t="str">
        <f t="shared" si="3"/>
        <v xml:space="preserve"> </v>
      </c>
      <c r="I116" s="100"/>
    </row>
    <row r="117" spans="1:9" s="101" customFormat="1" ht="12.75">
      <c r="A117" s="132"/>
      <c r="B117" s="125"/>
      <c r="C117" s="126"/>
      <c r="D117" s="127"/>
      <c r="E117" s="128"/>
      <c r="F117" s="129"/>
      <c r="G117" s="158"/>
      <c r="H117" s="159" t="str">
        <f t="shared" si="3"/>
        <v xml:space="preserve"> </v>
      </c>
      <c r="I117" s="100"/>
    </row>
    <row r="118" spans="1:9" s="101" customFormat="1" ht="12.75">
      <c r="A118" s="124"/>
      <c r="B118" s="125"/>
      <c r="C118" s="126"/>
      <c r="D118" s="127"/>
      <c r="E118" s="128"/>
      <c r="F118" s="129"/>
      <c r="G118" s="158"/>
      <c r="H118" s="159" t="str">
        <f t="shared" si="3"/>
        <v xml:space="preserve"> </v>
      </c>
      <c r="I118" s="100"/>
    </row>
    <row r="119" spans="1:9" s="101" customFormat="1" ht="12.75">
      <c r="A119" s="124"/>
      <c r="B119" s="125"/>
      <c r="C119" s="126"/>
      <c r="D119" s="127"/>
      <c r="E119" s="128"/>
      <c r="F119" s="129"/>
      <c r="G119" s="158"/>
      <c r="H119" s="159" t="str">
        <f aca="true" t="shared" si="4" ref="H119:H146">IF(AND(F119&gt;0,G119&gt;0),ROUND(F119*G119,0)," ")</f>
        <v xml:space="preserve"> </v>
      </c>
      <c r="I119" s="100"/>
    </row>
    <row r="120" spans="1:9" s="101" customFormat="1" ht="12.75">
      <c r="A120" s="124"/>
      <c r="B120" s="125"/>
      <c r="C120" s="126"/>
      <c r="D120" s="127"/>
      <c r="E120" s="128"/>
      <c r="F120" s="129"/>
      <c r="G120" s="158"/>
      <c r="H120" s="159" t="str">
        <f t="shared" si="4"/>
        <v xml:space="preserve"> </v>
      </c>
      <c r="I120" s="100"/>
    </row>
    <row r="121" spans="1:9" s="101" customFormat="1" ht="12.75">
      <c r="A121" s="124"/>
      <c r="B121" s="125"/>
      <c r="C121" s="126"/>
      <c r="D121" s="127"/>
      <c r="E121" s="128"/>
      <c r="F121" s="129"/>
      <c r="G121" s="158"/>
      <c r="H121" s="159" t="str">
        <f t="shared" si="4"/>
        <v xml:space="preserve"> </v>
      </c>
      <c r="I121" s="100"/>
    </row>
    <row r="122" spans="1:9" s="101" customFormat="1" ht="12.75">
      <c r="A122" s="124"/>
      <c r="B122" s="125"/>
      <c r="C122" s="126"/>
      <c r="D122" s="127"/>
      <c r="E122" s="128"/>
      <c r="F122" s="129"/>
      <c r="G122" s="158"/>
      <c r="H122" s="159" t="str">
        <f t="shared" si="4"/>
        <v xml:space="preserve"> </v>
      </c>
      <c r="I122" s="100"/>
    </row>
    <row r="123" spans="1:9" s="101" customFormat="1" ht="12.75">
      <c r="A123" s="124"/>
      <c r="B123" s="125"/>
      <c r="C123" s="126"/>
      <c r="D123" s="127"/>
      <c r="E123" s="128"/>
      <c r="F123" s="129"/>
      <c r="G123" s="158"/>
      <c r="H123" s="159" t="str">
        <f t="shared" si="4"/>
        <v xml:space="preserve"> </v>
      </c>
      <c r="I123" s="100"/>
    </row>
    <row r="124" spans="1:9" s="101" customFormat="1" ht="12.75">
      <c r="A124" s="132"/>
      <c r="B124" s="125"/>
      <c r="C124" s="126"/>
      <c r="D124" s="127"/>
      <c r="E124" s="128"/>
      <c r="F124" s="129"/>
      <c r="G124" s="158"/>
      <c r="H124" s="159" t="str">
        <f t="shared" si="4"/>
        <v xml:space="preserve"> </v>
      </c>
      <c r="I124" s="100"/>
    </row>
    <row r="125" spans="1:9" s="101" customFormat="1" ht="12.75">
      <c r="A125" s="124"/>
      <c r="B125" s="125"/>
      <c r="C125" s="126"/>
      <c r="D125" s="127"/>
      <c r="E125" s="128"/>
      <c r="F125" s="129"/>
      <c r="G125" s="158"/>
      <c r="H125" s="159" t="str">
        <f t="shared" si="4"/>
        <v xml:space="preserve"> </v>
      </c>
      <c r="I125" s="100"/>
    </row>
    <row r="126" spans="1:9" s="101" customFormat="1" ht="12.75">
      <c r="A126" s="124"/>
      <c r="B126" s="125"/>
      <c r="C126" s="126"/>
      <c r="D126" s="127"/>
      <c r="E126" s="128"/>
      <c r="F126" s="129"/>
      <c r="G126" s="158"/>
      <c r="H126" s="159" t="str">
        <f t="shared" si="4"/>
        <v xml:space="preserve"> </v>
      </c>
      <c r="I126" s="100"/>
    </row>
    <row r="127" spans="1:9" s="101" customFormat="1" ht="12.75">
      <c r="A127" s="124"/>
      <c r="B127" s="125"/>
      <c r="C127" s="126"/>
      <c r="D127" s="127"/>
      <c r="E127" s="128"/>
      <c r="F127" s="129"/>
      <c r="G127" s="158"/>
      <c r="H127" s="159" t="str">
        <f t="shared" si="4"/>
        <v xml:space="preserve"> </v>
      </c>
      <c r="I127" s="100"/>
    </row>
    <row r="128" spans="1:9" s="101" customFormat="1" ht="12.75">
      <c r="A128" s="124"/>
      <c r="B128" s="125"/>
      <c r="C128" s="126"/>
      <c r="D128" s="127"/>
      <c r="E128" s="128"/>
      <c r="F128" s="129"/>
      <c r="G128" s="158"/>
      <c r="H128" s="159" t="str">
        <f t="shared" si="4"/>
        <v xml:space="preserve"> </v>
      </c>
      <c r="I128" s="100"/>
    </row>
    <row r="129" spans="1:9" s="101" customFormat="1" ht="12.75">
      <c r="A129" s="124"/>
      <c r="B129" s="125"/>
      <c r="C129" s="126"/>
      <c r="D129" s="127"/>
      <c r="E129" s="128"/>
      <c r="F129" s="129"/>
      <c r="G129" s="158"/>
      <c r="H129" s="159" t="str">
        <f t="shared" si="4"/>
        <v xml:space="preserve"> </v>
      </c>
      <c r="I129" s="100"/>
    </row>
    <row r="130" spans="1:9" s="101" customFormat="1" ht="12.75">
      <c r="A130" s="124"/>
      <c r="B130" s="125"/>
      <c r="C130" s="126"/>
      <c r="D130" s="127"/>
      <c r="E130" s="128"/>
      <c r="F130" s="129"/>
      <c r="G130" s="158"/>
      <c r="H130" s="159" t="str">
        <f t="shared" si="4"/>
        <v xml:space="preserve"> </v>
      </c>
      <c r="I130" s="100"/>
    </row>
    <row r="131" spans="1:9" s="101" customFormat="1" ht="12.75">
      <c r="A131" s="132"/>
      <c r="B131" s="125"/>
      <c r="C131" s="126"/>
      <c r="D131" s="127"/>
      <c r="E131" s="128"/>
      <c r="F131" s="129"/>
      <c r="G131" s="158"/>
      <c r="H131" s="159" t="str">
        <f t="shared" si="4"/>
        <v xml:space="preserve"> </v>
      </c>
      <c r="I131" s="100"/>
    </row>
    <row r="132" spans="1:9" s="101" customFormat="1" ht="12.75">
      <c r="A132" s="124"/>
      <c r="B132" s="125"/>
      <c r="C132" s="126"/>
      <c r="D132" s="127"/>
      <c r="E132" s="128"/>
      <c r="F132" s="129"/>
      <c r="G132" s="158"/>
      <c r="H132" s="159" t="str">
        <f t="shared" si="4"/>
        <v xml:space="preserve"> </v>
      </c>
      <c r="I132" s="100"/>
    </row>
    <row r="133" spans="1:9" s="101" customFormat="1" ht="12.75">
      <c r="A133" s="124"/>
      <c r="B133" s="125"/>
      <c r="C133" s="126"/>
      <c r="D133" s="127"/>
      <c r="E133" s="128"/>
      <c r="F133" s="129"/>
      <c r="G133" s="158"/>
      <c r="H133" s="159" t="str">
        <f t="shared" si="4"/>
        <v xml:space="preserve"> </v>
      </c>
      <c r="I133" s="100"/>
    </row>
    <row r="134" spans="1:9" s="101" customFormat="1" ht="12.75">
      <c r="A134" s="132"/>
      <c r="B134" s="134"/>
      <c r="C134" s="126"/>
      <c r="D134" s="127"/>
      <c r="E134" s="128"/>
      <c r="F134" s="129"/>
      <c r="G134" s="158"/>
      <c r="H134" s="159" t="str">
        <f t="shared" si="4"/>
        <v xml:space="preserve"> </v>
      </c>
      <c r="I134" s="100"/>
    </row>
    <row r="135" spans="1:9" s="101" customFormat="1" ht="12.75">
      <c r="A135" s="124"/>
      <c r="B135" s="125"/>
      <c r="C135" s="126"/>
      <c r="D135" s="127"/>
      <c r="E135" s="128"/>
      <c r="F135" s="129"/>
      <c r="G135" s="158"/>
      <c r="H135" s="159" t="str">
        <f t="shared" si="4"/>
        <v xml:space="preserve"> </v>
      </c>
      <c r="I135" s="100"/>
    </row>
    <row r="136" spans="1:9" s="101" customFormat="1" ht="12.75">
      <c r="A136" s="124"/>
      <c r="B136" s="125"/>
      <c r="C136" s="126"/>
      <c r="D136" s="127"/>
      <c r="E136" s="128"/>
      <c r="F136" s="129"/>
      <c r="G136" s="158"/>
      <c r="H136" s="159" t="str">
        <f t="shared" si="4"/>
        <v xml:space="preserve"> </v>
      </c>
      <c r="I136" s="100"/>
    </row>
    <row r="137" spans="1:9" s="101" customFormat="1" ht="12.75">
      <c r="A137" s="132"/>
      <c r="B137" s="134"/>
      <c r="C137" s="126"/>
      <c r="D137" s="127"/>
      <c r="E137" s="128"/>
      <c r="F137" s="129"/>
      <c r="G137" s="158"/>
      <c r="H137" s="159" t="str">
        <f t="shared" si="4"/>
        <v xml:space="preserve"> </v>
      </c>
      <c r="I137" s="100"/>
    </row>
    <row r="138" spans="1:9" s="101" customFormat="1" ht="12.75">
      <c r="A138" s="124"/>
      <c r="B138" s="125"/>
      <c r="C138" s="126"/>
      <c r="D138" s="127"/>
      <c r="E138" s="128"/>
      <c r="F138" s="129"/>
      <c r="G138" s="158"/>
      <c r="H138" s="159" t="str">
        <f t="shared" si="4"/>
        <v xml:space="preserve"> </v>
      </c>
      <c r="I138" s="100"/>
    </row>
    <row r="139" spans="1:9" s="101" customFormat="1" ht="12.75">
      <c r="A139" s="124"/>
      <c r="B139" s="125"/>
      <c r="C139" s="126"/>
      <c r="D139" s="127"/>
      <c r="E139" s="128"/>
      <c r="F139" s="129"/>
      <c r="G139" s="158"/>
      <c r="H139" s="159" t="str">
        <f t="shared" si="4"/>
        <v xml:space="preserve"> </v>
      </c>
      <c r="I139" s="100"/>
    </row>
    <row r="140" spans="1:9" s="101" customFormat="1" ht="12.75">
      <c r="A140" s="124"/>
      <c r="B140" s="125"/>
      <c r="C140" s="126"/>
      <c r="D140" s="127"/>
      <c r="E140" s="128"/>
      <c r="F140" s="129"/>
      <c r="G140" s="158"/>
      <c r="H140" s="159" t="str">
        <f t="shared" si="4"/>
        <v xml:space="preserve"> </v>
      </c>
      <c r="I140" s="100"/>
    </row>
    <row r="141" spans="1:9" s="101" customFormat="1" ht="12.75">
      <c r="A141" s="132"/>
      <c r="B141" s="125"/>
      <c r="C141" s="126"/>
      <c r="D141" s="127"/>
      <c r="E141" s="128"/>
      <c r="F141" s="129"/>
      <c r="G141" s="158"/>
      <c r="H141" s="159" t="str">
        <f t="shared" si="4"/>
        <v xml:space="preserve"> </v>
      </c>
      <c r="I141" s="100"/>
    </row>
    <row r="142" spans="1:9" s="101" customFormat="1" ht="12.75">
      <c r="A142" s="124"/>
      <c r="B142" s="125"/>
      <c r="C142" s="126"/>
      <c r="D142" s="127"/>
      <c r="E142" s="128"/>
      <c r="F142" s="129"/>
      <c r="G142" s="158"/>
      <c r="H142" s="159" t="str">
        <f t="shared" si="4"/>
        <v xml:space="preserve"> </v>
      </c>
      <c r="I142" s="100"/>
    </row>
    <row r="143" spans="1:9" s="101" customFormat="1" ht="12.75">
      <c r="A143" s="124"/>
      <c r="B143" s="125"/>
      <c r="C143" s="126"/>
      <c r="D143" s="127"/>
      <c r="E143" s="128"/>
      <c r="F143" s="129"/>
      <c r="G143" s="158"/>
      <c r="H143" s="159" t="str">
        <f t="shared" si="4"/>
        <v xml:space="preserve"> </v>
      </c>
      <c r="I143" s="100"/>
    </row>
    <row r="144" spans="1:9" s="101" customFormat="1" ht="12.75">
      <c r="A144" s="132"/>
      <c r="B144" s="134"/>
      <c r="C144" s="126"/>
      <c r="D144" s="127"/>
      <c r="E144" s="128"/>
      <c r="F144" s="129"/>
      <c r="G144" s="158"/>
      <c r="H144" s="159" t="str">
        <f t="shared" si="4"/>
        <v xml:space="preserve"> </v>
      </c>
      <c r="I144" s="100"/>
    </row>
    <row r="145" spans="1:9" s="101" customFormat="1" ht="12.75">
      <c r="A145" s="124"/>
      <c r="B145" s="125"/>
      <c r="C145" s="126"/>
      <c r="D145" s="127"/>
      <c r="E145" s="128"/>
      <c r="F145" s="129"/>
      <c r="G145" s="158"/>
      <c r="H145" s="159" t="str">
        <f t="shared" si="4"/>
        <v xml:space="preserve"> </v>
      </c>
      <c r="I145" s="100"/>
    </row>
    <row r="146" spans="1:9" s="101" customFormat="1" ht="12.75">
      <c r="A146" s="124"/>
      <c r="B146" s="125"/>
      <c r="C146" s="126"/>
      <c r="D146" s="127"/>
      <c r="E146" s="128"/>
      <c r="F146" s="129"/>
      <c r="G146" s="158"/>
      <c r="H146" s="159" t="str">
        <f t="shared" si="4"/>
        <v xml:space="preserve"> </v>
      </c>
      <c r="I146" s="100"/>
    </row>
    <row r="147" spans="1:9" s="101" customFormat="1" ht="12.75">
      <c r="A147" s="124"/>
      <c r="B147" s="125"/>
      <c r="C147" s="126"/>
      <c r="D147" s="127"/>
      <c r="E147" s="128"/>
      <c r="F147" s="129"/>
      <c r="G147" s="158"/>
      <c r="H147" s="159"/>
      <c r="I147" s="100"/>
    </row>
    <row r="148" spans="1:9" s="101" customFormat="1" ht="12.75">
      <c r="A148" s="124"/>
      <c r="B148" s="125"/>
      <c r="C148" s="126"/>
      <c r="D148" s="127"/>
      <c r="E148" s="128"/>
      <c r="F148" s="129"/>
      <c r="G148" s="158"/>
      <c r="H148" s="159"/>
      <c r="I148" s="100"/>
    </row>
    <row r="149" spans="1:9" ht="12.75">
      <c r="A149" s="135"/>
      <c r="B149" s="136"/>
      <c r="C149" s="137"/>
      <c r="D149" s="127"/>
      <c r="E149" s="138"/>
      <c r="F149" s="139"/>
      <c r="G149" s="158"/>
      <c r="H149" s="160"/>
      <c r="I149" s="136"/>
    </row>
    <row r="150" spans="1:9" ht="12.75">
      <c r="A150" s="135"/>
      <c r="B150" s="136"/>
      <c r="C150" s="100"/>
      <c r="D150" s="127"/>
      <c r="E150" s="139"/>
      <c r="F150" s="139"/>
      <c r="G150" s="158"/>
      <c r="H150" s="159"/>
      <c r="I150" s="136"/>
    </row>
    <row r="151" spans="1:9" ht="15.75">
      <c r="A151" s="135"/>
      <c r="B151" s="136"/>
      <c r="C151" s="140"/>
      <c r="D151" s="127"/>
      <c r="E151" s="141"/>
      <c r="F151" s="129"/>
      <c r="G151" s="158"/>
      <c r="H151" s="160"/>
      <c r="I151" s="136"/>
    </row>
    <row r="152" spans="1:9" ht="12.75">
      <c r="A152" s="135"/>
      <c r="B152" s="136"/>
      <c r="C152" s="136"/>
      <c r="E152" s="142"/>
      <c r="F152" s="142"/>
      <c r="G152" s="161"/>
      <c r="H152" s="159"/>
      <c r="I152" s="136"/>
    </row>
    <row r="153" spans="1:9" ht="12.75">
      <c r="A153" s="135"/>
      <c r="B153" s="136"/>
      <c r="C153" s="136"/>
      <c r="E153" s="142"/>
      <c r="F153" s="142"/>
      <c r="G153" s="161"/>
      <c r="H153" s="159"/>
      <c r="I153" s="136"/>
    </row>
    <row r="154" spans="1:9" ht="12.75">
      <c r="A154" s="135"/>
      <c r="B154" s="136"/>
      <c r="C154" s="136"/>
      <c r="E154" s="142"/>
      <c r="F154" s="142"/>
      <c r="G154" s="161"/>
      <c r="H154" s="159"/>
      <c r="I154" s="136"/>
    </row>
    <row r="155" spans="1:9" ht="12.75">
      <c r="A155" s="135"/>
      <c r="B155" s="136"/>
      <c r="C155" s="136"/>
      <c r="E155" s="142"/>
      <c r="F155" s="142"/>
      <c r="G155" s="161"/>
      <c r="H155" s="159"/>
      <c r="I155" s="136"/>
    </row>
    <row r="156" spans="1:9" ht="12.75">
      <c r="A156" s="135"/>
      <c r="B156" s="136"/>
      <c r="C156" s="136"/>
      <c r="E156" s="142"/>
      <c r="F156" s="142"/>
      <c r="G156" s="161"/>
      <c r="H156" s="159"/>
      <c r="I156" s="136"/>
    </row>
    <row r="157" spans="1:9" ht="12.75">
      <c r="A157" s="135"/>
      <c r="B157" s="136"/>
      <c r="C157" s="136"/>
      <c r="E157" s="142"/>
      <c r="F157" s="142"/>
      <c r="G157" s="161"/>
      <c r="H157" s="159"/>
      <c r="I157" s="136"/>
    </row>
    <row r="158" spans="1:9" ht="12.75">
      <c r="A158" s="135"/>
      <c r="B158" s="136"/>
      <c r="C158" s="136"/>
      <c r="E158" s="142"/>
      <c r="F158" s="142"/>
      <c r="G158" s="161"/>
      <c r="H158" s="159"/>
      <c r="I158" s="136"/>
    </row>
    <row r="159" spans="1:9" ht="12.75">
      <c r="A159" s="135"/>
      <c r="B159" s="136"/>
      <c r="C159" s="136"/>
      <c r="E159" s="142"/>
      <c r="F159" s="142"/>
      <c r="G159" s="161"/>
      <c r="H159" s="159"/>
      <c r="I159" s="136"/>
    </row>
    <row r="160" spans="1:9" ht="12.75">
      <c r="A160" s="135"/>
      <c r="B160" s="136"/>
      <c r="C160" s="136"/>
      <c r="E160" s="142"/>
      <c r="F160" s="142"/>
      <c r="G160" s="161"/>
      <c r="H160" s="159"/>
      <c r="I160" s="136"/>
    </row>
    <row r="161" spans="1:9" ht="12.75">
      <c r="A161" s="135"/>
      <c r="B161" s="136"/>
      <c r="C161" s="136"/>
      <c r="E161" s="142"/>
      <c r="F161" s="142"/>
      <c r="G161" s="161"/>
      <c r="H161" s="159"/>
      <c r="I161" s="136"/>
    </row>
    <row r="162" spans="1:9" ht="12.75">
      <c r="A162" s="135"/>
      <c r="B162" s="136"/>
      <c r="C162" s="136"/>
      <c r="E162" s="142"/>
      <c r="F162" s="142"/>
      <c r="G162" s="161"/>
      <c r="H162" s="159"/>
      <c r="I162" s="136"/>
    </row>
    <row r="163" spans="1:9" ht="12.75">
      <c r="A163" s="135"/>
      <c r="B163" s="136"/>
      <c r="C163" s="136"/>
      <c r="E163" s="142"/>
      <c r="F163" s="142"/>
      <c r="G163" s="161"/>
      <c r="H163" s="159"/>
      <c r="I163" s="136"/>
    </row>
    <row r="164" spans="1:9" ht="12.75">
      <c r="A164" s="135"/>
      <c r="B164" s="136"/>
      <c r="C164" s="136"/>
      <c r="E164" s="142"/>
      <c r="F164" s="142"/>
      <c r="G164" s="161"/>
      <c r="H164" s="159"/>
      <c r="I164" s="136"/>
    </row>
    <row r="165" spans="1:9" ht="12.75">
      <c r="A165" s="135"/>
      <c r="B165" s="136"/>
      <c r="C165" s="136"/>
      <c r="E165" s="142"/>
      <c r="F165" s="142"/>
      <c r="G165" s="161"/>
      <c r="H165" s="159"/>
      <c r="I165" s="136"/>
    </row>
    <row r="166" spans="1:9" ht="12.75">
      <c r="A166" s="135"/>
      <c r="B166" s="136"/>
      <c r="C166" s="136"/>
      <c r="E166" s="142"/>
      <c r="F166" s="142"/>
      <c r="G166" s="161"/>
      <c r="H166" s="159"/>
      <c r="I166" s="136"/>
    </row>
    <row r="167" spans="1:9" ht="12.75">
      <c r="A167" s="135"/>
      <c r="B167" s="136"/>
      <c r="C167" s="136"/>
      <c r="E167" s="142"/>
      <c r="F167" s="142"/>
      <c r="G167" s="161"/>
      <c r="H167" s="159"/>
      <c r="I167" s="136"/>
    </row>
    <row r="168" spans="1:9" ht="12.75">
      <c r="A168" s="135"/>
      <c r="B168" s="136"/>
      <c r="C168" s="136"/>
      <c r="E168" s="142"/>
      <c r="F168" s="142"/>
      <c r="G168" s="161"/>
      <c r="H168" s="159"/>
      <c r="I168" s="136"/>
    </row>
    <row r="169" spans="1:9" ht="12.75">
      <c r="A169" s="135"/>
      <c r="B169" s="136"/>
      <c r="C169" s="136"/>
      <c r="E169" s="142"/>
      <c r="F169" s="142"/>
      <c r="G169" s="161"/>
      <c r="H169" s="159"/>
      <c r="I169" s="136"/>
    </row>
    <row r="170" spans="1:9" ht="12.75">
      <c r="A170" s="135"/>
      <c r="B170" s="136"/>
      <c r="C170" s="136"/>
      <c r="E170" s="142"/>
      <c r="F170" s="142"/>
      <c r="G170" s="161"/>
      <c r="H170" s="159"/>
      <c r="I170" s="136"/>
    </row>
    <row r="171" spans="1:9" ht="12.75">
      <c r="A171" s="135"/>
      <c r="B171" s="136"/>
      <c r="C171" s="136"/>
      <c r="E171" s="142"/>
      <c r="F171" s="142"/>
      <c r="G171" s="161"/>
      <c r="H171" s="159"/>
      <c r="I171" s="136"/>
    </row>
    <row r="172" spans="1:9" ht="12.75">
      <c r="A172" s="135"/>
      <c r="B172" s="136"/>
      <c r="C172" s="136"/>
      <c r="E172" s="142"/>
      <c r="F172" s="142"/>
      <c r="G172" s="161"/>
      <c r="H172" s="159"/>
      <c r="I172" s="136"/>
    </row>
    <row r="173" spans="1:9" ht="12.75">
      <c r="A173" s="135"/>
      <c r="B173" s="136"/>
      <c r="C173" s="136"/>
      <c r="E173" s="142"/>
      <c r="F173" s="142"/>
      <c r="G173" s="161"/>
      <c r="H173" s="159"/>
      <c r="I173" s="136"/>
    </row>
    <row r="174" spans="1:9" ht="12.75">
      <c r="A174" s="135"/>
      <c r="B174" s="136"/>
      <c r="C174" s="136"/>
      <c r="E174" s="142"/>
      <c r="F174" s="142"/>
      <c r="G174" s="161"/>
      <c r="H174" s="159"/>
      <c r="I174" s="136"/>
    </row>
    <row r="175" spans="1:9" ht="12.75">
      <c r="A175" s="135"/>
      <c r="B175" s="136"/>
      <c r="C175" s="136"/>
      <c r="E175" s="142"/>
      <c r="F175" s="142"/>
      <c r="G175" s="161"/>
      <c r="H175" s="159"/>
      <c r="I175" s="136"/>
    </row>
    <row r="176" spans="1:9" ht="12.75">
      <c r="A176" s="135"/>
      <c r="B176" s="136"/>
      <c r="C176" s="136"/>
      <c r="E176" s="142"/>
      <c r="F176" s="142"/>
      <c r="G176" s="161"/>
      <c r="H176" s="159"/>
      <c r="I176" s="136"/>
    </row>
    <row r="177" spans="1:9" ht="12.75">
      <c r="A177" s="135"/>
      <c r="B177" s="136"/>
      <c r="C177" s="136"/>
      <c r="E177" s="142"/>
      <c r="F177" s="142"/>
      <c r="G177" s="161"/>
      <c r="H177" s="159"/>
      <c r="I177" s="136"/>
    </row>
    <row r="178" spans="1:9" ht="12.75">
      <c r="A178" s="124"/>
      <c r="B178" s="144"/>
      <c r="C178" s="145"/>
      <c r="E178" s="136"/>
      <c r="F178" s="136"/>
      <c r="G178" s="161"/>
      <c r="H178" s="159"/>
      <c r="I178" s="100"/>
    </row>
    <row r="179" spans="1:9" ht="15">
      <c r="A179" s="124"/>
      <c r="B179" s="144"/>
      <c r="C179" s="146"/>
      <c r="E179" s="136"/>
      <c r="F179" s="136"/>
      <c r="G179" s="161"/>
      <c r="H179" s="159"/>
      <c r="I179" s="100"/>
    </row>
    <row r="180" spans="1:9" ht="12.75">
      <c r="A180" s="124"/>
      <c r="B180" s="144"/>
      <c r="C180" s="136"/>
      <c r="E180" s="136"/>
      <c r="F180" s="136"/>
      <c r="G180" s="161"/>
      <c r="H180" s="159"/>
      <c r="I180" s="100"/>
    </row>
    <row r="181" spans="1:9" ht="12.75">
      <c r="A181" s="124"/>
      <c r="B181" s="144"/>
      <c r="C181" s="147"/>
      <c r="D181" s="148"/>
      <c r="E181" s="136"/>
      <c r="F181" s="149"/>
      <c r="G181" s="161"/>
      <c r="H181" s="159"/>
      <c r="I181" s="100"/>
    </row>
    <row r="182" spans="1:9" ht="12.75">
      <c r="A182" s="124"/>
      <c r="B182" s="144"/>
      <c r="C182" s="147"/>
      <c r="D182" s="148"/>
      <c r="E182" s="136"/>
      <c r="F182" s="136"/>
      <c r="G182" s="161"/>
      <c r="H182" s="159"/>
      <c r="I182" s="100"/>
    </row>
    <row r="183" spans="1:9" ht="12.75">
      <c r="A183" s="124"/>
      <c r="B183" s="144"/>
      <c r="C183" s="147"/>
      <c r="D183" s="148"/>
      <c r="E183" s="136"/>
      <c r="F183" s="136"/>
      <c r="G183" s="161"/>
      <c r="H183" s="159"/>
      <c r="I183" s="100"/>
    </row>
    <row r="184" spans="1:9" ht="12.75">
      <c r="A184" s="124"/>
      <c r="B184" s="144"/>
      <c r="C184" s="147"/>
      <c r="D184" s="148"/>
      <c r="E184" s="136"/>
      <c r="F184" s="136"/>
      <c r="G184" s="161"/>
      <c r="H184" s="159"/>
      <c r="I184" s="100"/>
    </row>
    <row r="185" spans="1:9" ht="12.75">
      <c r="A185" s="124"/>
      <c r="B185" s="144"/>
      <c r="C185" s="147"/>
      <c r="D185" s="148"/>
      <c r="E185" s="136"/>
      <c r="F185" s="136"/>
      <c r="G185" s="161"/>
      <c r="H185" s="159"/>
      <c r="I185" s="100"/>
    </row>
    <row r="186" spans="1:9" s="101" customFormat="1" ht="12.75">
      <c r="A186" s="124"/>
      <c r="B186" s="144"/>
      <c r="C186" s="147"/>
      <c r="D186" s="148"/>
      <c r="E186" s="136"/>
      <c r="F186" s="136"/>
      <c r="G186" s="161"/>
      <c r="H186" s="159"/>
      <c r="I186" s="100"/>
    </row>
    <row r="187" spans="1:9" s="101" customFormat="1" ht="12.75">
      <c r="A187" s="124"/>
      <c r="B187" s="144"/>
      <c r="C187" s="147"/>
      <c r="D187" s="148"/>
      <c r="E187" s="136"/>
      <c r="F187" s="136"/>
      <c r="G187" s="161"/>
      <c r="H187" s="159"/>
      <c r="I187" s="100"/>
    </row>
    <row r="188" spans="1:9" s="101" customFormat="1" ht="12.75">
      <c r="A188" s="124"/>
      <c r="B188" s="144"/>
      <c r="C188" s="147"/>
      <c r="D188" s="148"/>
      <c r="E188" s="136"/>
      <c r="F188" s="136"/>
      <c r="G188" s="161"/>
      <c r="H188" s="159"/>
      <c r="I188" s="100"/>
    </row>
    <row r="189" spans="1:9" s="101" customFormat="1" ht="12.75">
      <c r="A189" s="124"/>
      <c r="B189" s="144"/>
      <c r="C189" s="147"/>
      <c r="D189" s="148"/>
      <c r="E189" s="136"/>
      <c r="F189" s="136"/>
      <c r="G189" s="161"/>
      <c r="H189" s="159"/>
      <c r="I189" s="100"/>
    </row>
    <row r="190" spans="1:9" s="101" customFormat="1" ht="12.75">
      <c r="A190" s="124"/>
      <c r="B190" s="144"/>
      <c r="C190" s="147"/>
      <c r="D190" s="148"/>
      <c r="E190" s="136"/>
      <c r="F190" s="136"/>
      <c r="G190" s="161"/>
      <c r="H190" s="159"/>
      <c r="I190" s="100"/>
    </row>
    <row r="191" spans="1:9" s="101" customFormat="1" ht="12.75">
      <c r="A191" s="124"/>
      <c r="B191" s="144"/>
      <c r="C191" s="147"/>
      <c r="D191" s="148"/>
      <c r="E191" s="136"/>
      <c r="F191" s="136"/>
      <c r="G191" s="161"/>
      <c r="H191" s="159"/>
      <c r="I191" s="100"/>
    </row>
    <row r="192" spans="1:9" s="101" customFormat="1" ht="12.75">
      <c r="A192" s="124"/>
      <c r="B192" s="144"/>
      <c r="C192" s="147"/>
      <c r="D192" s="148"/>
      <c r="E192" s="136"/>
      <c r="F192" s="136"/>
      <c r="G192" s="161"/>
      <c r="H192" s="159"/>
      <c r="I192" s="100"/>
    </row>
    <row r="193" spans="1:9" s="101" customFormat="1" ht="12.75">
      <c r="A193" s="124"/>
      <c r="B193" s="144"/>
      <c r="C193" s="147"/>
      <c r="D193" s="148"/>
      <c r="E193" s="136"/>
      <c r="F193" s="136"/>
      <c r="G193" s="161"/>
      <c r="H193" s="159"/>
      <c r="I193" s="100"/>
    </row>
    <row r="194" spans="1:9" s="101" customFormat="1" ht="12.75">
      <c r="A194" s="124"/>
      <c r="B194" s="144"/>
      <c r="C194" s="147"/>
      <c r="D194" s="150"/>
      <c r="E194" s="136"/>
      <c r="F194" s="151"/>
      <c r="G194" s="161"/>
      <c r="H194" s="159"/>
      <c r="I194" s="100"/>
    </row>
    <row r="195" spans="1:9" s="101" customFormat="1" ht="12.75">
      <c r="A195" s="124"/>
      <c r="B195" s="144"/>
      <c r="C195" s="136"/>
      <c r="D195" s="136"/>
      <c r="E195" s="136"/>
      <c r="F195" s="136"/>
      <c r="G195" s="161"/>
      <c r="H195" s="159"/>
      <c r="I195" s="100"/>
    </row>
    <row r="196" spans="1:9" s="101" customFormat="1" ht="12.75">
      <c r="A196" s="124"/>
      <c r="B196" s="144"/>
      <c r="C196" s="145"/>
      <c r="D196" s="136"/>
      <c r="E196" s="136"/>
      <c r="F196" s="136"/>
      <c r="G196" s="161"/>
      <c r="H196" s="159"/>
      <c r="I196" s="100"/>
    </row>
    <row r="197" spans="1:9" s="101" customFormat="1" ht="12.75">
      <c r="A197" s="124"/>
      <c r="B197" s="144"/>
      <c r="C197" s="136"/>
      <c r="D197" s="136"/>
      <c r="E197" s="136"/>
      <c r="F197" s="136"/>
      <c r="G197" s="161"/>
      <c r="H197" s="159"/>
      <c r="I197" s="100"/>
    </row>
    <row r="198" spans="1:9" s="101" customFormat="1" ht="12.75">
      <c r="A198" s="124"/>
      <c r="B198" s="144"/>
      <c r="C198" s="136"/>
      <c r="D198" s="136"/>
      <c r="E198" s="136"/>
      <c r="F198" s="136"/>
      <c r="G198" s="161"/>
      <c r="H198" s="159"/>
      <c r="I198" s="100"/>
    </row>
    <row r="199" spans="1:9" s="101" customFormat="1" ht="15">
      <c r="A199" s="124"/>
      <c r="B199" s="144"/>
      <c r="C199" s="146"/>
      <c r="D199" s="136"/>
      <c r="E199" s="136"/>
      <c r="F199" s="136"/>
      <c r="G199" s="161"/>
      <c r="H199" s="159"/>
      <c r="I199" s="100"/>
    </row>
    <row r="200" spans="1:9" s="101" customFormat="1" ht="15">
      <c r="A200" s="124"/>
      <c r="B200" s="144"/>
      <c r="C200" s="146"/>
      <c r="D200" s="136"/>
      <c r="E200" s="136"/>
      <c r="F200" s="136"/>
      <c r="G200" s="161"/>
      <c r="H200" s="159"/>
      <c r="I200" s="100"/>
    </row>
    <row r="201" spans="1:9" s="101" customFormat="1" ht="15">
      <c r="A201" s="124"/>
      <c r="B201" s="144"/>
      <c r="C201" s="146"/>
      <c r="D201" s="152"/>
      <c r="E201" s="136"/>
      <c r="F201" s="136"/>
      <c r="G201" s="161"/>
      <c r="H201" s="159"/>
      <c r="I201" s="100"/>
    </row>
    <row r="202" spans="1:9" s="101" customFormat="1" ht="15">
      <c r="A202" s="124"/>
      <c r="B202" s="144"/>
      <c r="C202" s="146"/>
      <c r="D202" s="152"/>
      <c r="E202" s="136"/>
      <c r="F202" s="136"/>
      <c r="G202" s="161"/>
      <c r="H202" s="159"/>
      <c r="I202" s="100"/>
    </row>
    <row r="203" spans="1:9" s="101" customFormat="1" ht="15">
      <c r="A203" s="124"/>
      <c r="B203" s="144"/>
      <c r="C203" s="146"/>
      <c r="D203" s="152"/>
      <c r="E203" s="136"/>
      <c r="F203" s="136"/>
      <c r="G203" s="161"/>
      <c r="H203" s="159"/>
      <c r="I203" s="100"/>
    </row>
    <row r="204" spans="1:9" s="101" customFormat="1" ht="15">
      <c r="A204" s="124"/>
      <c r="B204" s="144"/>
      <c r="C204" s="146"/>
      <c r="D204" s="152"/>
      <c r="E204" s="136"/>
      <c r="F204" s="136"/>
      <c r="G204" s="161"/>
      <c r="H204" s="159"/>
      <c r="I204" s="100"/>
    </row>
    <row r="205" spans="1:9" s="101" customFormat="1" ht="12.75">
      <c r="A205" s="124"/>
      <c r="B205" s="144"/>
      <c r="C205" s="126"/>
      <c r="D205" s="127"/>
      <c r="E205" s="128"/>
      <c r="F205" s="129"/>
      <c r="G205" s="158"/>
      <c r="H205" s="159"/>
      <c r="I205" s="100"/>
    </row>
    <row r="206" spans="1:9" s="101" customFormat="1" ht="12.75">
      <c r="A206" s="124"/>
      <c r="B206" s="144"/>
      <c r="C206" s="126"/>
      <c r="D206" s="127"/>
      <c r="E206" s="128"/>
      <c r="F206" s="129"/>
      <c r="G206" s="158"/>
      <c r="H206" s="159" t="str">
        <f aca="true" t="shared" si="5" ref="H206:H269">IF(AND(F206&gt;0,G206&gt;0),ROUND(F206*G206,0)," ")</f>
        <v xml:space="preserve"> </v>
      </c>
      <c r="I206" s="100"/>
    </row>
    <row r="207" spans="1:9" s="101" customFormat="1" ht="12.75">
      <c r="A207" s="124"/>
      <c r="B207" s="144"/>
      <c r="C207" s="126"/>
      <c r="D207" s="127"/>
      <c r="E207" s="128"/>
      <c r="F207" s="129"/>
      <c r="G207" s="158"/>
      <c r="H207" s="159" t="str">
        <f t="shared" si="5"/>
        <v xml:space="preserve"> </v>
      </c>
      <c r="I207" s="100"/>
    </row>
    <row r="208" spans="1:9" s="101" customFormat="1" ht="12.75">
      <c r="A208" s="124"/>
      <c r="B208" s="144"/>
      <c r="C208" s="126"/>
      <c r="D208" s="127"/>
      <c r="E208" s="128"/>
      <c r="F208" s="129"/>
      <c r="G208" s="158"/>
      <c r="H208" s="159" t="str">
        <f t="shared" si="5"/>
        <v xml:space="preserve"> </v>
      </c>
      <c r="I208" s="100"/>
    </row>
    <row r="209" spans="1:9" s="101" customFormat="1" ht="12.75">
      <c r="A209" s="124"/>
      <c r="B209" s="144"/>
      <c r="C209" s="126"/>
      <c r="D209" s="127"/>
      <c r="E209" s="128"/>
      <c r="F209" s="129"/>
      <c r="G209" s="158"/>
      <c r="H209" s="159" t="str">
        <f t="shared" si="5"/>
        <v xml:space="preserve"> </v>
      </c>
      <c r="I209" s="100"/>
    </row>
    <row r="210" spans="1:9" s="101" customFormat="1" ht="12.75">
      <c r="A210" s="124"/>
      <c r="B210" s="144"/>
      <c r="C210" s="126"/>
      <c r="D210" s="127"/>
      <c r="E210" s="128"/>
      <c r="F210" s="129"/>
      <c r="G210" s="158"/>
      <c r="H210" s="159" t="str">
        <f t="shared" si="5"/>
        <v xml:space="preserve"> </v>
      </c>
      <c r="I210" s="100"/>
    </row>
    <row r="211" spans="1:9" s="101" customFormat="1" ht="12.75">
      <c r="A211" s="124"/>
      <c r="B211" s="144"/>
      <c r="C211" s="126"/>
      <c r="D211" s="127"/>
      <c r="E211" s="128"/>
      <c r="F211" s="129"/>
      <c r="G211" s="158"/>
      <c r="H211" s="159" t="str">
        <f t="shared" si="5"/>
        <v xml:space="preserve"> </v>
      </c>
      <c r="I211" s="100"/>
    </row>
    <row r="212" spans="1:9" s="101" customFormat="1" ht="12.75">
      <c r="A212" s="124"/>
      <c r="B212" s="144"/>
      <c r="C212" s="126"/>
      <c r="D212" s="127"/>
      <c r="E212" s="128"/>
      <c r="F212" s="129"/>
      <c r="G212" s="158"/>
      <c r="H212" s="159" t="str">
        <f t="shared" si="5"/>
        <v xml:space="preserve"> </v>
      </c>
      <c r="I212" s="100"/>
    </row>
    <row r="213" spans="1:9" s="101" customFormat="1" ht="12.75">
      <c r="A213" s="124"/>
      <c r="B213" s="144"/>
      <c r="C213" s="126"/>
      <c r="D213" s="127"/>
      <c r="E213" s="128"/>
      <c r="F213" s="129"/>
      <c r="G213" s="158"/>
      <c r="H213" s="159" t="str">
        <f t="shared" si="5"/>
        <v xml:space="preserve"> </v>
      </c>
      <c r="I213" s="100"/>
    </row>
    <row r="214" spans="1:9" s="101" customFormat="1" ht="12.75">
      <c r="A214" s="124"/>
      <c r="B214" s="144"/>
      <c r="C214" s="126"/>
      <c r="D214" s="127"/>
      <c r="E214" s="128"/>
      <c r="F214" s="129"/>
      <c r="G214" s="158"/>
      <c r="H214" s="159" t="str">
        <f t="shared" si="5"/>
        <v xml:space="preserve"> </v>
      </c>
      <c r="I214" s="100"/>
    </row>
    <row r="215" spans="1:9" s="101" customFormat="1" ht="12.75">
      <c r="A215" s="124"/>
      <c r="B215" s="144"/>
      <c r="C215" s="126"/>
      <c r="D215" s="127"/>
      <c r="E215" s="128"/>
      <c r="F215" s="129"/>
      <c r="G215" s="158"/>
      <c r="H215" s="159" t="str">
        <f t="shared" si="5"/>
        <v xml:space="preserve"> </v>
      </c>
      <c r="I215" s="100"/>
    </row>
    <row r="216" spans="1:9" s="101" customFormat="1" ht="12.75">
      <c r="A216" s="124"/>
      <c r="B216" s="144"/>
      <c r="C216" s="126"/>
      <c r="D216" s="127"/>
      <c r="E216" s="128"/>
      <c r="F216" s="129"/>
      <c r="G216" s="158"/>
      <c r="H216" s="159" t="str">
        <f t="shared" si="5"/>
        <v xml:space="preserve"> </v>
      </c>
      <c r="I216" s="100"/>
    </row>
    <row r="217" spans="1:9" s="101" customFormat="1" ht="12.75">
      <c r="A217" s="124"/>
      <c r="B217" s="144"/>
      <c r="C217" s="126"/>
      <c r="D217" s="127"/>
      <c r="E217" s="128"/>
      <c r="F217" s="129"/>
      <c r="G217" s="158"/>
      <c r="H217" s="159" t="str">
        <f t="shared" si="5"/>
        <v xml:space="preserve"> </v>
      </c>
      <c r="I217" s="100"/>
    </row>
    <row r="218" spans="1:9" s="101" customFormat="1" ht="12.75">
      <c r="A218" s="124"/>
      <c r="B218" s="144"/>
      <c r="C218" s="126"/>
      <c r="D218" s="127"/>
      <c r="E218" s="128"/>
      <c r="F218" s="129"/>
      <c r="G218" s="158"/>
      <c r="H218" s="159" t="str">
        <f t="shared" si="5"/>
        <v xml:space="preserve"> </v>
      </c>
      <c r="I218" s="100"/>
    </row>
    <row r="219" spans="1:9" s="101" customFormat="1" ht="12.75">
      <c r="A219" s="124"/>
      <c r="B219" s="144"/>
      <c r="C219" s="126"/>
      <c r="D219" s="127"/>
      <c r="E219" s="128"/>
      <c r="F219" s="129"/>
      <c r="G219" s="158"/>
      <c r="H219" s="159" t="str">
        <f t="shared" si="5"/>
        <v xml:space="preserve"> </v>
      </c>
      <c r="I219" s="100"/>
    </row>
    <row r="220" spans="1:9" s="101" customFormat="1" ht="12.75">
      <c r="A220" s="124"/>
      <c r="B220" s="144"/>
      <c r="C220" s="126"/>
      <c r="D220" s="127"/>
      <c r="E220" s="128"/>
      <c r="F220" s="129"/>
      <c r="G220" s="158"/>
      <c r="H220" s="159" t="str">
        <f t="shared" si="5"/>
        <v xml:space="preserve"> </v>
      </c>
      <c r="I220" s="100"/>
    </row>
    <row r="221" spans="1:9" s="101" customFormat="1" ht="12.75">
      <c r="A221" s="124"/>
      <c r="B221" s="144"/>
      <c r="C221" s="126"/>
      <c r="D221" s="127"/>
      <c r="E221" s="128"/>
      <c r="F221" s="129"/>
      <c r="G221" s="158"/>
      <c r="H221" s="159" t="str">
        <f t="shared" si="5"/>
        <v xml:space="preserve"> </v>
      </c>
      <c r="I221" s="100"/>
    </row>
    <row r="222" spans="1:9" s="101" customFormat="1" ht="12.75">
      <c r="A222" s="124"/>
      <c r="B222" s="144"/>
      <c r="C222" s="126"/>
      <c r="D222" s="127"/>
      <c r="E222" s="128"/>
      <c r="F222" s="129"/>
      <c r="G222" s="158"/>
      <c r="H222" s="159" t="str">
        <f t="shared" si="5"/>
        <v xml:space="preserve"> </v>
      </c>
      <c r="I222" s="100"/>
    </row>
    <row r="223" spans="1:9" s="101" customFormat="1" ht="12.75">
      <c r="A223" s="124"/>
      <c r="B223" s="144"/>
      <c r="C223" s="126"/>
      <c r="D223" s="127"/>
      <c r="E223" s="128"/>
      <c r="F223" s="129"/>
      <c r="G223" s="158"/>
      <c r="H223" s="159" t="str">
        <f t="shared" si="5"/>
        <v xml:space="preserve"> </v>
      </c>
      <c r="I223" s="100"/>
    </row>
    <row r="224" spans="1:9" s="101" customFormat="1" ht="12.75">
      <c r="A224" s="124"/>
      <c r="B224" s="144"/>
      <c r="C224" s="126"/>
      <c r="D224" s="127"/>
      <c r="E224" s="128"/>
      <c r="F224" s="129"/>
      <c r="G224" s="158"/>
      <c r="H224" s="159" t="str">
        <f t="shared" si="5"/>
        <v xml:space="preserve"> </v>
      </c>
      <c r="I224" s="100"/>
    </row>
    <row r="225" spans="1:9" s="101" customFormat="1" ht="12.75">
      <c r="A225" s="124"/>
      <c r="B225" s="144"/>
      <c r="C225" s="126"/>
      <c r="D225" s="127"/>
      <c r="E225" s="128"/>
      <c r="F225" s="129"/>
      <c r="G225" s="158"/>
      <c r="H225" s="159" t="str">
        <f t="shared" si="5"/>
        <v xml:space="preserve"> </v>
      </c>
      <c r="I225" s="100"/>
    </row>
    <row r="226" spans="1:9" s="101" customFormat="1" ht="12.75">
      <c r="A226" s="124"/>
      <c r="B226" s="144"/>
      <c r="C226" s="126"/>
      <c r="D226" s="127"/>
      <c r="E226" s="128"/>
      <c r="F226" s="129"/>
      <c r="G226" s="158"/>
      <c r="H226" s="159" t="str">
        <f t="shared" si="5"/>
        <v xml:space="preserve"> </v>
      </c>
      <c r="I226" s="100"/>
    </row>
    <row r="227" spans="1:9" s="101" customFormat="1" ht="12.75">
      <c r="A227" s="124"/>
      <c r="B227" s="144"/>
      <c r="C227" s="126"/>
      <c r="D227" s="127"/>
      <c r="E227" s="128"/>
      <c r="F227" s="129"/>
      <c r="G227" s="158"/>
      <c r="H227" s="159" t="str">
        <f t="shared" si="5"/>
        <v xml:space="preserve"> </v>
      </c>
      <c r="I227" s="100"/>
    </row>
    <row r="228" spans="1:9" s="101" customFormat="1" ht="12.75">
      <c r="A228" s="124"/>
      <c r="B228" s="144"/>
      <c r="C228" s="126"/>
      <c r="D228" s="127"/>
      <c r="E228" s="128"/>
      <c r="F228" s="129"/>
      <c r="G228" s="158"/>
      <c r="H228" s="159" t="str">
        <f t="shared" si="5"/>
        <v xml:space="preserve"> </v>
      </c>
      <c r="I228" s="100"/>
    </row>
    <row r="229" spans="1:9" s="101" customFormat="1" ht="12.75">
      <c r="A229" s="124"/>
      <c r="B229" s="144"/>
      <c r="C229" s="126"/>
      <c r="D229" s="127"/>
      <c r="E229" s="128"/>
      <c r="F229" s="129"/>
      <c r="G229" s="158"/>
      <c r="H229" s="159" t="str">
        <f t="shared" si="5"/>
        <v xml:space="preserve"> </v>
      </c>
      <c r="I229" s="100"/>
    </row>
    <row r="230" spans="1:9" s="101" customFormat="1" ht="12.75">
      <c r="A230" s="124"/>
      <c r="B230" s="144"/>
      <c r="C230" s="126"/>
      <c r="D230" s="127"/>
      <c r="E230" s="128"/>
      <c r="F230" s="129"/>
      <c r="G230" s="158"/>
      <c r="H230" s="159" t="str">
        <f t="shared" si="5"/>
        <v xml:space="preserve"> </v>
      </c>
      <c r="I230" s="100"/>
    </row>
    <row r="231" spans="1:9" s="101" customFormat="1" ht="12.75">
      <c r="A231" s="124"/>
      <c r="B231" s="144"/>
      <c r="C231" s="126"/>
      <c r="D231" s="127"/>
      <c r="E231" s="128"/>
      <c r="F231" s="129"/>
      <c r="G231" s="158"/>
      <c r="H231" s="159" t="str">
        <f t="shared" si="5"/>
        <v xml:space="preserve"> </v>
      </c>
      <c r="I231" s="100"/>
    </row>
    <row r="232" spans="1:9" s="101" customFormat="1" ht="12.75">
      <c r="A232" s="124"/>
      <c r="B232" s="144"/>
      <c r="C232" s="126"/>
      <c r="D232" s="127"/>
      <c r="E232" s="128"/>
      <c r="F232" s="129"/>
      <c r="G232" s="158"/>
      <c r="H232" s="159" t="str">
        <f t="shared" si="5"/>
        <v xml:space="preserve"> </v>
      </c>
      <c r="I232" s="100"/>
    </row>
    <row r="233" spans="1:9" s="101" customFormat="1" ht="12.75">
      <c r="A233" s="124"/>
      <c r="B233" s="144"/>
      <c r="C233" s="126"/>
      <c r="D233" s="127"/>
      <c r="E233" s="128"/>
      <c r="F233" s="129"/>
      <c r="G233" s="158"/>
      <c r="H233" s="159" t="str">
        <f t="shared" si="5"/>
        <v xml:space="preserve"> </v>
      </c>
      <c r="I233" s="100"/>
    </row>
    <row r="234" spans="1:9" s="101" customFormat="1" ht="12.75">
      <c r="A234" s="124"/>
      <c r="B234" s="144"/>
      <c r="C234" s="126"/>
      <c r="D234" s="127"/>
      <c r="E234" s="128"/>
      <c r="F234" s="129"/>
      <c r="G234" s="158"/>
      <c r="H234" s="159" t="str">
        <f t="shared" si="5"/>
        <v xml:space="preserve"> </v>
      </c>
      <c r="I234" s="100"/>
    </row>
    <row r="235" spans="1:9" s="101" customFormat="1" ht="12.75">
      <c r="A235" s="124"/>
      <c r="B235" s="144"/>
      <c r="C235" s="126"/>
      <c r="D235" s="127"/>
      <c r="E235" s="128"/>
      <c r="F235" s="129"/>
      <c r="G235" s="158"/>
      <c r="H235" s="159" t="str">
        <f t="shared" si="5"/>
        <v xml:space="preserve"> </v>
      </c>
      <c r="I235" s="100"/>
    </row>
    <row r="236" spans="1:9" s="101" customFormat="1" ht="12.75">
      <c r="A236" s="124"/>
      <c r="B236" s="144"/>
      <c r="C236" s="126"/>
      <c r="D236" s="127"/>
      <c r="E236" s="128"/>
      <c r="F236" s="129"/>
      <c r="G236" s="158"/>
      <c r="H236" s="159" t="str">
        <f t="shared" si="5"/>
        <v xml:space="preserve"> </v>
      </c>
      <c r="I236" s="100"/>
    </row>
    <row r="237" spans="1:9" s="101" customFormat="1" ht="12.75">
      <c r="A237" s="124"/>
      <c r="B237" s="144"/>
      <c r="C237" s="126"/>
      <c r="D237" s="127"/>
      <c r="E237" s="128"/>
      <c r="F237" s="129"/>
      <c r="G237" s="158"/>
      <c r="H237" s="159" t="str">
        <f t="shared" si="5"/>
        <v xml:space="preserve"> </v>
      </c>
      <c r="I237" s="100"/>
    </row>
    <row r="238" spans="1:9" s="101" customFormat="1" ht="12.75">
      <c r="A238" s="124"/>
      <c r="B238" s="144"/>
      <c r="C238" s="126"/>
      <c r="D238" s="127"/>
      <c r="E238" s="128"/>
      <c r="F238" s="129"/>
      <c r="G238" s="158"/>
      <c r="H238" s="159" t="str">
        <f t="shared" si="5"/>
        <v xml:space="preserve"> </v>
      </c>
      <c r="I238" s="100"/>
    </row>
    <row r="239" spans="1:9" s="101" customFormat="1" ht="12.75">
      <c r="A239" s="124"/>
      <c r="B239" s="144"/>
      <c r="C239" s="126"/>
      <c r="D239" s="127"/>
      <c r="E239" s="128"/>
      <c r="F239" s="129"/>
      <c r="G239" s="158"/>
      <c r="H239" s="159" t="str">
        <f t="shared" si="5"/>
        <v xml:space="preserve"> </v>
      </c>
      <c r="I239" s="100"/>
    </row>
    <row r="240" spans="1:9" s="101" customFormat="1" ht="12.75">
      <c r="A240" s="124"/>
      <c r="B240" s="144"/>
      <c r="C240" s="126"/>
      <c r="D240" s="127"/>
      <c r="E240" s="128"/>
      <c r="F240" s="129"/>
      <c r="G240" s="130"/>
      <c r="H240" s="131" t="str">
        <f t="shared" si="5"/>
        <v xml:space="preserve"> </v>
      </c>
      <c r="I240" s="100"/>
    </row>
    <row r="241" spans="1:9" s="101" customFormat="1" ht="12.75">
      <c r="A241" s="124"/>
      <c r="B241" s="144"/>
      <c r="C241" s="126"/>
      <c r="D241" s="127"/>
      <c r="E241" s="128"/>
      <c r="F241" s="129"/>
      <c r="G241" s="130"/>
      <c r="H241" s="131" t="str">
        <f t="shared" si="5"/>
        <v xml:space="preserve"> </v>
      </c>
      <c r="I241" s="100"/>
    </row>
    <row r="242" spans="1:9" s="101" customFormat="1" ht="12.75">
      <c r="A242" s="124"/>
      <c r="B242" s="144"/>
      <c r="C242" s="126"/>
      <c r="D242" s="127"/>
      <c r="E242" s="128"/>
      <c r="F242" s="129"/>
      <c r="G242" s="130"/>
      <c r="H242" s="131" t="str">
        <f t="shared" si="5"/>
        <v xml:space="preserve"> </v>
      </c>
      <c r="I242" s="100"/>
    </row>
    <row r="243" spans="1:9" s="101" customFormat="1" ht="12.75">
      <c r="A243" s="124"/>
      <c r="B243" s="144"/>
      <c r="C243" s="126"/>
      <c r="D243" s="127"/>
      <c r="E243" s="128"/>
      <c r="F243" s="129"/>
      <c r="G243" s="130"/>
      <c r="H243" s="131" t="str">
        <f t="shared" si="5"/>
        <v xml:space="preserve"> </v>
      </c>
      <c r="I243" s="100"/>
    </row>
    <row r="244" spans="1:9" s="101" customFormat="1" ht="12.75">
      <c r="A244" s="124"/>
      <c r="B244" s="144"/>
      <c r="C244" s="126"/>
      <c r="D244" s="127"/>
      <c r="E244" s="128"/>
      <c r="F244" s="129"/>
      <c r="G244" s="130"/>
      <c r="H244" s="131" t="str">
        <f t="shared" si="5"/>
        <v xml:space="preserve"> </v>
      </c>
      <c r="I244" s="100"/>
    </row>
    <row r="245" spans="1:9" s="101" customFormat="1" ht="12.75">
      <c r="A245" s="124"/>
      <c r="B245" s="144"/>
      <c r="C245" s="126"/>
      <c r="D245" s="127"/>
      <c r="E245" s="128"/>
      <c r="F245" s="129"/>
      <c r="G245" s="130"/>
      <c r="H245" s="131" t="str">
        <f t="shared" si="5"/>
        <v xml:space="preserve"> </v>
      </c>
      <c r="I245" s="100"/>
    </row>
    <row r="246" spans="1:9" s="101" customFormat="1" ht="12.75">
      <c r="A246" s="124"/>
      <c r="B246" s="144"/>
      <c r="C246" s="126"/>
      <c r="D246" s="127"/>
      <c r="E246" s="128"/>
      <c r="F246" s="129"/>
      <c r="G246" s="130"/>
      <c r="H246" s="131" t="str">
        <f t="shared" si="5"/>
        <v xml:space="preserve"> </v>
      </c>
      <c r="I246" s="100"/>
    </row>
    <row r="247" spans="1:9" s="101" customFormat="1" ht="12.75">
      <c r="A247" s="124"/>
      <c r="B247" s="144"/>
      <c r="C247" s="126"/>
      <c r="D247" s="127"/>
      <c r="E247" s="128"/>
      <c r="F247" s="129"/>
      <c r="G247" s="130"/>
      <c r="H247" s="131" t="str">
        <f t="shared" si="5"/>
        <v xml:space="preserve"> </v>
      </c>
      <c r="I247" s="100"/>
    </row>
    <row r="248" spans="1:9" s="101" customFormat="1" ht="12.75">
      <c r="A248" s="124"/>
      <c r="B248" s="144"/>
      <c r="C248" s="126"/>
      <c r="D248" s="127"/>
      <c r="E248" s="128"/>
      <c r="F248" s="129"/>
      <c r="G248" s="130"/>
      <c r="H248" s="131" t="str">
        <f t="shared" si="5"/>
        <v xml:space="preserve"> </v>
      </c>
      <c r="I248" s="100"/>
    </row>
    <row r="249" spans="1:9" s="101" customFormat="1" ht="12.75">
      <c r="A249" s="124"/>
      <c r="B249" s="144"/>
      <c r="C249" s="126"/>
      <c r="D249" s="127"/>
      <c r="E249" s="128"/>
      <c r="F249" s="129"/>
      <c r="G249" s="130"/>
      <c r="H249" s="131" t="str">
        <f t="shared" si="5"/>
        <v xml:space="preserve"> </v>
      </c>
      <c r="I249" s="100"/>
    </row>
    <row r="250" spans="1:9" s="101" customFormat="1" ht="12.75">
      <c r="A250" s="124"/>
      <c r="B250" s="144"/>
      <c r="C250" s="126"/>
      <c r="D250" s="127"/>
      <c r="E250" s="128"/>
      <c r="F250" s="129"/>
      <c r="G250" s="130"/>
      <c r="H250" s="131" t="str">
        <f t="shared" si="5"/>
        <v xml:space="preserve"> </v>
      </c>
      <c r="I250" s="100"/>
    </row>
    <row r="251" spans="1:9" s="101" customFormat="1" ht="12.75">
      <c r="A251" s="124"/>
      <c r="B251" s="144"/>
      <c r="C251" s="126"/>
      <c r="D251" s="127"/>
      <c r="E251" s="128"/>
      <c r="F251" s="129"/>
      <c r="G251" s="130"/>
      <c r="H251" s="131" t="str">
        <f t="shared" si="5"/>
        <v xml:space="preserve"> </v>
      </c>
      <c r="I251" s="100"/>
    </row>
    <row r="252" spans="1:9" s="101" customFormat="1" ht="12.75">
      <c r="A252" s="124"/>
      <c r="B252" s="144"/>
      <c r="C252" s="126"/>
      <c r="D252" s="127"/>
      <c r="E252" s="128"/>
      <c r="F252" s="129"/>
      <c r="G252" s="130"/>
      <c r="H252" s="131" t="str">
        <f t="shared" si="5"/>
        <v xml:space="preserve"> </v>
      </c>
      <c r="I252" s="100"/>
    </row>
    <row r="253" spans="1:9" s="101" customFormat="1" ht="12.75">
      <c r="A253" s="124"/>
      <c r="B253" s="144"/>
      <c r="C253" s="126"/>
      <c r="D253" s="127"/>
      <c r="E253" s="128"/>
      <c r="F253" s="129"/>
      <c r="G253" s="130"/>
      <c r="H253" s="131" t="str">
        <f t="shared" si="5"/>
        <v xml:space="preserve"> </v>
      </c>
      <c r="I253" s="100"/>
    </row>
    <row r="254" spans="1:9" s="101" customFormat="1" ht="12.75">
      <c r="A254" s="124"/>
      <c r="B254" s="144"/>
      <c r="C254" s="126"/>
      <c r="D254" s="127"/>
      <c r="E254" s="128"/>
      <c r="F254" s="129"/>
      <c r="G254" s="130"/>
      <c r="H254" s="131" t="str">
        <f t="shared" si="5"/>
        <v xml:space="preserve"> </v>
      </c>
      <c r="I254" s="100"/>
    </row>
    <row r="255" spans="1:9" s="101" customFormat="1" ht="12.75">
      <c r="A255" s="124"/>
      <c r="B255" s="144"/>
      <c r="C255" s="126"/>
      <c r="D255" s="127"/>
      <c r="E255" s="128"/>
      <c r="F255" s="129"/>
      <c r="G255" s="130"/>
      <c r="H255" s="131" t="str">
        <f t="shared" si="5"/>
        <v xml:space="preserve"> </v>
      </c>
      <c r="I255" s="100"/>
    </row>
    <row r="256" spans="1:9" s="101" customFormat="1" ht="12.75">
      <c r="A256" s="124"/>
      <c r="B256" s="144"/>
      <c r="C256" s="126"/>
      <c r="D256" s="127"/>
      <c r="E256" s="128"/>
      <c r="F256" s="129"/>
      <c r="G256" s="130"/>
      <c r="H256" s="131" t="str">
        <f t="shared" si="5"/>
        <v xml:space="preserve"> </v>
      </c>
      <c r="I256" s="100"/>
    </row>
    <row r="257" spans="1:9" s="101" customFormat="1" ht="12.75">
      <c r="A257" s="124"/>
      <c r="B257" s="144"/>
      <c r="C257" s="126"/>
      <c r="D257" s="127"/>
      <c r="E257" s="128"/>
      <c r="F257" s="129"/>
      <c r="G257" s="130"/>
      <c r="H257" s="131" t="str">
        <f t="shared" si="5"/>
        <v xml:space="preserve"> </v>
      </c>
      <c r="I257" s="100"/>
    </row>
    <row r="258" spans="1:9" s="101" customFormat="1" ht="12.75">
      <c r="A258" s="124"/>
      <c r="B258" s="144"/>
      <c r="C258" s="126"/>
      <c r="D258" s="127"/>
      <c r="E258" s="128"/>
      <c r="F258" s="129"/>
      <c r="G258" s="130"/>
      <c r="H258" s="131" t="str">
        <f t="shared" si="5"/>
        <v xml:space="preserve"> </v>
      </c>
      <c r="I258" s="100"/>
    </row>
    <row r="259" spans="1:9" s="101" customFormat="1" ht="12.75">
      <c r="A259" s="124"/>
      <c r="B259" s="144"/>
      <c r="C259" s="126"/>
      <c r="D259" s="127"/>
      <c r="E259" s="128"/>
      <c r="F259" s="129"/>
      <c r="G259" s="130"/>
      <c r="H259" s="131" t="str">
        <f t="shared" si="5"/>
        <v xml:space="preserve"> </v>
      </c>
      <c r="I259" s="100"/>
    </row>
    <row r="260" spans="1:9" s="101" customFormat="1" ht="12.75">
      <c r="A260" s="124"/>
      <c r="B260" s="144"/>
      <c r="C260" s="126"/>
      <c r="D260" s="127"/>
      <c r="E260" s="128"/>
      <c r="F260" s="129"/>
      <c r="G260" s="130"/>
      <c r="H260" s="131" t="str">
        <f t="shared" si="5"/>
        <v xml:space="preserve"> </v>
      </c>
      <c r="I260" s="100"/>
    </row>
    <row r="261" spans="1:9" s="101" customFormat="1" ht="12.75">
      <c r="A261" s="124"/>
      <c r="B261" s="144"/>
      <c r="C261" s="126"/>
      <c r="D261" s="127"/>
      <c r="E261" s="128"/>
      <c r="F261" s="129"/>
      <c r="G261" s="130"/>
      <c r="H261" s="131" t="str">
        <f t="shared" si="5"/>
        <v xml:space="preserve"> </v>
      </c>
      <c r="I261" s="100"/>
    </row>
    <row r="262" spans="1:9" s="101" customFormat="1" ht="12.75">
      <c r="A262" s="124"/>
      <c r="B262" s="144"/>
      <c r="C262" s="126"/>
      <c r="D262" s="127"/>
      <c r="E262" s="128"/>
      <c r="F262" s="129"/>
      <c r="G262" s="130"/>
      <c r="H262" s="131" t="str">
        <f t="shared" si="5"/>
        <v xml:space="preserve"> </v>
      </c>
      <c r="I262" s="100"/>
    </row>
    <row r="263" spans="1:9" s="101" customFormat="1" ht="12.75">
      <c r="A263" s="124"/>
      <c r="B263" s="144"/>
      <c r="C263" s="126"/>
      <c r="D263" s="127"/>
      <c r="E263" s="128"/>
      <c r="F263" s="129"/>
      <c r="G263" s="130"/>
      <c r="H263" s="131" t="str">
        <f t="shared" si="5"/>
        <v xml:space="preserve"> </v>
      </c>
      <c r="I263" s="100"/>
    </row>
    <row r="264" spans="1:9" s="101" customFormat="1" ht="12.75">
      <c r="A264" s="124"/>
      <c r="B264" s="144"/>
      <c r="C264" s="126"/>
      <c r="D264" s="127"/>
      <c r="E264" s="128"/>
      <c r="F264" s="129"/>
      <c r="G264" s="130"/>
      <c r="H264" s="131" t="str">
        <f t="shared" si="5"/>
        <v xml:space="preserve"> </v>
      </c>
      <c r="I264" s="100"/>
    </row>
    <row r="265" spans="1:9" s="101" customFormat="1" ht="12.75">
      <c r="A265" s="124"/>
      <c r="B265" s="144"/>
      <c r="C265" s="126"/>
      <c r="D265" s="127"/>
      <c r="E265" s="128"/>
      <c r="F265" s="129"/>
      <c r="G265" s="130"/>
      <c r="H265" s="131" t="str">
        <f t="shared" si="5"/>
        <v xml:space="preserve"> </v>
      </c>
      <c r="I265" s="100"/>
    </row>
    <row r="266" spans="1:9" s="101" customFormat="1" ht="12.75">
      <c r="A266" s="124"/>
      <c r="B266" s="144"/>
      <c r="C266" s="126"/>
      <c r="D266" s="127"/>
      <c r="E266" s="128"/>
      <c r="F266" s="129"/>
      <c r="G266" s="130"/>
      <c r="H266" s="131" t="str">
        <f t="shared" si="5"/>
        <v xml:space="preserve"> </v>
      </c>
      <c r="I266" s="100"/>
    </row>
    <row r="267" spans="1:9" s="101" customFormat="1" ht="12.75">
      <c r="A267" s="124"/>
      <c r="B267" s="144"/>
      <c r="C267" s="126"/>
      <c r="D267" s="127"/>
      <c r="E267" s="128"/>
      <c r="F267" s="129"/>
      <c r="G267" s="130"/>
      <c r="H267" s="131" t="str">
        <f t="shared" si="5"/>
        <v xml:space="preserve"> </v>
      </c>
      <c r="I267" s="100"/>
    </row>
    <row r="268" spans="1:9" s="101" customFormat="1" ht="12.75">
      <c r="A268" s="124"/>
      <c r="B268" s="144"/>
      <c r="C268" s="126"/>
      <c r="D268" s="127"/>
      <c r="E268" s="128"/>
      <c r="F268" s="129"/>
      <c r="G268" s="130"/>
      <c r="H268" s="131" t="str">
        <f t="shared" si="5"/>
        <v xml:space="preserve"> </v>
      </c>
      <c r="I268" s="100"/>
    </row>
    <row r="269" spans="1:9" s="101" customFormat="1" ht="12.75">
      <c r="A269" s="124"/>
      <c r="B269" s="144"/>
      <c r="C269" s="126"/>
      <c r="D269" s="127"/>
      <c r="E269" s="128"/>
      <c r="F269" s="129"/>
      <c r="G269" s="130"/>
      <c r="H269" s="131" t="str">
        <f t="shared" si="5"/>
        <v xml:space="preserve"> </v>
      </c>
      <c r="I269" s="100"/>
    </row>
    <row r="270" spans="1:9" s="101" customFormat="1" ht="12.75">
      <c r="A270" s="124"/>
      <c r="B270" s="144"/>
      <c r="C270" s="126"/>
      <c r="D270" s="127"/>
      <c r="E270" s="128"/>
      <c r="F270" s="129"/>
      <c r="G270" s="130"/>
      <c r="H270" s="131" t="str">
        <f aca="true" t="shared" si="6" ref="H270:H309">IF(AND(F270&gt;0,G270&gt;0),ROUND(F270*G270,0)," ")</f>
        <v xml:space="preserve"> </v>
      </c>
      <c r="I270" s="100"/>
    </row>
    <row r="271" spans="1:9" s="101" customFormat="1" ht="12.75">
      <c r="A271" s="124"/>
      <c r="B271" s="144"/>
      <c r="C271" s="126"/>
      <c r="D271" s="127"/>
      <c r="E271" s="128"/>
      <c r="F271" s="129"/>
      <c r="G271" s="130"/>
      <c r="H271" s="131" t="str">
        <f t="shared" si="6"/>
        <v xml:space="preserve"> </v>
      </c>
      <c r="I271" s="100"/>
    </row>
    <row r="272" spans="1:9" s="101" customFormat="1" ht="12.75">
      <c r="A272" s="124"/>
      <c r="B272" s="144"/>
      <c r="C272" s="126"/>
      <c r="D272" s="127"/>
      <c r="E272" s="128"/>
      <c r="F272" s="129"/>
      <c r="G272" s="130"/>
      <c r="H272" s="131" t="str">
        <f t="shared" si="6"/>
        <v xml:space="preserve"> </v>
      </c>
      <c r="I272" s="100"/>
    </row>
    <row r="273" spans="1:9" s="101" customFormat="1" ht="12.75">
      <c r="A273" s="124"/>
      <c r="B273" s="144"/>
      <c r="C273" s="126"/>
      <c r="D273" s="127"/>
      <c r="E273" s="128"/>
      <c r="F273" s="129"/>
      <c r="G273" s="130"/>
      <c r="H273" s="131" t="str">
        <f t="shared" si="6"/>
        <v xml:space="preserve"> </v>
      </c>
      <c r="I273" s="100"/>
    </row>
    <row r="274" spans="1:9" s="101" customFormat="1" ht="12.75">
      <c r="A274" s="124"/>
      <c r="B274" s="144"/>
      <c r="C274" s="126"/>
      <c r="D274" s="127"/>
      <c r="E274" s="128"/>
      <c r="F274" s="129"/>
      <c r="G274" s="130"/>
      <c r="H274" s="131" t="str">
        <f t="shared" si="6"/>
        <v xml:space="preserve"> </v>
      </c>
      <c r="I274" s="100"/>
    </row>
    <row r="275" spans="1:9" s="101" customFormat="1" ht="12.75">
      <c r="A275" s="124"/>
      <c r="B275" s="144"/>
      <c r="C275" s="126"/>
      <c r="D275" s="127"/>
      <c r="E275" s="128"/>
      <c r="F275" s="129"/>
      <c r="G275" s="130"/>
      <c r="H275" s="131" t="str">
        <f t="shared" si="6"/>
        <v xml:space="preserve"> </v>
      </c>
      <c r="I275" s="100"/>
    </row>
    <row r="276" spans="1:9" s="101" customFormat="1" ht="12.75">
      <c r="A276" s="124"/>
      <c r="B276" s="144"/>
      <c r="C276" s="126"/>
      <c r="D276" s="127"/>
      <c r="E276" s="128"/>
      <c r="F276" s="129"/>
      <c r="G276" s="130"/>
      <c r="H276" s="131" t="str">
        <f t="shared" si="6"/>
        <v xml:space="preserve"> </v>
      </c>
      <c r="I276" s="100"/>
    </row>
    <row r="277" spans="1:9" s="101" customFormat="1" ht="12.75">
      <c r="A277" s="124"/>
      <c r="B277" s="144"/>
      <c r="C277" s="126"/>
      <c r="D277" s="127"/>
      <c r="E277" s="128"/>
      <c r="F277" s="129"/>
      <c r="G277" s="130"/>
      <c r="H277" s="131" t="str">
        <f t="shared" si="6"/>
        <v xml:space="preserve"> </v>
      </c>
      <c r="I277" s="100"/>
    </row>
    <row r="278" spans="1:9" s="101" customFormat="1" ht="12.75">
      <c r="A278" s="124"/>
      <c r="B278" s="144"/>
      <c r="C278" s="126"/>
      <c r="D278" s="127"/>
      <c r="E278" s="128"/>
      <c r="F278" s="129"/>
      <c r="G278" s="130"/>
      <c r="H278" s="131" t="str">
        <f t="shared" si="6"/>
        <v xml:space="preserve"> </v>
      </c>
      <c r="I278" s="100"/>
    </row>
    <row r="279" spans="1:9" s="101" customFormat="1" ht="12.75">
      <c r="A279" s="124"/>
      <c r="B279" s="144"/>
      <c r="C279" s="126"/>
      <c r="D279" s="127"/>
      <c r="E279" s="128"/>
      <c r="F279" s="129"/>
      <c r="G279" s="130"/>
      <c r="H279" s="131" t="str">
        <f t="shared" si="6"/>
        <v xml:space="preserve"> </v>
      </c>
      <c r="I279" s="100"/>
    </row>
    <row r="280" spans="1:9" s="101" customFormat="1" ht="12.75">
      <c r="A280" s="124"/>
      <c r="B280" s="144"/>
      <c r="C280" s="126"/>
      <c r="D280" s="127"/>
      <c r="E280" s="128"/>
      <c r="F280" s="129"/>
      <c r="G280" s="130"/>
      <c r="H280" s="131" t="str">
        <f t="shared" si="6"/>
        <v xml:space="preserve"> </v>
      </c>
      <c r="I280" s="100"/>
    </row>
    <row r="281" spans="1:9" s="101" customFormat="1" ht="12.75">
      <c r="A281" s="124"/>
      <c r="B281" s="144"/>
      <c r="C281" s="126"/>
      <c r="D281" s="127"/>
      <c r="E281" s="128"/>
      <c r="F281" s="129"/>
      <c r="G281" s="130"/>
      <c r="H281" s="131" t="str">
        <f t="shared" si="6"/>
        <v xml:space="preserve"> </v>
      </c>
      <c r="I281" s="100"/>
    </row>
    <row r="282" spans="1:9" s="101" customFormat="1" ht="12.75">
      <c r="A282" s="124"/>
      <c r="B282" s="144"/>
      <c r="C282" s="126"/>
      <c r="D282" s="127"/>
      <c r="E282" s="128"/>
      <c r="F282" s="129"/>
      <c r="G282" s="130"/>
      <c r="H282" s="131" t="str">
        <f t="shared" si="6"/>
        <v xml:space="preserve"> </v>
      </c>
      <c r="I282" s="100"/>
    </row>
    <row r="283" spans="1:9" s="101" customFormat="1" ht="12.75">
      <c r="A283" s="124"/>
      <c r="B283" s="144"/>
      <c r="C283" s="126"/>
      <c r="D283" s="127"/>
      <c r="E283" s="128"/>
      <c r="F283" s="129"/>
      <c r="G283" s="130"/>
      <c r="H283" s="131" t="str">
        <f t="shared" si="6"/>
        <v xml:space="preserve"> </v>
      </c>
      <c r="I283" s="100"/>
    </row>
    <row r="284" spans="1:9" s="101" customFormat="1" ht="12.75">
      <c r="A284" s="124"/>
      <c r="B284" s="144"/>
      <c r="C284" s="126"/>
      <c r="D284" s="127"/>
      <c r="E284" s="128"/>
      <c r="F284" s="129"/>
      <c r="G284" s="130"/>
      <c r="H284" s="131" t="str">
        <f t="shared" si="6"/>
        <v xml:space="preserve"> </v>
      </c>
      <c r="I284" s="100"/>
    </row>
    <row r="285" spans="1:9" s="101" customFormat="1" ht="12.75">
      <c r="A285" s="124"/>
      <c r="B285" s="144"/>
      <c r="C285" s="126"/>
      <c r="D285" s="127"/>
      <c r="E285" s="128"/>
      <c r="F285" s="129"/>
      <c r="G285" s="130"/>
      <c r="H285" s="131" t="str">
        <f t="shared" si="6"/>
        <v xml:space="preserve"> </v>
      </c>
      <c r="I285" s="100"/>
    </row>
    <row r="286" spans="1:9" s="101" customFormat="1" ht="12.75">
      <c r="A286" s="124"/>
      <c r="B286" s="144"/>
      <c r="C286" s="126"/>
      <c r="D286" s="127"/>
      <c r="E286" s="128"/>
      <c r="F286" s="129"/>
      <c r="G286" s="130"/>
      <c r="H286" s="131" t="str">
        <f t="shared" si="6"/>
        <v xml:space="preserve"> </v>
      </c>
      <c r="I286" s="100"/>
    </row>
    <row r="287" spans="1:9" s="101" customFormat="1" ht="12.75">
      <c r="A287" s="124"/>
      <c r="B287" s="144"/>
      <c r="C287" s="126"/>
      <c r="D287" s="127"/>
      <c r="E287" s="128"/>
      <c r="F287" s="129"/>
      <c r="G287" s="130"/>
      <c r="H287" s="131" t="str">
        <f t="shared" si="6"/>
        <v xml:space="preserve"> </v>
      </c>
      <c r="I287" s="100"/>
    </row>
    <row r="288" spans="1:9" s="101" customFormat="1" ht="12.75">
      <c r="A288" s="124"/>
      <c r="B288" s="144"/>
      <c r="C288" s="126"/>
      <c r="D288" s="127"/>
      <c r="E288" s="128"/>
      <c r="F288" s="129"/>
      <c r="G288" s="130"/>
      <c r="H288" s="131" t="str">
        <f t="shared" si="6"/>
        <v xml:space="preserve"> </v>
      </c>
      <c r="I288" s="100"/>
    </row>
    <row r="289" spans="1:9" s="101" customFormat="1" ht="12.75">
      <c r="A289" s="124"/>
      <c r="B289" s="144"/>
      <c r="C289" s="126"/>
      <c r="D289" s="127"/>
      <c r="E289" s="128"/>
      <c r="F289" s="129"/>
      <c r="G289" s="130"/>
      <c r="H289" s="131" t="str">
        <f t="shared" si="6"/>
        <v xml:space="preserve"> </v>
      </c>
      <c r="I289" s="100"/>
    </row>
    <row r="290" spans="1:9" s="101" customFormat="1" ht="12.75">
      <c r="A290" s="124"/>
      <c r="B290" s="144"/>
      <c r="C290" s="126"/>
      <c r="D290" s="127"/>
      <c r="E290" s="128"/>
      <c r="F290" s="129"/>
      <c r="G290" s="130"/>
      <c r="H290" s="131" t="str">
        <f t="shared" si="6"/>
        <v xml:space="preserve"> </v>
      </c>
      <c r="I290" s="100"/>
    </row>
    <row r="291" spans="1:9" s="101" customFormat="1" ht="12.75">
      <c r="A291" s="124"/>
      <c r="B291" s="144"/>
      <c r="C291" s="126"/>
      <c r="D291" s="127"/>
      <c r="E291" s="128"/>
      <c r="F291" s="129"/>
      <c r="G291" s="130"/>
      <c r="H291" s="131" t="str">
        <f t="shared" si="6"/>
        <v xml:space="preserve"> </v>
      </c>
      <c r="I291" s="100"/>
    </row>
    <row r="292" spans="1:9" s="101" customFormat="1" ht="12.75">
      <c r="A292" s="124"/>
      <c r="B292" s="144"/>
      <c r="C292" s="126"/>
      <c r="D292" s="127"/>
      <c r="E292" s="128"/>
      <c r="F292" s="129"/>
      <c r="G292" s="130"/>
      <c r="H292" s="131" t="str">
        <f t="shared" si="6"/>
        <v xml:space="preserve"> </v>
      </c>
      <c r="I292" s="100"/>
    </row>
    <row r="293" spans="1:9" s="101" customFormat="1" ht="12.75">
      <c r="A293" s="124"/>
      <c r="B293" s="144"/>
      <c r="C293" s="126"/>
      <c r="D293" s="127"/>
      <c r="E293" s="128"/>
      <c r="F293" s="129"/>
      <c r="G293" s="130"/>
      <c r="H293" s="131" t="str">
        <f t="shared" si="6"/>
        <v xml:space="preserve"> </v>
      </c>
      <c r="I293" s="100"/>
    </row>
    <row r="294" spans="1:9" s="101" customFormat="1" ht="12.75">
      <c r="A294" s="124"/>
      <c r="B294" s="144"/>
      <c r="C294" s="126"/>
      <c r="D294" s="127"/>
      <c r="E294" s="128"/>
      <c r="F294" s="129"/>
      <c r="G294" s="130"/>
      <c r="H294" s="131" t="str">
        <f t="shared" si="6"/>
        <v xml:space="preserve"> </v>
      </c>
      <c r="I294" s="100"/>
    </row>
    <row r="295" spans="1:9" s="101" customFormat="1" ht="12.75">
      <c r="A295" s="124"/>
      <c r="B295" s="144"/>
      <c r="C295" s="126"/>
      <c r="D295" s="127"/>
      <c r="E295" s="128"/>
      <c r="F295" s="129"/>
      <c r="G295" s="130"/>
      <c r="H295" s="131" t="str">
        <f t="shared" si="6"/>
        <v xml:space="preserve"> </v>
      </c>
      <c r="I295" s="100"/>
    </row>
    <row r="296" spans="1:9" s="101" customFormat="1" ht="12.75">
      <c r="A296" s="124"/>
      <c r="B296" s="144"/>
      <c r="C296" s="126"/>
      <c r="D296" s="127"/>
      <c r="E296" s="128"/>
      <c r="F296" s="129"/>
      <c r="G296" s="130"/>
      <c r="H296" s="131" t="str">
        <f t="shared" si="6"/>
        <v xml:space="preserve"> </v>
      </c>
      <c r="I296" s="100"/>
    </row>
    <row r="297" spans="1:9" s="101" customFormat="1" ht="12.75">
      <c r="A297" s="124"/>
      <c r="B297" s="144"/>
      <c r="C297" s="126"/>
      <c r="D297" s="127"/>
      <c r="E297" s="128"/>
      <c r="F297" s="129"/>
      <c r="G297" s="130"/>
      <c r="H297" s="131" t="str">
        <f t="shared" si="6"/>
        <v xml:space="preserve"> </v>
      </c>
      <c r="I297" s="100"/>
    </row>
    <row r="298" spans="1:9" s="101" customFormat="1" ht="12.75">
      <c r="A298" s="124"/>
      <c r="B298" s="144"/>
      <c r="C298" s="126"/>
      <c r="D298" s="127"/>
      <c r="E298" s="128"/>
      <c r="F298" s="129"/>
      <c r="G298" s="130"/>
      <c r="H298" s="131" t="str">
        <f t="shared" si="6"/>
        <v xml:space="preserve"> </v>
      </c>
      <c r="I298" s="100"/>
    </row>
    <row r="299" spans="1:9" s="101" customFormat="1" ht="12.75">
      <c r="A299" s="124"/>
      <c r="B299" s="144"/>
      <c r="C299" s="126"/>
      <c r="D299" s="127"/>
      <c r="E299" s="128"/>
      <c r="F299" s="129"/>
      <c r="G299" s="130"/>
      <c r="H299" s="131" t="str">
        <f t="shared" si="6"/>
        <v xml:space="preserve"> </v>
      </c>
      <c r="I299" s="100"/>
    </row>
    <row r="300" spans="1:9" s="101" customFormat="1" ht="12.75">
      <c r="A300" s="124"/>
      <c r="B300" s="144"/>
      <c r="C300" s="126"/>
      <c r="D300" s="127"/>
      <c r="E300" s="128"/>
      <c r="F300" s="129"/>
      <c r="G300" s="130"/>
      <c r="H300" s="131" t="str">
        <f t="shared" si="6"/>
        <v xml:space="preserve"> </v>
      </c>
      <c r="I300" s="100"/>
    </row>
    <row r="301" spans="1:9" s="101" customFormat="1" ht="12.75">
      <c r="A301" s="124"/>
      <c r="B301" s="144"/>
      <c r="C301" s="126"/>
      <c r="D301" s="127"/>
      <c r="E301" s="128"/>
      <c r="F301" s="129"/>
      <c r="G301" s="130"/>
      <c r="H301" s="131" t="str">
        <f t="shared" si="6"/>
        <v xml:space="preserve"> </v>
      </c>
      <c r="I301" s="100"/>
    </row>
    <row r="302" spans="1:9" s="101" customFormat="1" ht="12.75">
      <c r="A302" s="124"/>
      <c r="B302" s="144"/>
      <c r="C302" s="126"/>
      <c r="D302" s="127"/>
      <c r="E302" s="128"/>
      <c r="F302" s="129"/>
      <c r="G302" s="130"/>
      <c r="H302" s="131" t="str">
        <f t="shared" si="6"/>
        <v xml:space="preserve"> </v>
      </c>
      <c r="I302" s="100"/>
    </row>
    <row r="303" spans="1:9" s="101" customFormat="1" ht="12.75">
      <c r="A303" s="124"/>
      <c r="B303" s="144"/>
      <c r="C303" s="126"/>
      <c r="D303" s="127"/>
      <c r="E303" s="128"/>
      <c r="F303" s="129"/>
      <c r="G303" s="130"/>
      <c r="H303" s="131" t="str">
        <f t="shared" si="6"/>
        <v xml:space="preserve"> </v>
      </c>
      <c r="I303" s="100"/>
    </row>
    <row r="304" spans="1:9" s="101" customFormat="1" ht="12.75">
      <c r="A304" s="124"/>
      <c r="B304" s="144"/>
      <c r="C304" s="126"/>
      <c r="D304" s="127"/>
      <c r="E304" s="128"/>
      <c r="F304" s="129"/>
      <c r="G304" s="130"/>
      <c r="H304" s="131" t="str">
        <f t="shared" si="6"/>
        <v xml:space="preserve"> </v>
      </c>
      <c r="I304" s="100"/>
    </row>
    <row r="305" spans="1:9" s="101" customFormat="1" ht="12.75">
      <c r="A305" s="124"/>
      <c r="B305" s="144"/>
      <c r="C305" s="126"/>
      <c r="D305" s="127"/>
      <c r="E305" s="128"/>
      <c r="F305" s="129"/>
      <c r="G305" s="130"/>
      <c r="H305" s="131" t="str">
        <f t="shared" si="6"/>
        <v xml:space="preserve"> </v>
      </c>
      <c r="I305" s="100"/>
    </row>
    <row r="306" spans="1:9" s="101" customFormat="1" ht="12.75">
      <c r="A306" s="124"/>
      <c r="B306" s="144"/>
      <c r="C306" s="126"/>
      <c r="D306" s="127"/>
      <c r="E306" s="128"/>
      <c r="F306" s="129"/>
      <c r="G306" s="130"/>
      <c r="H306" s="131" t="str">
        <f t="shared" si="6"/>
        <v xml:space="preserve"> </v>
      </c>
      <c r="I306" s="100"/>
    </row>
    <row r="307" spans="1:9" s="101" customFormat="1" ht="12.75">
      <c r="A307" s="124"/>
      <c r="B307" s="144"/>
      <c r="C307" s="126"/>
      <c r="D307" s="127"/>
      <c r="E307" s="128"/>
      <c r="F307" s="129"/>
      <c r="G307" s="130"/>
      <c r="H307" s="131" t="str">
        <f t="shared" si="6"/>
        <v xml:space="preserve"> </v>
      </c>
      <c r="I307" s="100"/>
    </row>
    <row r="308" spans="1:9" s="101" customFormat="1" ht="12.75">
      <c r="A308" s="124"/>
      <c r="B308" s="144"/>
      <c r="C308" s="126"/>
      <c r="D308" s="127"/>
      <c r="E308" s="128"/>
      <c r="F308" s="129"/>
      <c r="G308" s="130"/>
      <c r="H308" s="131" t="str">
        <f t="shared" si="6"/>
        <v xml:space="preserve"> </v>
      </c>
      <c r="I308" s="100"/>
    </row>
    <row r="309" spans="1:9" s="101" customFormat="1" ht="12.75">
      <c r="A309" s="124"/>
      <c r="B309" s="144"/>
      <c r="C309" s="126"/>
      <c r="D309" s="127"/>
      <c r="E309" s="128"/>
      <c r="F309" s="129"/>
      <c r="G309" s="130"/>
      <c r="H309" s="131" t="str">
        <f t="shared" si="6"/>
        <v xml:space="preserve"> </v>
      </c>
      <c r="I309" s="100"/>
    </row>
    <row r="310" spans="1:9" s="101" customFormat="1" ht="12.75">
      <c r="A310" s="135"/>
      <c r="B310" s="136"/>
      <c r="C310" s="136"/>
      <c r="D310" s="136"/>
      <c r="E310" s="142"/>
      <c r="F310" s="142"/>
      <c r="G310" s="136"/>
      <c r="H310" s="143"/>
      <c r="I310" s="136"/>
    </row>
    <row r="311" spans="1:9" s="101" customFormat="1" ht="12.75">
      <c r="A311" s="135"/>
      <c r="B311" s="136"/>
      <c r="C311" s="136"/>
      <c r="D311" s="136"/>
      <c r="E311" s="142"/>
      <c r="F311" s="142"/>
      <c r="G311" s="136"/>
      <c r="H311" s="143"/>
      <c r="I311" s="136"/>
    </row>
    <row r="312" spans="1:9" s="101" customFormat="1" ht="12.75">
      <c r="A312" s="135"/>
      <c r="B312" s="136"/>
      <c r="C312" s="136"/>
      <c r="D312" s="136"/>
      <c r="E312" s="142"/>
      <c r="F312" s="142"/>
      <c r="G312" s="136"/>
      <c r="H312" s="143"/>
      <c r="I312" s="136"/>
    </row>
    <row r="313" spans="1:9" s="101" customFormat="1" ht="12.75">
      <c r="A313" s="135"/>
      <c r="B313" s="136"/>
      <c r="C313" s="136"/>
      <c r="D313" s="136"/>
      <c r="E313" s="142"/>
      <c r="F313" s="142"/>
      <c r="G313" s="136"/>
      <c r="H313" s="143"/>
      <c r="I313" s="136"/>
    </row>
    <row r="314" spans="1:9" s="101" customFormat="1" ht="12.75">
      <c r="A314" s="135"/>
      <c r="B314" s="136"/>
      <c r="C314" s="136"/>
      <c r="D314" s="136"/>
      <c r="E314" s="142"/>
      <c r="F314" s="142"/>
      <c r="G314" s="136"/>
      <c r="H314" s="143"/>
      <c r="I314" s="136"/>
    </row>
    <row r="315" spans="1:9" s="101" customFormat="1" ht="12.75">
      <c r="A315" s="135"/>
      <c r="B315" s="136"/>
      <c r="C315" s="136"/>
      <c r="D315" s="136"/>
      <c r="E315" s="142"/>
      <c r="F315" s="142"/>
      <c r="G315" s="136"/>
      <c r="H315" s="143"/>
      <c r="I315" s="136"/>
    </row>
    <row r="316" spans="1:9" s="101" customFormat="1" ht="12.75">
      <c r="A316" s="135"/>
      <c r="B316" s="136"/>
      <c r="C316" s="136"/>
      <c r="D316" s="136"/>
      <c r="E316" s="142"/>
      <c r="F316" s="142"/>
      <c r="G316" s="136"/>
      <c r="H316" s="143"/>
      <c r="I316" s="136"/>
    </row>
    <row r="317" spans="1:9" s="101" customFormat="1" ht="12.75">
      <c r="A317" s="135"/>
      <c r="B317" s="136"/>
      <c r="C317" s="136"/>
      <c r="D317" s="136"/>
      <c r="E317" s="142"/>
      <c r="F317" s="142"/>
      <c r="G317" s="136"/>
      <c r="H317" s="143"/>
      <c r="I317" s="136"/>
    </row>
    <row r="318" spans="1:9" ht="12.75">
      <c r="A318" s="135"/>
      <c r="B318" s="136"/>
      <c r="C318" s="136"/>
      <c r="E318" s="142"/>
      <c r="F318" s="142"/>
      <c r="G318" s="136"/>
      <c r="H318" s="143"/>
      <c r="I318" s="136"/>
    </row>
    <row r="319" spans="1:9" ht="12.75">
      <c r="A319" s="135"/>
      <c r="B319" s="136"/>
      <c r="C319" s="136"/>
      <c r="E319" s="142"/>
      <c r="F319" s="142"/>
      <c r="G319" s="136"/>
      <c r="H319" s="143"/>
      <c r="I319" s="136"/>
    </row>
    <row r="320" spans="1:9" ht="12.75">
      <c r="A320" s="135"/>
      <c r="B320" s="136"/>
      <c r="C320" s="136"/>
      <c r="E320" s="142"/>
      <c r="F320" s="142"/>
      <c r="G320" s="136"/>
      <c r="H320" s="143"/>
      <c r="I320" s="136"/>
    </row>
    <row r="321" spans="1:9" ht="12.75">
      <c r="A321" s="135"/>
      <c r="B321" s="136"/>
      <c r="C321" s="136"/>
      <c r="E321" s="142"/>
      <c r="F321" s="142"/>
      <c r="G321" s="136"/>
      <c r="H321" s="143"/>
      <c r="I321" s="136"/>
    </row>
    <row r="322" spans="1:9" ht="12.75">
      <c r="A322" s="135"/>
      <c r="B322" s="136"/>
      <c r="C322" s="136"/>
      <c r="E322" s="142"/>
      <c r="F322" s="142"/>
      <c r="G322" s="136"/>
      <c r="H322" s="143"/>
      <c r="I322" s="136"/>
    </row>
    <row r="323" spans="1:9" ht="12.75">
      <c r="A323" s="135"/>
      <c r="B323" s="136"/>
      <c r="C323" s="136"/>
      <c r="E323" s="142"/>
      <c r="F323" s="142"/>
      <c r="G323" s="136"/>
      <c r="H323" s="143"/>
      <c r="I323" s="136"/>
    </row>
    <row r="324" spans="1:9" ht="12.75">
      <c r="A324" s="135"/>
      <c r="B324" s="136"/>
      <c r="C324" s="136"/>
      <c r="E324" s="142"/>
      <c r="F324" s="142"/>
      <c r="G324" s="136"/>
      <c r="H324" s="143"/>
      <c r="I324" s="136"/>
    </row>
    <row r="325" spans="1:9" ht="12.75">
      <c r="A325" s="135"/>
      <c r="B325" s="136"/>
      <c r="C325" s="136"/>
      <c r="E325" s="142"/>
      <c r="F325" s="142"/>
      <c r="G325" s="136"/>
      <c r="H325" s="143"/>
      <c r="I325" s="136"/>
    </row>
    <row r="326" spans="1:9" ht="12.75">
      <c r="A326" s="135"/>
      <c r="B326" s="136"/>
      <c r="C326" s="136"/>
      <c r="E326" s="142"/>
      <c r="F326" s="142"/>
      <c r="G326" s="136"/>
      <c r="H326" s="143"/>
      <c r="I326" s="153"/>
    </row>
    <row r="327" spans="1:9" ht="12.75">
      <c r="A327" s="135"/>
      <c r="B327" s="136"/>
      <c r="C327" s="136"/>
      <c r="E327" s="142"/>
      <c r="F327" s="142"/>
      <c r="G327" s="136"/>
      <c r="H327" s="143"/>
      <c r="I327" s="136"/>
    </row>
    <row r="328" spans="1:9" ht="12.75">
      <c r="A328" s="135"/>
      <c r="B328" s="136"/>
      <c r="C328" s="136"/>
      <c r="E328" s="142"/>
      <c r="F328" s="142"/>
      <c r="G328" s="136"/>
      <c r="H328" s="143"/>
      <c r="I328" s="136"/>
    </row>
    <row r="329" spans="1:9" ht="12.75">
      <c r="A329" s="135"/>
      <c r="B329" s="136"/>
      <c r="C329" s="136"/>
      <c r="E329" s="142"/>
      <c r="F329" s="142"/>
      <c r="G329" s="136"/>
      <c r="H329" s="143"/>
      <c r="I329" s="136"/>
    </row>
    <row r="330" spans="1:9" ht="12.75">
      <c r="A330" s="135"/>
      <c r="B330" s="136"/>
      <c r="C330" s="136"/>
      <c r="E330" s="142"/>
      <c r="F330" s="142"/>
      <c r="G330" s="136"/>
      <c r="H330" s="143"/>
      <c r="I330" s="136"/>
    </row>
    <row r="331" spans="1:9" ht="12.75">
      <c r="A331" s="135"/>
      <c r="B331" s="136"/>
      <c r="C331" s="136"/>
      <c r="E331" s="142"/>
      <c r="F331" s="142"/>
      <c r="G331" s="136"/>
      <c r="H331" s="143"/>
      <c r="I331" s="136"/>
    </row>
    <row r="332" spans="1:9" ht="12.75">
      <c r="A332" s="135"/>
      <c r="B332" s="136"/>
      <c r="C332" s="136"/>
      <c r="E332" s="142"/>
      <c r="F332" s="142"/>
      <c r="G332" s="136"/>
      <c r="H332" s="143"/>
      <c r="I332" s="136"/>
    </row>
  </sheetData>
  <mergeCells count="3">
    <mergeCell ref="A1:B1"/>
    <mergeCell ref="A2:B2"/>
    <mergeCell ref="F2:H2"/>
  </mergeCells>
  <printOptions horizontalCentered="1"/>
  <pageMargins left="0.2362204724409449" right="0.2362204724409449" top="0.7086614173228347" bottom="0.5118110236220472" header="0.2755905511811024" footer="0.2755905511811024"/>
  <pageSetup horizontalDpi="600" verticalDpi="600" orientation="portrait" paperSize="9" scale="95" r:id="rId1"/>
  <headerFooter alignWithMargins="0">
    <oddHeader xml:space="preserve">&amp;C
UK SBZ - Revitalizace ubytování na 12. a 15. NP - Krystal&amp;RPříloha č.9 - výkaz výměr vyhrazené plnění- stavební úpravy  </oddHeader>
    <oddFooter>&amp;R&amp;8&amp;P/&amp;N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46.25390625" style="0" customWidth="1"/>
  </cols>
  <sheetData>
    <row r="1" spans="1:8" s="7" customFormat="1" ht="13.5" thickTop="1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8" s="7" customFormat="1" ht="13.5" thickBot="1">
      <c r="A2" s="355" t="s">
        <v>0</v>
      </c>
      <c r="B2" s="356"/>
      <c r="C2" s="4" t="s">
        <v>813</v>
      </c>
      <c r="D2" s="5"/>
      <c r="E2" s="6"/>
      <c r="F2" s="357"/>
      <c r="G2" s="357"/>
      <c r="H2" s="358"/>
    </row>
    <row r="3" ht="13.5" thickTop="1"/>
    <row r="4" spans="1:9" s="63" customFormat="1" ht="15">
      <c r="A4" s="64"/>
      <c r="B4" s="65"/>
      <c r="C4" s="68" t="s">
        <v>443</v>
      </c>
      <c r="D4" s="65"/>
      <c r="E4" s="65"/>
      <c r="F4" s="65"/>
      <c r="G4" s="66"/>
      <c r="H4" s="67"/>
      <c r="I4" s="62"/>
    </row>
    <row r="5" spans="1:9" s="63" customFormat="1" ht="12.75" thickBot="1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aca="true" t="shared" si="0" ref="H10:H22">F10*G10</f>
        <v>0</v>
      </c>
      <c r="I10" s="79"/>
    </row>
    <row r="11" spans="1:9" s="80" customFormat="1" ht="35.1" customHeight="1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>
      <c r="A12" s="179" t="s">
        <v>351</v>
      </c>
      <c r="B12" s="92" t="s">
        <v>352</v>
      </c>
      <c r="C12" s="96" t="s">
        <v>353</v>
      </c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>
      <c r="A21" s="179" t="s">
        <v>365</v>
      </c>
      <c r="B21" s="98"/>
      <c r="C21" s="96" t="s">
        <v>366</v>
      </c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aca="true" t="shared" si="1" ref="H27:H43">F27*G27</f>
        <v>0</v>
      </c>
      <c r="I27" s="127"/>
    </row>
    <row r="28" spans="1:9" s="180" customFormat="1" ht="15" customHeight="1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51.75" customHeight="1">
      <c r="A36" s="179" t="s">
        <v>391</v>
      </c>
      <c r="B36" s="98"/>
      <c r="C36" s="96" t="s">
        <v>800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51.75" customHeight="1">
      <c r="A37" s="179" t="s">
        <v>392</v>
      </c>
      <c r="B37" s="98"/>
      <c r="C37" s="96" t="s">
        <v>801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51.75" customHeight="1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>
      <c r="A39" s="179" t="s">
        <v>394</v>
      </c>
      <c r="B39" s="98"/>
      <c r="C39" s="96" t="s">
        <v>562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6.5" customHeight="1">
      <c r="A45" s="179" t="s">
        <v>16</v>
      </c>
      <c r="B45" s="98"/>
      <c r="C45" s="109" t="s">
        <v>402</v>
      </c>
      <c r="D45" s="99"/>
      <c r="E45" s="108"/>
      <c r="F45" s="104"/>
      <c r="G45" s="255"/>
      <c r="H45" s="162" t="str">
        <f>IF(AND(F45&gt;0,G45&gt;0),ROUND(F45*G45,0)," ")</f>
        <v xml:space="preserve"> </v>
      </c>
      <c r="I45" s="127"/>
    </row>
    <row r="46" spans="1:9" s="180" customFormat="1" ht="234" customHeight="1">
      <c r="A46" s="182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27"/>
    </row>
    <row r="47" spans="1:9" s="180" customFormat="1" ht="18.75" customHeight="1">
      <c r="A47" s="182" t="s">
        <v>404</v>
      </c>
      <c r="B47" s="113"/>
      <c r="C47" s="183" t="s">
        <v>405</v>
      </c>
      <c r="D47" s="115"/>
      <c r="E47" s="116" t="s">
        <v>14</v>
      </c>
      <c r="F47" s="117">
        <v>1</v>
      </c>
      <c r="G47" s="258"/>
      <c r="H47" s="164" t="str">
        <f aca="true" t="shared" si="2" ref="H47:H53">IF(AND(F47&gt;0,G47&gt;0),ROUND(F47*G47,0)," ")</f>
        <v xml:space="preserve"> </v>
      </c>
      <c r="I47" s="127"/>
    </row>
    <row r="48" spans="1:9" s="180" customFormat="1" ht="18" customHeight="1">
      <c r="A48" s="182" t="s">
        <v>406</v>
      </c>
      <c r="B48" s="113"/>
      <c r="C48" s="183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27"/>
    </row>
    <row r="49" spans="1:9" s="180" customFormat="1" ht="15.75" customHeight="1">
      <c r="A49" s="182" t="s">
        <v>408</v>
      </c>
      <c r="B49" s="113"/>
      <c r="C49" s="183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27"/>
    </row>
    <row r="50" spans="1:9" s="180" customFormat="1" ht="12.75">
      <c r="A50" s="182" t="s">
        <v>410</v>
      </c>
      <c r="B50" s="113"/>
      <c r="C50" s="183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27"/>
    </row>
    <row r="51" spans="1:9" s="180" customFormat="1" ht="12.75">
      <c r="A51" s="182" t="s">
        <v>412</v>
      </c>
      <c r="B51" s="113"/>
      <c r="C51" s="183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27"/>
    </row>
    <row r="52" spans="1:9" s="180" customFormat="1" ht="12.75">
      <c r="A52" s="182" t="s">
        <v>414</v>
      </c>
      <c r="B52" s="113"/>
      <c r="C52" s="183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27"/>
    </row>
    <row r="53" spans="1:9" s="180" customFormat="1" ht="18.75" customHeight="1">
      <c r="A53" s="182" t="s">
        <v>416</v>
      </c>
      <c r="B53" s="113"/>
      <c r="C53" s="183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27"/>
    </row>
    <row r="54" spans="1:9" s="180" customFormat="1" ht="13.5" thickBot="1">
      <c r="A54" s="184"/>
      <c r="B54" s="119"/>
      <c r="C54" s="185"/>
      <c r="D54" s="121"/>
      <c r="E54" s="122"/>
      <c r="F54" s="123"/>
      <c r="G54" s="259"/>
      <c r="H54" s="165">
        <f>SUM(H10:H53)</f>
        <v>0</v>
      </c>
      <c r="I54" s="127"/>
    </row>
    <row r="55" spans="1:9" s="180" customFormat="1" ht="12.75">
      <c r="A55" s="186"/>
      <c r="B55" s="125"/>
      <c r="C55" s="126"/>
      <c r="D55" s="127"/>
      <c r="E55" s="128"/>
      <c r="F55" s="129"/>
      <c r="G55" s="261"/>
      <c r="H55" s="131" t="str">
        <f aca="true" t="shared" si="3" ref="H55">IF(AND(F55&gt;0,G55&gt;0),ROUND(F55*G55,0)," ")</f>
        <v xml:space="preserve"> </v>
      </c>
      <c r="I55" s="127"/>
    </row>
    <row r="56" spans="1:9" s="101" customFormat="1" ht="13.5" thickBot="1">
      <c r="A56" s="169"/>
      <c r="B56" s="170"/>
      <c r="C56" s="171" t="s">
        <v>420</v>
      </c>
      <c r="D56" s="172"/>
      <c r="E56" s="173" t="s">
        <v>83</v>
      </c>
      <c r="F56" s="174">
        <v>1</v>
      </c>
      <c r="G56" s="260"/>
      <c r="H56" s="175">
        <f>+G56*F56</f>
        <v>0</v>
      </c>
      <c r="I56" s="100"/>
    </row>
    <row r="57" spans="1:9" s="101" customFormat="1" ht="12.75">
      <c r="A57" s="124"/>
      <c r="B57" s="167" t="s">
        <v>15</v>
      </c>
      <c r="C57" s="168" t="str">
        <f>CONCATENATE(B55," ",C55)</f>
        <v xml:space="preserve"> </v>
      </c>
      <c r="D57" s="127"/>
      <c r="E57" s="128"/>
      <c r="F57" s="129"/>
      <c r="G57" s="262"/>
      <c r="H57" s="159">
        <f>+H54+H56</f>
        <v>0</v>
      </c>
      <c r="I57" s="100"/>
    </row>
  </sheetData>
  <mergeCells count="3">
    <mergeCell ref="A1:B1"/>
    <mergeCell ref="A2:B2"/>
    <mergeCell ref="F2:H2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&amp;C
UK SBZ - Revitalizace ubytování na 12. a 15. NP - Krystal&amp;RPříloha č.9 - výkaz výměr vyhrazené plnění- stavební úpravy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 topLeftCell="A1">
      <selection activeCell="C5" sqref="C5"/>
    </sheetView>
  </sheetViews>
  <sheetFormatPr defaultColWidth="9.00390625" defaultRowHeight="12.75"/>
  <cols>
    <col min="1" max="1" width="4.375" style="7" customWidth="1"/>
    <col min="2" max="2" width="14.125" style="7" customWidth="1"/>
    <col min="3" max="3" width="47.125" style="7" customWidth="1"/>
    <col min="4" max="4" width="5.625" style="7" customWidth="1"/>
    <col min="5" max="5" width="10.00390625" style="31" customWidth="1"/>
    <col min="6" max="6" width="11.25390625" style="7" customWidth="1"/>
    <col min="7" max="7" width="14.25390625" style="7" customWidth="1"/>
    <col min="8" max="8" width="13.125" style="7" customWidth="1"/>
    <col min="9" max="9" width="14.625" style="7" customWidth="1"/>
    <col min="10" max="10" width="13.125" style="7" customWidth="1"/>
    <col min="11" max="11" width="13.625" style="7" customWidth="1"/>
    <col min="12" max="16384" width="9.125" style="7" customWidth="1"/>
  </cols>
  <sheetData>
    <row r="1" spans="1:9" ht="15">
      <c r="A1" s="352" t="s">
        <v>444</v>
      </c>
      <c r="B1" s="352"/>
      <c r="C1" s="352"/>
      <c r="D1" s="352"/>
      <c r="E1" s="352"/>
      <c r="F1" s="352"/>
      <c r="G1" s="352"/>
      <c r="H1" s="352"/>
      <c r="I1" s="352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3" t="s">
        <v>1</v>
      </c>
      <c r="B3" s="354"/>
      <c r="C3" s="1" t="s">
        <v>527</v>
      </c>
      <c r="D3" s="2"/>
      <c r="E3" s="3"/>
      <c r="F3" s="2"/>
      <c r="G3" s="11"/>
      <c r="H3" s="12"/>
      <c r="I3" s="13"/>
    </row>
    <row r="4" spans="1:9" ht="13.5" thickBot="1">
      <c r="A4" s="355" t="s">
        <v>0</v>
      </c>
      <c r="B4" s="356"/>
      <c r="C4" s="4" t="s">
        <v>814</v>
      </c>
      <c r="D4" s="5"/>
      <c r="E4" s="6"/>
      <c r="F4" s="5"/>
      <c r="G4" s="357"/>
      <c r="H4" s="357"/>
      <c r="I4" s="358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12.75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s="40" customFormat="1" ht="12.75">
      <c r="A7" s="48" t="s">
        <v>13</v>
      </c>
      <c r="B7" s="49" t="s">
        <v>25</v>
      </c>
      <c r="C7" s="50" t="s">
        <v>26</v>
      </c>
      <c r="D7" s="33"/>
      <c r="E7" s="51"/>
      <c r="F7" s="249"/>
      <c r="G7" s="52"/>
      <c r="H7" s="53"/>
      <c r="I7" s="53"/>
      <c r="J7" s="53"/>
      <c r="K7" s="53"/>
    </row>
    <row r="8" spans="1:11" s="40" customFormat="1" ht="12.75">
      <c r="A8" s="33">
        <v>1</v>
      </c>
      <c r="B8" s="34" t="s">
        <v>206</v>
      </c>
      <c r="C8" s="35" t="s">
        <v>27</v>
      </c>
      <c r="D8" s="36" t="s">
        <v>19</v>
      </c>
      <c r="E8" s="37">
        <v>3.5</v>
      </c>
      <c r="F8" s="247"/>
      <c r="G8" s="38">
        <f aca="true" t="shared" si="0" ref="G8:G11">CEILING(E8*F8,1)</f>
        <v>0</v>
      </c>
      <c r="H8" s="39">
        <v>0.01232</v>
      </c>
      <c r="I8" s="39">
        <f>E8*H8</f>
        <v>0.04312</v>
      </c>
      <c r="J8" s="39">
        <v>0</v>
      </c>
      <c r="K8" s="39">
        <f>E8*J8</f>
        <v>0</v>
      </c>
    </row>
    <row r="9" spans="1:11" s="40" customFormat="1" ht="12.75">
      <c r="A9" s="33">
        <v>2</v>
      </c>
      <c r="B9" s="34" t="s">
        <v>207</v>
      </c>
      <c r="C9" s="35" t="s">
        <v>28</v>
      </c>
      <c r="D9" s="36" t="s">
        <v>19</v>
      </c>
      <c r="E9" s="37">
        <v>2.84</v>
      </c>
      <c r="F9" s="247"/>
      <c r="G9" s="38">
        <f t="shared" si="0"/>
        <v>0</v>
      </c>
      <c r="H9" s="39">
        <v>0.01193</v>
      </c>
      <c r="I9" s="39">
        <f>E9*H9</f>
        <v>0.0338812</v>
      </c>
      <c r="J9" s="39">
        <v>0</v>
      </c>
      <c r="K9" s="39">
        <f>E9*J9</f>
        <v>0</v>
      </c>
    </row>
    <row r="10" spans="1:11" s="40" customFormat="1" ht="12.75">
      <c r="A10" s="33">
        <v>3</v>
      </c>
      <c r="B10" s="34" t="s">
        <v>208</v>
      </c>
      <c r="C10" s="35" t="s">
        <v>29</v>
      </c>
      <c r="D10" s="36" t="s">
        <v>21</v>
      </c>
      <c r="E10" s="37">
        <v>1.52</v>
      </c>
      <c r="F10" s="247"/>
      <c r="G10" s="38">
        <f t="shared" si="0"/>
        <v>0</v>
      </c>
      <c r="H10" s="39">
        <v>0</v>
      </c>
      <c r="I10" s="39">
        <f>E10*H10</f>
        <v>0</v>
      </c>
      <c r="J10" s="39">
        <v>0</v>
      </c>
      <c r="K10" s="39">
        <f>E10*J10</f>
        <v>0</v>
      </c>
    </row>
    <row r="11" spans="1:11" s="40" customFormat="1" ht="25.5">
      <c r="A11" s="33">
        <v>4</v>
      </c>
      <c r="B11" s="34" t="s">
        <v>209</v>
      </c>
      <c r="C11" s="35" t="s">
        <v>30</v>
      </c>
      <c r="D11" s="36" t="s">
        <v>19</v>
      </c>
      <c r="E11" s="37">
        <v>6.34</v>
      </c>
      <c r="F11" s="247"/>
      <c r="G11" s="38">
        <f t="shared" si="0"/>
        <v>0</v>
      </c>
      <c r="H11" s="39">
        <v>0</v>
      </c>
      <c r="I11" s="39">
        <f>E11*H11</f>
        <v>0</v>
      </c>
      <c r="J11" s="39">
        <v>0</v>
      </c>
      <c r="K11" s="39">
        <f>E11*J11</f>
        <v>0</v>
      </c>
    </row>
    <row r="12" spans="1:11" s="40" customFormat="1" ht="12.75">
      <c r="A12" s="41"/>
      <c r="B12" s="42" t="s">
        <v>15</v>
      </c>
      <c r="C12" s="43" t="str">
        <f>CONCATENATE(B7," ",C7)</f>
        <v>4 Vodorovné konstrukce</v>
      </c>
      <c r="D12" s="41"/>
      <c r="E12" s="44"/>
      <c r="F12" s="248"/>
      <c r="G12" s="45">
        <f>SUM(G7:G11)</f>
        <v>0</v>
      </c>
      <c r="H12" s="46"/>
      <c r="I12" s="47">
        <f>SUM(I7:I11)</f>
        <v>0.07700119999999999</v>
      </c>
      <c r="J12" s="46"/>
      <c r="K12" s="47">
        <f>SUM(K7:K11)</f>
        <v>0</v>
      </c>
    </row>
    <row r="13" spans="1:11" s="40" customFormat="1" ht="12.75">
      <c r="A13" s="48" t="s">
        <v>13</v>
      </c>
      <c r="B13" s="49" t="s">
        <v>31</v>
      </c>
      <c r="C13" s="50" t="s">
        <v>32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ht="12.75">
      <c r="A14" s="33">
        <v>5</v>
      </c>
      <c r="B14" s="34" t="s">
        <v>210</v>
      </c>
      <c r="C14" s="35" t="s">
        <v>33</v>
      </c>
      <c r="D14" s="36" t="s">
        <v>19</v>
      </c>
      <c r="E14" s="37">
        <v>4.4</v>
      </c>
      <c r="F14" s="247"/>
      <c r="G14" s="38">
        <f aca="true" t="shared" si="1" ref="G14:G20">CEILING(E14*F14,1)</f>
        <v>0</v>
      </c>
      <c r="H14" s="39">
        <v>4E-05</v>
      </c>
      <c r="I14" s="39">
        <f aca="true" t="shared" si="2" ref="I14:I20">E14*H14</f>
        <v>0.00017600000000000002</v>
      </c>
      <c r="J14" s="39">
        <v>0</v>
      </c>
      <c r="K14" s="39">
        <f aca="true" t="shared" si="3" ref="K14:K20">E14*J14</f>
        <v>0</v>
      </c>
    </row>
    <row r="15" spans="1:11" s="40" customFormat="1" ht="12.75">
      <c r="A15" s="33">
        <v>6</v>
      </c>
      <c r="B15" s="34" t="s">
        <v>211</v>
      </c>
      <c r="C15" s="35" t="s">
        <v>34</v>
      </c>
      <c r="D15" s="36" t="s">
        <v>19</v>
      </c>
      <c r="E15" s="37">
        <v>15.98</v>
      </c>
      <c r="F15" s="247"/>
      <c r="G15" s="38">
        <f t="shared" si="1"/>
        <v>0</v>
      </c>
      <c r="H15" s="39">
        <v>0.00645</v>
      </c>
      <c r="I15" s="39">
        <f t="shared" si="2"/>
        <v>0.103071</v>
      </c>
      <c r="J15" s="39">
        <v>0</v>
      </c>
      <c r="K15" s="39">
        <f t="shared" si="3"/>
        <v>0</v>
      </c>
    </row>
    <row r="16" spans="1:11" s="40" customFormat="1" ht="12.75">
      <c r="A16" s="33">
        <v>7</v>
      </c>
      <c r="B16" s="34" t="s">
        <v>212</v>
      </c>
      <c r="C16" s="35" t="s">
        <v>35</v>
      </c>
      <c r="D16" s="36" t="s">
        <v>19</v>
      </c>
      <c r="E16" s="37">
        <v>40.182</v>
      </c>
      <c r="F16" s="247"/>
      <c r="G16" s="38">
        <f t="shared" si="1"/>
        <v>0</v>
      </c>
      <c r="H16" s="39">
        <v>0.00579</v>
      </c>
      <c r="I16" s="39">
        <f t="shared" si="2"/>
        <v>0.23265378</v>
      </c>
      <c r="J16" s="39">
        <v>0</v>
      </c>
      <c r="K16" s="39">
        <f t="shared" si="3"/>
        <v>0</v>
      </c>
    </row>
    <row r="17" spans="1:11" s="40" customFormat="1" ht="25.5">
      <c r="A17" s="33">
        <v>8</v>
      </c>
      <c r="B17" s="34" t="s">
        <v>213</v>
      </c>
      <c r="C17" s="35" t="s">
        <v>36</v>
      </c>
      <c r="D17" s="36" t="s">
        <v>19</v>
      </c>
      <c r="E17" s="37">
        <v>14.0414</v>
      </c>
      <c r="F17" s="247"/>
      <c r="G17" s="38">
        <f t="shared" si="1"/>
        <v>0</v>
      </c>
      <c r="H17" s="39">
        <v>0.00367</v>
      </c>
      <c r="I17" s="39">
        <f t="shared" si="2"/>
        <v>0.051531938</v>
      </c>
      <c r="J17" s="39">
        <v>0</v>
      </c>
      <c r="K17" s="39">
        <f t="shared" si="3"/>
        <v>0</v>
      </c>
    </row>
    <row r="18" spans="1:11" s="40" customFormat="1" ht="12.75">
      <c r="A18" s="33">
        <v>9</v>
      </c>
      <c r="B18" s="34" t="s">
        <v>214</v>
      </c>
      <c r="C18" s="35" t="s">
        <v>37</v>
      </c>
      <c r="D18" s="36" t="s">
        <v>19</v>
      </c>
      <c r="E18" s="37">
        <v>3.984</v>
      </c>
      <c r="F18" s="247"/>
      <c r="G18" s="38">
        <f t="shared" si="1"/>
        <v>0</v>
      </c>
      <c r="H18" s="39">
        <v>0.00635</v>
      </c>
      <c r="I18" s="39">
        <f t="shared" si="2"/>
        <v>0.0252984</v>
      </c>
      <c r="J18" s="39">
        <v>0</v>
      </c>
      <c r="K18" s="39">
        <f t="shared" si="3"/>
        <v>0</v>
      </c>
    </row>
    <row r="19" spans="1:11" s="40" customFormat="1" ht="12.75">
      <c r="A19" s="33">
        <v>10</v>
      </c>
      <c r="B19" s="34" t="s">
        <v>215</v>
      </c>
      <c r="C19" s="35" t="s">
        <v>38</v>
      </c>
      <c r="D19" s="36" t="s">
        <v>24</v>
      </c>
      <c r="E19" s="37">
        <v>2</v>
      </c>
      <c r="F19" s="247"/>
      <c r="G19" s="38">
        <f t="shared" si="1"/>
        <v>0</v>
      </c>
      <c r="H19" s="39">
        <v>0.01577</v>
      </c>
      <c r="I19" s="39">
        <f t="shared" si="2"/>
        <v>0.03154</v>
      </c>
      <c r="J19" s="39">
        <v>0</v>
      </c>
      <c r="K19" s="39">
        <f t="shared" si="3"/>
        <v>0</v>
      </c>
    </row>
    <row r="20" spans="1:11" s="40" customFormat="1" ht="12.75">
      <c r="A20" s="33">
        <v>11</v>
      </c>
      <c r="B20" s="34" t="s">
        <v>216</v>
      </c>
      <c r="C20" s="35" t="s">
        <v>39</v>
      </c>
      <c r="D20" s="36" t="s">
        <v>24</v>
      </c>
      <c r="E20" s="37">
        <v>1</v>
      </c>
      <c r="F20" s="247"/>
      <c r="G20" s="38">
        <f t="shared" si="1"/>
        <v>0</v>
      </c>
      <c r="H20" s="39">
        <v>0.04543</v>
      </c>
      <c r="I20" s="39">
        <f t="shared" si="2"/>
        <v>0.04543</v>
      </c>
      <c r="J20" s="39">
        <v>0</v>
      </c>
      <c r="K20" s="39">
        <f t="shared" si="3"/>
        <v>0</v>
      </c>
    </row>
    <row r="21" spans="1:11" s="40" customFormat="1" ht="12.75">
      <c r="A21" s="41"/>
      <c r="B21" s="42" t="s">
        <v>15</v>
      </c>
      <c r="C21" s="43" t="str">
        <f>CONCATENATE(B13," ",C13)</f>
        <v>61 Upravy povrchů vnitřní</v>
      </c>
      <c r="D21" s="41"/>
      <c r="E21" s="44"/>
      <c r="F21" s="248"/>
      <c r="G21" s="45">
        <f>SUM(G13:G20)</f>
        <v>0</v>
      </c>
      <c r="H21" s="46"/>
      <c r="I21" s="47">
        <f>SUM(I13:I20)</f>
        <v>0.48970111800000005</v>
      </c>
      <c r="J21" s="46"/>
      <c r="K21" s="47">
        <f>SUM(K13:K20)</f>
        <v>0</v>
      </c>
    </row>
    <row r="22" spans="1:11" s="40" customFormat="1" ht="12.75">
      <c r="A22" s="48" t="s">
        <v>13</v>
      </c>
      <c r="B22" s="49" t="s">
        <v>40</v>
      </c>
      <c r="C22" s="50" t="s">
        <v>41</v>
      </c>
      <c r="D22" s="33"/>
      <c r="E22" s="51"/>
      <c r="F22" s="249"/>
      <c r="G22" s="52"/>
      <c r="H22" s="53"/>
      <c r="I22" s="53"/>
      <c r="J22" s="53"/>
      <c r="K22" s="53"/>
    </row>
    <row r="23" spans="1:11" s="40" customFormat="1" ht="12.75">
      <c r="A23" s="33">
        <v>12</v>
      </c>
      <c r="B23" s="34" t="s">
        <v>217</v>
      </c>
      <c r="C23" s="35" t="s">
        <v>42</v>
      </c>
      <c r="D23" s="36" t="s">
        <v>21</v>
      </c>
      <c r="E23" s="37">
        <v>2.45</v>
      </c>
      <c r="F23" s="247"/>
      <c r="G23" s="38">
        <f aca="true" t="shared" si="4" ref="G23:G24">CEILING(E23*F23,1)</f>
        <v>0</v>
      </c>
      <c r="H23" s="39">
        <v>0.00665</v>
      </c>
      <c r="I23" s="39">
        <f>E23*H23</f>
        <v>0.0162925</v>
      </c>
      <c r="J23" s="39">
        <v>0</v>
      </c>
      <c r="K23" s="39">
        <f>E23*J23</f>
        <v>0</v>
      </c>
    </row>
    <row r="24" spans="1:11" s="40" customFormat="1" ht="12.75">
      <c r="A24" s="33"/>
      <c r="B24" s="34"/>
      <c r="C24" s="35"/>
      <c r="D24" s="36" t="s">
        <v>21</v>
      </c>
      <c r="E24" s="37"/>
      <c r="F24" s="247"/>
      <c r="G24" s="38">
        <f t="shared" si="4"/>
        <v>0</v>
      </c>
      <c r="H24" s="39">
        <v>0.00182</v>
      </c>
      <c r="I24" s="39">
        <f>E24*H24</f>
        <v>0</v>
      </c>
      <c r="J24" s="39">
        <v>0</v>
      </c>
      <c r="K24" s="39">
        <f>E24*J24</f>
        <v>0</v>
      </c>
    </row>
    <row r="25" spans="1:11" s="40" customFormat="1" ht="12.75">
      <c r="A25" s="41"/>
      <c r="B25" s="42" t="s">
        <v>15</v>
      </c>
      <c r="C25" s="43" t="str">
        <f>CONCATENATE(B22," ",C22)</f>
        <v>64 Výplně otvorů</v>
      </c>
      <c r="D25" s="41"/>
      <c r="E25" s="44"/>
      <c r="F25" s="248"/>
      <c r="G25" s="45">
        <f>SUM(G22:G24)</f>
        <v>0</v>
      </c>
      <c r="H25" s="46"/>
      <c r="I25" s="47">
        <f>SUM(I22:I24)</f>
        <v>0.0162925</v>
      </c>
      <c r="J25" s="46"/>
      <c r="K25" s="47">
        <f>SUM(K22:K24)</f>
        <v>0</v>
      </c>
    </row>
    <row r="26" spans="1:11" s="40" customFormat="1" ht="12.75">
      <c r="A26" s="48" t="s">
        <v>13</v>
      </c>
      <c r="B26" s="49" t="s">
        <v>45</v>
      </c>
      <c r="C26" s="50" t="s">
        <v>46</v>
      </c>
      <c r="D26" s="33"/>
      <c r="E26" s="51"/>
      <c r="F26" s="249"/>
      <c r="G26" s="52"/>
      <c r="H26" s="53"/>
      <c r="I26" s="53"/>
      <c r="J26" s="53"/>
      <c r="K26" s="53"/>
    </row>
    <row r="27" spans="1:11" s="40" customFormat="1" ht="12.75">
      <c r="A27" s="33">
        <v>13</v>
      </c>
      <c r="B27" s="34" t="s">
        <v>219</v>
      </c>
      <c r="C27" s="35" t="s">
        <v>47</v>
      </c>
      <c r="D27" s="36" t="s">
        <v>48</v>
      </c>
      <c r="E27" s="37">
        <v>20</v>
      </c>
      <c r="F27" s="247"/>
      <c r="G27" s="38">
        <f aca="true" t="shared" si="5" ref="G27">CEILING(E27*F27,1)</f>
        <v>0</v>
      </c>
      <c r="H27" s="39">
        <v>0</v>
      </c>
      <c r="I27" s="39">
        <f>E27*H27</f>
        <v>0</v>
      </c>
      <c r="J27" s="39">
        <v>0</v>
      </c>
      <c r="K27" s="39">
        <f>E27*J27</f>
        <v>0</v>
      </c>
    </row>
    <row r="28" spans="1:11" s="40" customFormat="1" ht="12.75">
      <c r="A28" s="41"/>
      <c r="B28" s="42" t="s">
        <v>15</v>
      </c>
      <c r="C28" s="43" t="str">
        <f>CONCATENATE(B26," ",C26)</f>
        <v>90 Přípočty</v>
      </c>
      <c r="D28" s="41"/>
      <c r="E28" s="44"/>
      <c r="F28" s="44"/>
      <c r="G28" s="45">
        <f>SUM(G26:G27)</f>
        <v>0</v>
      </c>
      <c r="H28" s="46"/>
      <c r="I28" s="47">
        <f>SUM(I26:I27)</f>
        <v>0</v>
      </c>
      <c r="J28" s="46"/>
      <c r="K28" s="47">
        <f>SUM(K26:K27)</f>
        <v>0</v>
      </c>
    </row>
    <row r="29" spans="1:11" s="40" customFormat="1" ht="12.75">
      <c r="A29" s="48" t="s">
        <v>13</v>
      </c>
      <c r="B29" s="49" t="s">
        <v>49</v>
      </c>
      <c r="C29" s="50" t="s">
        <v>50</v>
      </c>
      <c r="D29" s="33"/>
      <c r="E29" s="51"/>
      <c r="F29" s="249"/>
      <c r="G29" s="52"/>
      <c r="H29" s="53"/>
      <c r="I29" s="53"/>
      <c r="J29" s="53"/>
      <c r="K29" s="53"/>
    </row>
    <row r="30" spans="1:11" s="40" customFormat="1" ht="12.75">
      <c r="A30" s="33">
        <v>14</v>
      </c>
      <c r="B30" s="34" t="s">
        <v>220</v>
      </c>
      <c r="C30" s="35" t="s">
        <v>51</v>
      </c>
      <c r="D30" s="36" t="s">
        <v>19</v>
      </c>
      <c r="E30" s="37">
        <v>22.32</v>
      </c>
      <c r="F30" s="247"/>
      <c r="G30" s="38">
        <f aca="true" t="shared" si="6" ref="G30">CEILING(E30*F30,1)</f>
        <v>0</v>
      </c>
      <c r="H30" s="39">
        <v>0.00121</v>
      </c>
      <c r="I30" s="39">
        <f>E30*H30</f>
        <v>0.0270072</v>
      </c>
      <c r="J30" s="39">
        <v>0</v>
      </c>
      <c r="K30" s="39">
        <f>E30*J30</f>
        <v>0</v>
      </c>
    </row>
    <row r="31" spans="1:11" s="40" customFormat="1" ht="12.75">
      <c r="A31" s="41"/>
      <c r="B31" s="42" t="s">
        <v>15</v>
      </c>
      <c r="C31" s="43" t="str">
        <f>CONCATENATE(B29," ",C29)</f>
        <v>94 Lešení a stavební výtahy</v>
      </c>
      <c r="D31" s="41"/>
      <c r="E31" s="44"/>
      <c r="F31" s="248"/>
      <c r="G31" s="45">
        <f>SUM(G29:G30)</f>
        <v>0</v>
      </c>
      <c r="H31" s="46"/>
      <c r="I31" s="47">
        <f>SUM(I29:I30)</f>
        <v>0.0270072</v>
      </c>
      <c r="J31" s="46"/>
      <c r="K31" s="47">
        <f>SUM(K29:K30)</f>
        <v>0</v>
      </c>
    </row>
    <row r="32" spans="1:11" s="40" customFormat="1" ht="12.75">
      <c r="A32" s="48" t="s">
        <v>13</v>
      </c>
      <c r="B32" s="49" t="s">
        <v>52</v>
      </c>
      <c r="C32" s="50" t="s">
        <v>53</v>
      </c>
      <c r="D32" s="33"/>
      <c r="E32" s="51"/>
      <c r="F32" s="249"/>
      <c r="G32" s="52"/>
      <c r="H32" s="53"/>
      <c r="I32" s="53"/>
      <c r="J32" s="53"/>
      <c r="K32" s="53"/>
    </row>
    <row r="33" spans="1:11" s="40" customFormat="1" ht="12.75">
      <c r="A33" s="33">
        <v>15</v>
      </c>
      <c r="B33" s="34" t="s">
        <v>221</v>
      </c>
      <c r="C33" s="35" t="s">
        <v>54</v>
      </c>
      <c r="D33" s="36" t="s">
        <v>19</v>
      </c>
      <c r="E33" s="37">
        <v>22.32</v>
      </c>
      <c r="F33" s="247"/>
      <c r="G33" s="38">
        <f aca="true" t="shared" si="7" ref="G33">CEILING(E33*F33,1)</f>
        <v>0</v>
      </c>
      <c r="H33" s="39">
        <v>4E-05</v>
      </c>
      <c r="I33" s="39">
        <f>E33*H33</f>
        <v>0.0008928000000000001</v>
      </c>
      <c r="J33" s="39">
        <v>0</v>
      </c>
      <c r="K33" s="39">
        <f>E33*J33</f>
        <v>0</v>
      </c>
    </row>
    <row r="34" spans="1:11" s="40" customFormat="1" ht="12.75">
      <c r="A34" s="41"/>
      <c r="B34" s="42" t="s">
        <v>15</v>
      </c>
      <c r="C34" s="43" t="str">
        <f>CONCATENATE(B32," ",C32)</f>
        <v>95 Dokončovací kce na pozem.stav.</v>
      </c>
      <c r="D34" s="41"/>
      <c r="E34" s="44"/>
      <c r="F34" s="248"/>
      <c r="G34" s="45">
        <f>SUM(G32:G33)</f>
        <v>0</v>
      </c>
      <c r="H34" s="46"/>
      <c r="I34" s="47">
        <f>SUM(I32:I33)</f>
        <v>0.0008928000000000001</v>
      </c>
      <c r="J34" s="46"/>
      <c r="K34" s="47">
        <f>SUM(K32:K33)</f>
        <v>0</v>
      </c>
    </row>
    <row r="35" spans="1:11" s="40" customFormat="1" ht="12.75">
      <c r="A35" s="48" t="s">
        <v>13</v>
      </c>
      <c r="B35" s="49" t="s">
        <v>55</v>
      </c>
      <c r="C35" s="50" t="s">
        <v>56</v>
      </c>
      <c r="D35" s="33"/>
      <c r="E35" s="51"/>
      <c r="F35" s="249"/>
      <c r="G35" s="52"/>
      <c r="H35" s="53"/>
      <c r="I35" s="53"/>
      <c r="J35" s="53"/>
      <c r="K35" s="53"/>
    </row>
    <row r="36" spans="1:11" s="40" customFormat="1" ht="12.75">
      <c r="A36" s="33">
        <v>16</v>
      </c>
      <c r="B36" s="34" t="s">
        <v>225</v>
      </c>
      <c r="C36" s="35" t="s">
        <v>60</v>
      </c>
      <c r="D36" s="36" t="s">
        <v>24</v>
      </c>
      <c r="E36" s="37">
        <v>1</v>
      </c>
      <c r="F36" s="247"/>
      <c r="G36" s="38">
        <f aca="true" t="shared" si="8" ref="G36:G51">CEILING(E36*F36,1)</f>
        <v>0</v>
      </c>
      <c r="H36" s="39">
        <v>0</v>
      </c>
      <c r="I36" s="39">
        <f aca="true" t="shared" si="9" ref="I36:I51">E36*H36</f>
        <v>0</v>
      </c>
      <c r="J36" s="39">
        <v>0</v>
      </c>
      <c r="K36" s="39">
        <f aca="true" t="shared" si="10" ref="K36:K51">E36*J36</f>
        <v>0</v>
      </c>
    </row>
    <row r="37" spans="1:11" s="40" customFormat="1" ht="12.75">
      <c r="A37" s="33">
        <v>17</v>
      </c>
      <c r="B37" s="34" t="s">
        <v>227</v>
      </c>
      <c r="C37" s="35" t="s">
        <v>62</v>
      </c>
      <c r="D37" s="36" t="s">
        <v>21</v>
      </c>
      <c r="E37" s="37">
        <v>2.45</v>
      </c>
      <c r="F37" s="247"/>
      <c r="G37" s="38">
        <f t="shared" si="8"/>
        <v>0</v>
      </c>
      <c r="H37" s="39">
        <v>0</v>
      </c>
      <c r="I37" s="39">
        <f t="shared" si="9"/>
        <v>0</v>
      </c>
      <c r="J37" s="39">
        <v>-0.01113</v>
      </c>
      <c r="K37" s="39">
        <f t="shared" si="10"/>
        <v>-0.0272685</v>
      </c>
    </row>
    <row r="38" spans="1:11" s="40" customFormat="1" ht="12.75">
      <c r="A38" s="33">
        <v>18</v>
      </c>
      <c r="B38" s="34" t="s">
        <v>231</v>
      </c>
      <c r="C38" s="35" t="s">
        <v>66</v>
      </c>
      <c r="D38" s="36" t="s">
        <v>19</v>
      </c>
      <c r="E38" s="37">
        <v>22.48</v>
      </c>
      <c r="F38" s="247"/>
      <c r="G38" s="38">
        <f t="shared" si="8"/>
        <v>0</v>
      </c>
      <c r="H38" s="39">
        <v>0</v>
      </c>
      <c r="I38" s="39">
        <f t="shared" si="9"/>
        <v>0</v>
      </c>
      <c r="J38" s="39">
        <v>-0.001</v>
      </c>
      <c r="K38" s="39">
        <f t="shared" si="10"/>
        <v>-0.02248</v>
      </c>
    </row>
    <row r="39" spans="1:11" s="40" customFormat="1" ht="12.75">
      <c r="A39" s="33">
        <v>19</v>
      </c>
      <c r="B39" s="34" t="s">
        <v>232</v>
      </c>
      <c r="C39" s="35" t="s">
        <v>67</v>
      </c>
      <c r="D39" s="36" t="s">
        <v>19</v>
      </c>
      <c r="E39" s="37">
        <v>22.48</v>
      </c>
      <c r="F39" s="247"/>
      <c r="G39" s="38">
        <f t="shared" si="8"/>
        <v>0</v>
      </c>
      <c r="H39" s="39">
        <v>0</v>
      </c>
      <c r="I39" s="39">
        <f t="shared" si="9"/>
        <v>0</v>
      </c>
      <c r="J39" s="39">
        <v>0</v>
      </c>
      <c r="K39" s="39">
        <f t="shared" si="10"/>
        <v>0</v>
      </c>
    </row>
    <row r="40" spans="1:11" s="40" customFormat="1" ht="12.75">
      <c r="A40" s="33">
        <v>20</v>
      </c>
      <c r="B40" s="34" t="s">
        <v>233</v>
      </c>
      <c r="C40" s="35" t="s">
        <v>68</v>
      </c>
      <c r="D40" s="36" t="s">
        <v>19</v>
      </c>
      <c r="E40" s="37">
        <v>62.512</v>
      </c>
      <c r="F40" s="247"/>
      <c r="G40" s="38">
        <f t="shared" si="8"/>
        <v>0</v>
      </c>
      <c r="H40" s="39">
        <v>0</v>
      </c>
      <c r="I40" s="39">
        <f t="shared" si="9"/>
        <v>0</v>
      </c>
      <c r="J40" s="39">
        <v>0</v>
      </c>
      <c r="K40" s="39">
        <f t="shared" si="10"/>
        <v>0</v>
      </c>
    </row>
    <row r="41" spans="1:11" s="40" customFormat="1" ht="12.75">
      <c r="A41" s="33">
        <v>21</v>
      </c>
      <c r="B41" s="34" t="s">
        <v>234</v>
      </c>
      <c r="C41" s="35" t="s">
        <v>69</v>
      </c>
      <c r="D41" s="36" t="s">
        <v>19</v>
      </c>
      <c r="E41" s="37">
        <v>40.032</v>
      </c>
      <c r="F41" s="247"/>
      <c r="G41" s="38">
        <f t="shared" si="8"/>
        <v>0</v>
      </c>
      <c r="H41" s="39">
        <v>0</v>
      </c>
      <c r="I41" s="39">
        <f t="shared" si="9"/>
        <v>0</v>
      </c>
      <c r="J41" s="39">
        <v>-0.004</v>
      </c>
      <c r="K41" s="39">
        <f t="shared" si="10"/>
        <v>-0.160128</v>
      </c>
    </row>
    <row r="42" spans="1:11" s="40" customFormat="1" ht="12.75">
      <c r="A42" s="33">
        <v>22</v>
      </c>
      <c r="B42" s="34" t="s">
        <v>235</v>
      </c>
      <c r="C42" s="35" t="s">
        <v>70</v>
      </c>
      <c r="D42" s="36" t="s">
        <v>19</v>
      </c>
      <c r="E42" s="37">
        <v>22.48</v>
      </c>
      <c r="F42" s="247"/>
      <c r="G42" s="38">
        <f t="shared" si="8"/>
        <v>0</v>
      </c>
      <c r="H42" s="39">
        <v>0</v>
      </c>
      <c r="I42" s="39">
        <f t="shared" si="9"/>
        <v>0</v>
      </c>
      <c r="J42" s="39">
        <v>-0.004</v>
      </c>
      <c r="K42" s="39">
        <f t="shared" si="10"/>
        <v>-0.08992</v>
      </c>
    </row>
    <row r="43" spans="1:11" s="40" customFormat="1" ht="12.75">
      <c r="A43" s="33">
        <v>23</v>
      </c>
      <c r="B43" s="34" t="s">
        <v>236</v>
      </c>
      <c r="C43" s="35" t="s">
        <v>71</v>
      </c>
      <c r="D43" s="36" t="s">
        <v>24</v>
      </c>
      <c r="E43" s="37">
        <v>2</v>
      </c>
      <c r="F43" s="247"/>
      <c r="G43" s="38">
        <f t="shared" si="8"/>
        <v>0</v>
      </c>
      <c r="H43" s="39">
        <v>0</v>
      </c>
      <c r="I43" s="39">
        <f t="shared" si="9"/>
        <v>0</v>
      </c>
      <c r="J43" s="39">
        <v>-0.0881</v>
      </c>
      <c r="K43" s="39">
        <f t="shared" si="10"/>
        <v>-0.1762</v>
      </c>
    </row>
    <row r="44" spans="1:11" s="40" customFormat="1" ht="12.75">
      <c r="A44" s="33">
        <v>24</v>
      </c>
      <c r="B44" s="34" t="s">
        <v>237</v>
      </c>
      <c r="C44" s="35" t="s">
        <v>72</v>
      </c>
      <c r="D44" s="36" t="s">
        <v>24</v>
      </c>
      <c r="E44" s="37">
        <v>1</v>
      </c>
      <c r="F44" s="247"/>
      <c r="G44" s="38">
        <f t="shared" si="8"/>
        <v>0</v>
      </c>
      <c r="H44" s="39">
        <v>0</v>
      </c>
      <c r="I44" s="39">
        <f t="shared" si="9"/>
        <v>0</v>
      </c>
      <c r="J44" s="39">
        <v>-0.1104</v>
      </c>
      <c r="K44" s="39">
        <f t="shared" si="10"/>
        <v>-0.1104</v>
      </c>
    </row>
    <row r="45" spans="1:11" s="40" customFormat="1" ht="12.75">
      <c r="A45" s="33">
        <v>25</v>
      </c>
      <c r="B45" s="34" t="s">
        <v>238</v>
      </c>
      <c r="C45" s="35" t="s">
        <v>73</v>
      </c>
      <c r="D45" s="36" t="s">
        <v>24</v>
      </c>
      <c r="E45" s="37">
        <v>1</v>
      </c>
      <c r="F45" s="247"/>
      <c r="G45" s="38">
        <f t="shared" si="8"/>
        <v>0</v>
      </c>
      <c r="H45" s="39">
        <v>0</v>
      </c>
      <c r="I45" s="39">
        <f t="shared" si="9"/>
        <v>0</v>
      </c>
      <c r="J45" s="39">
        <v>-0.00223</v>
      </c>
      <c r="K45" s="39">
        <f t="shared" si="10"/>
        <v>-0.00223</v>
      </c>
    </row>
    <row r="46" spans="1:11" s="40" customFormat="1" ht="12.75">
      <c r="A46" s="33">
        <v>26</v>
      </c>
      <c r="B46" s="34" t="s">
        <v>81</v>
      </c>
      <c r="C46" s="35" t="s">
        <v>82</v>
      </c>
      <c r="D46" s="36" t="s">
        <v>83</v>
      </c>
      <c r="E46" s="37">
        <v>1</v>
      </c>
      <c r="F46" s="247"/>
      <c r="G46" s="38">
        <f t="shared" si="8"/>
        <v>0</v>
      </c>
      <c r="H46" s="39">
        <v>0</v>
      </c>
      <c r="I46" s="39">
        <f t="shared" si="9"/>
        <v>0</v>
      </c>
      <c r="J46" s="39">
        <v>0</v>
      </c>
      <c r="K46" s="39">
        <f t="shared" si="10"/>
        <v>0</v>
      </c>
    </row>
    <row r="47" spans="1:11" s="40" customFormat="1" ht="12.75">
      <c r="A47" s="33">
        <v>27</v>
      </c>
      <c r="B47" s="34" t="s">
        <v>84</v>
      </c>
      <c r="C47" s="35" t="s">
        <v>85</v>
      </c>
      <c r="D47" s="36" t="s">
        <v>83</v>
      </c>
      <c r="E47" s="37">
        <v>1</v>
      </c>
      <c r="F47" s="247"/>
      <c r="G47" s="38">
        <f t="shared" si="8"/>
        <v>0</v>
      </c>
      <c r="H47" s="39">
        <v>0</v>
      </c>
      <c r="I47" s="39">
        <f t="shared" si="9"/>
        <v>0</v>
      </c>
      <c r="J47" s="39">
        <v>0</v>
      </c>
      <c r="K47" s="39">
        <f t="shared" si="10"/>
        <v>0</v>
      </c>
    </row>
    <row r="48" spans="1:11" s="40" customFormat="1" ht="12.75">
      <c r="A48" s="33">
        <v>28</v>
      </c>
      <c r="B48" s="34" t="s">
        <v>246</v>
      </c>
      <c r="C48" s="35" t="s">
        <v>88</v>
      </c>
      <c r="D48" s="36" t="s">
        <v>87</v>
      </c>
      <c r="E48" s="37">
        <v>3.56</v>
      </c>
      <c r="F48" s="247"/>
      <c r="G48" s="38">
        <f t="shared" si="8"/>
        <v>0</v>
      </c>
      <c r="H48" s="39">
        <v>0</v>
      </c>
      <c r="I48" s="39">
        <f t="shared" si="9"/>
        <v>0</v>
      </c>
      <c r="J48" s="39">
        <v>0</v>
      </c>
      <c r="K48" s="39">
        <f t="shared" si="10"/>
        <v>0</v>
      </c>
    </row>
    <row r="49" spans="1:11" s="40" customFormat="1" ht="12.75">
      <c r="A49" s="33">
        <v>29</v>
      </c>
      <c r="B49" s="34" t="s">
        <v>247</v>
      </c>
      <c r="C49" s="35" t="s">
        <v>89</v>
      </c>
      <c r="D49" s="36" t="s">
        <v>87</v>
      </c>
      <c r="E49" s="37">
        <v>14.24</v>
      </c>
      <c r="F49" s="247"/>
      <c r="G49" s="38">
        <f t="shared" si="8"/>
        <v>0</v>
      </c>
      <c r="H49" s="39">
        <v>0</v>
      </c>
      <c r="I49" s="39">
        <f t="shared" si="9"/>
        <v>0</v>
      </c>
      <c r="J49" s="39">
        <v>0</v>
      </c>
      <c r="K49" s="39">
        <f t="shared" si="10"/>
        <v>0</v>
      </c>
    </row>
    <row r="50" spans="1:11" s="40" customFormat="1" ht="12.75">
      <c r="A50" s="33">
        <v>30</v>
      </c>
      <c r="B50" s="34" t="s">
        <v>248</v>
      </c>
      <c r="C50" s="35" t="s">
        <v>90</v>
      </c>
      <c r="D50" s="36" t="s">
        <v>87</v>
      </c>
      <c r="E50" s="37">
        <v>3.56</v>
      </c>
      <c r="F50" s="247"/>
      <c r="G50" s="38">
        <f t="shared" si="8"/>
        <v>0</v>
      </c>
      <c r="H50" s="39">
        <v>0</v>
      </c>
      <c r="I50" s="39">
        <f t="shared" si="9"/>
        <v>0</v>
      </c>
      <c r="J50" s="39">
        <v>0</v>
      </c>
      <c r="K50" s="39">
        <f t="shared" si="10"/>
        <v>0</v>
      </c>
    </row>
    <row r="51" spans="1:11" s="40" customFormat="1" ht="12.75">
      <c r="A51" s="33">
        <v>31</v>
      </c>
      <c r="B51" s="34" t="s">
        <v>249</v>
      </c>
      <c r="C51" s="35" t="s">
        <v>91</v>
      </c>
      <c r="D51" s="36" t="s">
        <v>87</v>
      </c>
      <c r="E51" s="37">
        <v>3.56</v>
      </c>
      <c r="F51" s="247"/>
      <c r="G51" s="38">
        <f t="shared" si="8"/>
        <v>0</v>
      </c>
      <c r="H51" s="39">
        <v>0</v>
      </c>
      <c r="I51" s="39">
        <f t="shared" si="9"/>
        <v>0</v>
      </c>
      <c r="J51" s="39">
        <v>0</v>
      </c>
      <c r="K51" s="39">
        <f t="shared" si="10"/>
        <v>0</v>
      </c>
    </row>
    <row r="52" spans="1:11" s="40" customFormat="1" ht="12.75">
      <c r="A52" s="41"/>
      <c r="B52" s="42" t="s">
        <v>15</v>
      </c>
      <c r="C52" s="43" t="str">
        <f>CONCATENATE(B35," ",C35)</f>
        <v>96 Bourání konstrukcí</v>
      </c>
      <c r="D52" s="41"/>
      <c r="E52" s="44"/>
      <c r="F52" s="44"/>
      <c r="G52" s="45">
        <f>SUM(G35:G51)</f>
        <v>0</v>
      </c>
      <c r="H52" s="46"/>
      <c r="I52" s="47">
        <f>SUM(I35:I51)</f>
        <v>0</v>
      </c>
      <c r="J52" s="46"/>
      <c r="K52" s="47">
        <f>SUM(K35:K51)</f>
        <v>-0.5886264999999999</v>
      </c>
    </row>
    <row r="53" spans="1:11" s="40" customFormat="1" ht="12.75">
      <c r="A53" s="48" t="s">
        <v>13</v>
      </c>
      <c r="B53" s="49" t="s">
        <v>92</v>
      </c>
      <c r="C53" s="50" t="s">
        <v>93</v>
      </c>
      <c r="D53" s="33"/>
      <c r="E53" s="51"/>
      <c r="F53" s="249"/>
      <c r="G53" s="52"/>
      <c r="H53" s="53"/>
      <c r="I53" s="53"/>
      <c r="J53" s="53"/>
      <c r="K53" s="53"/>
    </row>
    <row r="54" spans="1:11" s="40" customFormat="1" ht="12.75">
      <c r="A54" s="33">
        <v>32</v>
      </c>
      <c r="B54" s="34" t="s">
        <v>250</v>
      </c>
      <c r="C54" s="35" t="s">
        <v>94</v>
      </c>
      <c r="D54" s="36" t="s">
        <v>87</v>
      </c>
      <c r="E54" s="37">
        <f>I52+I34+I31+I25+I21+I12</f>
        <v>0.610894818</v>
      </c>
      <c r="F54" s="247"/>
      <c r="G54" s="38">
        <f aca="true" t="shared" si="11" ref="G54">CEILING(E54*F54,1)</f>
        <v>0</v>
      </c>
      <c r="H54" s="39">
        <v>0</v>
      </c>
      <c r="I54" s="39">
        <f>E54*H54</f>
        <v>0</v>
      </c>
      <c r="J54" s="39">
        <v>0</v>
      </c>
      <c r="K54" s="39">
        <f>E54*J54</f>
        <v>0</v>
      </c>
    </row>
    <row r="55" spans="1:11" s="40" customFormat="1" ht="12.75">
      <c r="A55" s="41"/>
      <c r="B55" s="42" t="s">
        <v>15</v>
      </c>
      <c r="C55" s="43" t="str">
        <f>CONCATENATE(B53," ",C53)</f>
        <v>99 Staveništní přesun hmot</v>
      </c>
      <c r="D55" s="41"/>
      <c r="E55" s="44"/>
      <c r="F55" s="248"/>
      <c r="G55" s="45">
        <f>SUM(G53:G54)</f>
        <v>0</v>
      </c>
      <c r="H55" s="46"/>
      <c r="I55" s="47">
        <f>SUM(I53:I54)</f>
        <v>0</v>
      </c>
      <c r="J55" s="46"/>
      <c r="K55" s="47">
        <f>SUM(K53:K54)</f>
        <v>0</v>
      </c>
    </row>
    <row r="56" spans="1:11" s="40" customFormat="1" ht="12.75">
      <c r="A56" s="48" t="s">
        <v>13</v>
      </c>
      <c r="B56" s="49" t="s">
        <v>155</v>
      </c>
      <c r="C56" s="50" t="s">
        <v>156</v>
      </c>
      <c r="D56" s="33"/>
      <c r="E56" s="51"/>
      <c r="F56" s="249"/>
      <c r="G56" s="52"/>
      <c r="H56" s="53"/>
      <c r="I56" s="53"/>
      <c r="J56" s="53"/>
      <c r="K56" s="53"/>
    </row>
    <row r="57" spans="1:11" s="40" customFormat="1" ht="12.75">
      <c r="A57" s="33">
        <v>33</v>
      </c>
      <c r="B57" s="34" t="s">
        <v>295</v>
      </c>
      <c r="C57" s="35" t="s">
        <v>157</v>
      </c>
      <c r="D57" s="36" t="s">
        <v>24</v>
      </c>
      <c r="E57" s="37">
        <v>1</v>
      </c>
      <c r="F57" s="247"/>
      <c r="G57" s="38">
        <f aca="true" t="shared" si="12" ref="G57:G60">CEILING(E57*F57,1)</f>
        <v>0</v>
      </c>
      <c r="H57" s="39">
        <v>0</v>
      </c>
      <c r="I57" s="39">
        <f aca="true" t="shared" si="13" ref="I57:I60">E57*H57</f>
        <v>0</v>
      </c>
      <c r="J57" s="39">
        <v>0</v>
      </c>
      <c r="K57" s="39">
        <f aca="true" t="shared" si="14" ref="K57:K60">E57*J57</f>
        <v>0</v>
      </c>
    </row>
    <row r="58" spans="1:11" s="40" customFormat="1" ht="25.5">
      <c r="A58" s="33">
        <v>34</v>
      </c>
      <c r="B58" s="34" t="s">
        <v>296</v>
      </c>
      <c r="C58" s="35" t="s">
        <v>540</v>
      </c>
      <c r="D58" s="36" t="s">
        <v>24</v>
      </c>
      <c r="E58" s="37">
        <v>1</v>
      </c>
      <c r="F58" s="247"/>
      <c r="G58" s="38">
        <f t="shared" si="12"/>
        <v>0</v>
      </c>
      <c r="H58" s="39">
        <v>0.02</v>
      </c>
      <c r="I58" s="39">
        <f t="shared" si="13"/>
        <v>0.02</v>
      </c>
      <c r="J58" s="39">
        <v>0</v>
      </c>
      <c r="K58" s="39">
        <f t="shared" si="14"/>
        <v>0</v>
      </c>
    </row>
    <row r="59" spans="1:11" s="40" customFormat="1" ht="12.75">
      <c r="A59" s="33">
        <v>35</v>
      </c>
      <c r="B59" s="34" t="s">
        <v>299</v>
      </c>
      <c r="C59" s="35" t="s">
        <v>159</v>
      </c>
      <c r="D59" s="36" t="s">
        <v>24</v>
      </c>
      <c r="E59" s="37">
        <v>2</v>
      </c>
      <c r="F59" s="247"/>
      <c r="G59" s="38">
        <f t="shared" si="12"/>
        <v>0</v>
      </c>
      <c r="H59" s="39">
        <v>0</v>
      </c>
      <c r="I59" s="39">
        <f t="shared" si="13"/>
        <v>0</v>
      </c>
      <c r="J59" s="39">
        <v>0</v>
      </c>
      <c r="K59" s="39">
        <f t="shared" si="14"/>
        <v>0</v>
      </c>
    </row>
    <row r="60" spans="1:11" s="40" customFormat="1" ht="25.5">
      <c r="A60" s="33">
        <v>36</v>
      </c>
      <c r="B60" s="34" t="s">
        <v>300</v>
      </c>
      <c r="C60" s="35" t="s">
        <v>541</v>
      </c>
      <c r="D60" s="36" t="s">
        <v>24</v>
      </c>
      <c r="E60" s="37">
        <v>1</v>
      </c>
      <c r="F60" s="247"/>
      <c r="G60" s="38">
        <f t="shared" si="12"/>
        <v>0</v>
      </c>
      <c r="H60" s="39">
        <v>0.001</v>
      </c>
      <c r="I60" s="39">
        <f t="shared" si="13"/>
        <v>0.001</v>
      </c>
      <c r="J60" s="39">
        <v>0</v>
      </c>
      <c r="K60" s="39">
        <f t="shared" si="14"/>
        <v>0</v>
      </c>
    </row>
    <row r="61" spans="1:11" s="40" customFormat="1" ht="12.75">
      <c r="A61" s="41"/>
      <c r="B61" s="42" t="s">
        <v>15</v>
      </c>
      <c r="C61" s="43" t="str">
        <f>CONCATENATE(B56," ",C56)</f>
        <v>766 Konstrukce truhlářské</v>
      </c>
      <c r="D61" s="41"/>
      <c r="E61" s="44"/>
      <c r="F61" s="248"/>
      <c r="G61" s="45">
        <f>SUM(G56:G60)</f>
        <v>0</v>
      </c>
      <c r="H61" s="46"/>
      <c r="I61" s="47">
        <f>SUM(I56:I60)</f>
        <v>0.021</v>
      </c>
      <c r="J61" s="46"/>
      <c r="K61" s="47">
        <f>SUM(K56:K60)</f>
        <v>0</v>
      </c>
    </row>
    <row r="62" spans="1:11" s="40" customFormat="1" ht="12.75">
      <c r="A62" s="48" t="s">
        <v>13</v>
      </c>
      <c r="B62" s="49" t="s">
        <v>172</v>
      </c>
      <c r="C62" s="50" t="s">
        <v>173</v>
      </c>
      <c r="D62" s="33"/>
      <c r="E62" s="51"/>
      <c r="F62" s="249"/>
      <c r="G62" s="52"/>
      <c r="H62" s="53"/>
      <c r="I62" s="53"/>
      <c r="J62" s="53"/>
      <c r="K62" s="53"/>
    </row>
    <row r="63" spans="1:11" s="40" customFormat="1" ht="12.75">
      <c r="A63" s="33">
        <v>37</v>
      </c>
      <c r="B63" s="34" t="s">
        <v>310</v>
      </c>
      <c r="C63" s="35" t="s">
        <v>174</v>
      </c>
      <c r="D63" s="36" t="s">
        <v>19</v>
      </c>
      <c r="E63" s="37">
        <v>19.48</v>
      </c>
      <c r="F63" s="247"/>
      <c r="G63" s="38">
        <f aca="true" t="shared" si="15" ref="G63:G68">CEILING(E63*F63,1)</f>
        <v>0</v>
      </c>
      <c r="H63" s="39">
        <v>0</v>
      </c>
      <c r="I63" s="39">
        <f aca="true" t="shared" si="16" ref="I63:I68">E63*H63</f>
        <v>0</v>
      </c>
      <c r="J63" s="39">
        <v>0</v>
      </c>
      <c r="K63" s="39">
        <f aca="true" t="shared" si="17" ref="K63:K68">E63*J63</f>
        <v>0</v>
      </c>
    </row>
    <row r="64" spans="1:11" s="40" customFormat="1" ht="25.5">
      <c r="A64" s="33">
        <v>38</v>
      </c>
      <c r="B64" s="34" t="s">
        <v>311</v>
      </c>
      <c r="C64" s="35" t="s">
        <v>475</v>
      </c>
      <c r="D64" s="36" t="s">
        <v>21</v>
      </c>
      <c r="E64" s="37">
        <v>9.61</v>
      </c>
      <c r="F64" s="247"/>
      <c r="G64" s="38">
        <f t="shared" si="15"/>
        <v>0</v>
      </c>
      <c r="H64" s="39">
        <v>0.00059</v>
      </c>
      <c r="I64" s="39">
        <f t="shared" si="16"/>
        <v>0.0056699</v>
      </c>
      <c r="J64" s="39">
        <v>0</v>
      </c>
      <c r="K64" s="39">
        <f t="shared" si="17"/>
        <v>0</v>
      </c>
    </row>
    <row r="65" spans="1:11" s="40" customFormat="1" ht="25.5">
      <c r="A65" s="33">
        <v>39</v>
      </c>
      <c r="B65" s="34" t="s">
        <v>312</v>
      </c>
      <c r="C65" s="35" t="s">
        <v>535</v>
      </c>
      <c r="D65" s="36" t="s">
        <v>19</v>
      </c>
      <c r="E65" s="37">
        <v>19.48</v>
      </c>
      <c r="F65" s="247"/>
      <c r="G65" s="38">
        <f t="shared" si="15"/>
        <v>0</v>
      </c>
      <c r="H65" s="39">
        <v>0.00036</v>
      </c>
      <c r="I65" s="39">
        <f t="shared" si="16"/>
        <v>0.0070128000000000005</v>
      </c>
      <c r="J65" s="39">
        <v>0</v>
      </c>
      <c r="K65" s="39">
        <f t="shared" si="17"/>
        <v>0</v>
      </c>
    </row>
    <row r="66" spans="1:11" s="40" customFormat="1" ht="153">
      <c r="A66" s="33">
        <v>40</v>
      </c>
      <c r="B66" s="34" t="s">
        <v>313</v>
      </c>
      <c r="C66" s="35" t="s">
        <v>534</v>
      </c>
      <c r="D66" s="36" t="s">
        <v>19</v>
      </c>
      <c r="E66" s="37">
        <v>21.428</v>
      </c>
      <c r="F66" s="247"/>
      <c r="G66" s="38">
        <f t="shared" si="15"/>
        <v>0</v>
      </c>
      <c r="H66" s="39">
        <v>0.00295</v>
      </c>
      <c r="I66" s="39">
        <f t="shared" si="16"/>
        <v>0.06321260000000001</v>
      </c>
      <c r="J66" s="39">
        <v>0</v>
      </c>
      <c r="K66" s="39">
        <f t="shared" si="17"/>
        <v>0</v>
      </c>
    </row>
    <row r="67" spans="1:11" s="40" customFormat="1" ht="12.75">
      <c r="A67" s="33">
        <v>41</v>
      </c>
      <c r="B67" s="34" t="s">
        <v>314</v>
      </c>
      <c r="C67" s="35" t="s">
        <v>175</v>
      </c>
      <c r="D67" s="36" t="s">
        <v>21</v>
      </c>
      <c r="E67" s="37">
        <v>0.7</v>
      </c>
      <c r="F67" s="247"/>
      <c r="G67" s="38">
        <f t="shared" si="15"/>
        <v>0</v>
      </c>
      <c r="H67" s="39">
        <v>0.00026</v>
      </c>
      <c r="I67" s="39">
        <f t="shared" si="16"/>
        <v>0.00018199999999999998</v>
      </c>
      <c r="J67" s="39">
        <v>0</v>
      </c>
      <c r="K67" s="39">
        <f t="shared" si="17"/>
        <v>0</v>
      </c>
    </row>
    <row r="68" spans="1:11" s="40" customFormat="1" ht="12.75">
      <c r="A68" s="33">
        <v>42</v>
      </c>
      <c r="B68" s="34" t="s">
        <v>315</v>
      </c>
      <c r="C68" s="35" t="s">
        <v>176</v>
      </c>
      <c r="D68" s="36" t="s">
        <v>87</v>
      </c>
      <c r="E68" s="37">
        <v>0.076</v>
      </c>
      <c r="F68" s="247"/>
      <c r="G68" s="38">
        <f t="shared" si="15"/>
        <v>0</v>
      </c>
      <c r="H68" s="39">
        <v>0</v>
      </c>
      <c r="I68" s="39">
        <f t="shared" si="16"/>
        <v>0</v>
      </c>
      <c r="J68" s="39">
        <v>0</v>
      </c>
      <c r="K68" s="39">
        <f t="shared" si="17"/>
        <v>0</v>
      </c>
    </row>
    <row r="69" spans="1:11" s="40" customFormat="1" ht="12.75">
      <c r="A69" s="41"/>
      <c r="B69" s="42" t="s">
        <v>15</v>
      </c>
      <c r="C69" s="43" t="str">
        <f>CONCATENATE(B62," ",C62)</f>
        <v>776 Podlahy povlakové</v>
      </c>
      <c r="D69" s="41"/>
      <c r="E69" s="44"/>
      <c r="F69" s="248"/>
      <c r="G69" s="45">
        <f>SUM(G62:G68)</f>
        <v>0</v>
      </c>
      <c r="H69" s="46"/>
      <c r="I69" s="47">
        <f>SUM(I62:I68)</f>
        <v>0.07607730000000001</v>
      </c>
      <c r="J69" s="46"/>
      <c r="K69" s="47">
        <f>SUM(K62:K68)</f>
        <v>0</v>
      </c>
    </row>
    <row r="70" spans="1:11" s="40" customFormat="1" ht="12.75">
      <c r="A70" s="48" t="s">
        <v>13</v>
      </c>
      <c r="B70" s="49" t="s">
        <v>177</v>
      </c>
      <c r="C70" s="50" t="s">
        <v>178</v>
      </c>
      <c r="D70" s="33"/>
      <c r="E70" s="51"/>
      <c r="F70" s="249"/>
      <c r="G70" s="52"/>
      <c r="H70" s="53"/>
      <c r="I70" s="53"/>
      <c r="J70" s="53"/>
      <c r="K70" s="53"/>
    </row>
    <row r="71" spans="1:11" s="40" customFormat="1" ht="12.75">
      <c r="A71" s="33">
        <v>43</v>
      </c>
      <c r="B71" s="34" t="s">
        <v>316</v>
      </c>
      <c r="C71" s="35" t="s">
        <v>519</v>
      </c>
      <c r="D71" s="36" t="s">
        <v>19</v>
      </c>
      <c r="E71" s="37">
        <v>19.48</v>
      </c>
      <c r="F71" s="247"/>
      <c r="G71" s="38">
        <f aca="true" t="shared" si="18" ref="G71:G72">CEILING(E71*F71,1)</f>
        <v>0</v>
      </c>
      <c r="H71" s="39">
        <v>0.0022</v>
      </c>
      <c r="I71" s="39">
        <f>E71*H71</f>
        <v>0.042856000000000005</v>
      </c>
      <c r="J71" s="39">
        <v>0</v>
      </c>
      <c r="K71" s="39">
        <f>E71*J71</f>
        <v>0</v>
      </c>
    </row>
    <row r="72" spans="1:11" s="40" customFormat="1" ht="12.75">
      <c r="A72" s="33">
        <v>44</v>
      </c>
      <c r="B72" s="34" t="s">
        <v>317</v>
      </c>
      <c r="C72" s="35" t="s">
        <v>179</v>
      </c>
      <c r="D72" s="36" t="s">
        <v>87</v>
      </c>
      <c r="E72" s="37">
        <v>0.043</v>
      </c>
      <c r="F72" s="247"/>
      <c r="G72" s="38">
        <f t="shared" si="18"/>
        <v>0</v>
      </c>
      <c r="H72" s="39">
        <v>0</v>
      </c>
      <c r="I72" s="39">
        <f>E72*H72</f>
        <v>0</v>
      </c>
      <c r="J72" s="39">
        <v>0</v>
      </c>
      <c r="K72" s="39">
        <f>E72*J72</f>
        <v>0</v>
      </c>
    </row>
    <row r="73" spans="1:11" s="40" customFormat="1" ht="12.75">
      <c r="A73" s="41"/>
      <c r="B73" s="42" t="s">
        <v>15</v>
      </c>
      <c r="C73" s="43" t="str">
        <f>CONCATENATE(B70," ",C70)</f>
        <v>777 Podlahy ze syntetických hmot</v>
      </c>
      <c r="D73" s="41"/>
      <c r="E73" s="44"/>
      <c r="F73" s="248"/>
      <c r="G73" s="45">
        <f>SUM(G70:G72)</f>
        <v>0</v>
      </c>
      <c r="H73" s="46"/>
      <c r="I73" s="47">
        <f>SUM(I70:I72)</f>
        <v>0.042856000000000005</v>
      </c>
      <c r="J73" s="46"/>
      <c r="K73" s="47">
        <f>SUM(K70:K72)</f>
        <v>0</v>
      </c>
    </row>
    <row r="74" spans="1:11" s="40" customFormat="1" ht="12.75">
      <c r="A74" s="48" t="s">
        <v>13</v>
      </c>
      <c r="B74" s="49" t="s">
        <v>189</v>
      </c>
      <c r="C74" s="50" t="s">
        <v>190</v>
      </c>
      <c r="D74" s="33"/>
      <c r="E74" s="51"/>
      <c r="F74" s="249"/>
      <c r="G74" s="52"/>
      <c r="H74" s="53"/>
      <c r="I74" s="53"/>
      <c r="J74" s="53"/>
      <c r="K74" s="53"/>
    </row>
    <row r="75" spans="1:11" s="40" customFormat="1" ht="12.75">
      <c r="A75" s="33">
        <v>45</v>
      </c>
      <c r="B75" s="34" t="s">
        <v>325</v>
      </c>
      <c r="C75" s="35" t="s">
        <v>191</v>
      </c>
      <c r="D75" s="36" t="s">
        <v>14</v>
      </c>
      <c r="E75" s="37">
        <v>1</v>
      </c>
      <c r="F75" s="247"/>
      <c r="G75" s="38">
        <f aca="true" t="shared" si="19" ref="G75">CEILING(E75*F75,1)</f>
        <v>0</v>
      </c>
      <c r="H75" s="39">
        <v>0.00024</v>
      </c>
      <c r="I75" s="39">
        <f>E75*H75</f>
        <v>0.00024</v>
      </c>
      <c r="J75" s="39">
        <v>0</v>
      </c>
      <c r="K75" s="39">
        <f>E75*J75</f>
        <v>0</v>
      </c>
    </row>
    <row r="76" spans="1:11" s="40" customFormat="1" ht="12.75">
      <c r="A76" s="41"/>
      <c r="B76" s="42" t="s">
        <v>15</v>
      </c>
      <c r="C76" s="43" t="str">
        <f>CONCATENATE(B74," ",C74)</f>
        <v>783 Nátěry</v>
      </c>
      <c r="D76" s="41"/>
      <c r="E76" s="44"/>
      <c r="F76" s="248"/>
      <c r="G76" s="45">
        <f>SUM(G74:G75)</f>
        <v>0</v>
      </c>
      <c r="H76" s="46"/>
      <c r="I76" s="47">
        <f>SUM(I74:I75)</f>
        <v>0.00024</v>
      </c>
      <c r="J76" s="46"/>
      <c r="K76" s="47">
        <f>SUM(K74:K75)</f>
        <v>0</v>
      </c>
    </row>
    <row r="77" spans="1:11" s="40" customFormat="1" ht="12.75">
      <c r="A77" s="48" t="s">
        <v>13</v>
      </c>
      <c r="B77" s="49" t="s">
        <v>192</v>
      </c>
      <c r="C77" s="50" t="s">
        <v>193</v>
      </c>
      <c r="D77" s="33"/>
      <c r="E77" s="51"/>
      <c r="F77" s="249"/>
      <c r="G77" s="52"/>
      <c r="H77" s="53"/>
      <c r="I77" s="53"/>
      <c r="J77" s="53"/>
      <c r="K77" s="53"/>
    </row>
    <row r="78" spans="1:11" s="40" customFormat="1" ht="12.75">
      <c r="A78" s="33">
        <v>46</v>
      </c>
      <c r="B78" s="34" t="s">
        <v>326</v>
      </c>
      <c r="C78" s="35" t="s">
        <v>194</v>
      </c>
      <c r="D78" s="36" t="s">
        <v>19</v>
      </c>
      <c r="E78" s="37">
        <v>66.486</v>
      </c>
      <c r="F78" s="247"/>
      <c r="G78" s="38">
        <f aca="true" t="shared" si="20" ref="G78:G80">CEILING(E78*F78,1)</f>
        <v>0</v>
      </c>
      <c r="H78" s="39">
        <v>7E-05</v>
      </c>
      <c r="I78" s="39">
        <f>E78*H78</f>
        <v>0.00465402</v>
      </c>
      <c r="J78" s="39">
        <v>0</v>
      </c>
      <c r="K78" s="39">
        <f>E78*J78</f>
        <v>0</v>
      </c>
    </row>
    <row r="79" spans="1:11" s="40" customFormat="1" ht="38.25">
      <c r="A79" s="33">
        <v>47</v>
      </c>
      <c r="B79" s="34" t="s">
        <v>327</v>
      </c>
      <c r="C79" s="35" t="s">
        <v>533</v>
      </c>
      <c r="D79" s="36" t="s">
        <v>19</v>
      </c>
      <c r="E79" s="37">
        <v>22.32</v>
      </c>
      <c r="F79" s="247"/>
      <c r="G79" s="38">
        <f t="shared" si="20"/>
        <v>0</v>
      </c>
      <c r="H79" s="39">
        <v>0.00015</v>
      </c>
      <c r="I79" s="39">
        <f>E79*H79</f>
        <v>0.003348</v>
      </c>
      <c r="J79" s="39">
        <v>0</v>
      </c>
      <c r="K79" s="39">
        <f>E79*J79</f>
        <v>0</v>
      </c>
    </row>
    <row r="80" spans="1:11" s="40" customFormat="1" ht="12.75">
      <c r="A80" s="33">
        <v>48</v>
      </c>
      <c r="B80" s="34" t="s">
        <v>328</v>
      </c>
      <c r="C80" s="35" t="s">
        <v>195</v>
      </c>
      <c r="D80" s="36" t="s">
        <v>19</v>
      </c>
      <c r="E80" s="37">
        <v>44.166</v>
      </c>
      <c r="F80" s="247"/>
      <c r="G80" s="38">
        <f t="shared" si="20"/>
        <v>0</v>
      </c>
      <c r="H80" s="39">
        <v>0.00016</v>
      </c>
      <c r="I80" s="39">
        <f>E80*H80</f>
        <v>0.00706656</v>
      </c>
      <c r="J80" s="39">
        <v>0</v>
      </c>
      <c r="K80" s="39">
        <f>E80*J80</f>
        <v>0</v>
      </c>
    </row>
    <row r="81" spans="1:11" s="40" customFormat="1" ht="12.75">
      <c r="A81" s="41"/>
      <c r="B81" s="42" t="s">
        <v>15</v>
      </c>
      <c r="C81" s="43" t="str">
        <f>CONCATENATE(B77," ",C77)</f>
        <v>784 Malby</v>
      </c>
      <c r="D81" s="41"/>
      <c r="E81" s="44"/>
      <c r="F81" s="248"/>
      <c r="G81" s="45">
        <f>SUM(G77:G80)</f>
        <v>0</v>
      </c>
      <c r="H81" s="46"/>
      <c r="I81" s="47">
        <f>SUM(I77:I80)</f>
        <v>0.015068580000000002</v>
      </c>
      <c r="J81" s="46"/>
      <c r="K81" s="47">
        <f>SUM(K77:K80)</f>
        <v>0</v>
      </c>
    </row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pans="1:7" s="40" customFormat="1" ht="12.75">
      <c r="A105" s="54"/>
      <c r="B105" s="54"/>
      <c r="C105" s="54"/>
      <c r="D105" s="54"/>
      <c r="E105" s="54"/>
      <c r="F105" s="54"/>
      <c r="G105" s="54"/>
    </row>
    <row r="106" spans="1:7" s="40" customFormat="1" ht="12.75">
      <c r="A106" s="54"/>
      <c r="B106" s="54"/>
      <c r="C106" s="54"/>
      <c r="D106" s="54"/>
      <c r="E106" s="54"/>
      <c r="F106" s="54"/>
      <c r="G106" s="54"/>
    </row>
    <row r="107" spans="1:7" s="40" customFormat="1" ht="12.75">
      <c r="A107" s="54"/>
      <c r="B107" s="54"/>
      <c r="C107" s="54"/>
      <c r="D107" s="54"/>
      <c r="E107" s="54"/>
      <c r="F107" s="54"/>
      <c r="G107" s="54"/>
    </row>
    <row r="108" spans="1:7" s="40" customFormat="1" ht="12.75">
      <c r="A108" s="54"/>
      <c r="B108" s="54"/>
      <c r="C108" s="54"/>
      <c r="D108" s="54"/>
      <c r="E108" s="54"/>
      <c r="F108" s="54"/>
      <c r="G108" s="54"/>
    </row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pans="1:5" s="40" customFormat="1" ht="12.75">
      <c r="A134" s="55"/>
      <c r="B134" s="55"/>
      <c r="E134" s="56"/>
    </row>
    <row r="135" spans="1:7" s="40" customFormat="1" ht="12.75">
      <c r="A135" s="54"/>
      <c r="B135" s="54"/>
      <c r="C135" s="57"/>
      <c r="D135" s="57"/>
      <c r="E135" s="58"/>
      <c r="F135" s="57"/>
      <c r="G135" s="59"/>
    </row>
    <row r="136" spans="1:7" s="40" customFormat="1" ht="12.75">
      <c r="A136" s="60"/>
      <c r="B136" s="60"/>
      <c r="C136" s="54"/>
      <c r="D136" s="54"/>
      <c r="E136" s="61"/>
      <c r="F136" s="54"/>
      <c r="G136" s="54"/>
    </row>
    <row r="137" spans="1:7" s="40" customFormat="1" ht="12.75">
      <c r="A137" s="54"/>
      <c r="B137" s="54"/>
      <c r="C137" s="54"/>
      <c r="D137" s="54"/>
      <c r="E137" s="61"/>
      <c r="F137" s="54"/>
      <c r="G137" s="54"/>
    </row>
    <row r="138" spans="1:7" s="40" customFormat="1" ht="12.75">
      <c r="A138" s="54"/>
      <c r="B138" s="54"/>
      <c r="C138" s="54"/>
      <c r="D138" s="54"/>
      <c r="E138" s="61"/>
      <c r="F138" s="54"/>
      <c r="G138" s="54"/>
    </row>
    <row r="139" spans="1:7" s="40" customFormat="1" ht="12.75">
      <c r="A139" s="54"/>
      <c r="B139" s="54"/>
      <c r="C139" s="54"/>
      <c r="D139" s="54"/>
      <c r="E139" s="61"/>
      <c r="F139" s="54"/>
      <c r="G139" s="54"/>
    </row>
    <row r="140" spans="1:7" s="40" customFormat="1" ht="12.75">
      <c r="A140" s="54"/>
      <c r="B140" s="54"/>
      <c r="C140" s="54"/>
      <c r="D140" s="54"/>
      <c r="E140" s="61"/>
      <c r="F140" s="54"/>
      <c r="G140" s="54"/>
    </row>
    <row r="141" spans="1:7" ht="12.75">
      <c r="A141" s="30"/>
      <c r="B141" s="30"/>
      <c r="C141" s="30"/>
      <c r="D141" s="30"/>
      <c r="E141" s="32"/>
      <c r="F141" s="30"/>
      <c r="G141" s="30"/>
    </row>
    <row r="142" spans="1:7" ht="12.75">
      <c r="A142" s="30"/>
      <c r="B142" s="30"/>
      <c r="C142" s="30"/>
      <c r="D142" s="30"/>
      <c r="E142" s="32"/>
      <c r="F142" s="30"/>
      <c r="G142" s="30"/>
    </row>
    <row r="143" spans="1:7" ht="12.75">
      <c r="A143" s="30"/>
      <c r="B143" s="30"/>
      <c r="C143" s="30"/>
      <c r="D143" s="30"/>
      <c r="E143" s="32"/>
      <c r="F143" s="30"/>
      <c r="G143" s="30"/>
    </row>
    <row r="144" spans="1:7" ht="12.75">
      <c r="A144" s="30"/>
      <c r="B144" s="30"/>
      <c r="C144" s="30"/>
      <c r="D144" s="30"/>
      <c r="E144" s="32"/>
      <c r="F144" s="30"/>
      <c r="G144" s="30"/>
    </row>
    <row r="145" spans="1:7" ht="12.75">
      <c r="A145" s="30"/>
      <c r="B145" s="30"/>
      <c r="C145" s="30"/>
      <c r="D145" s="30"/>
      <c r="E145" s="32"/>
      <c r="F145" s="30"/>
      <c r="G145" s="30"/>
    </row>
    <row r="146" spans="1:7" ht="12.75">
      <c r="A146" s="30"/>
      <c r="B146" s="30"/>
      <c r="C146" s="30"/>
      <c r="D146" s="30"/>
      <c r="E146" s="32"/>
      <c r="F146" s="30"/>
      <c r="G146" s="30"/>
    </row>
    <row r="147" spans="1:7" ht="12.75">
      <c r="A147" s="30"/>
      <c r="B147" s="30"/>
      <c r="C147" s="30"/>
      <c r="D147" s="30"/>
      <c r="E147" s="32"/>
      <c r="F147" s="30"/>
      <c r="G147" s="30"/>
    </row>
    <row r="148" spans="1:7" ht="12.75">
      <c r="A148" s="30"/>
      <c r="B148" s="30"/>
      <c r="C148" s="30"/>
      <c r="D148" s="30"/>
      <c r="E148" s="32"/>
      <c r="F148" s="30"/>
      <c r="G148" s="30"/>
    </row>
  </sheetData>
  <mergeCells count="4">
    <mergeCell ref="A1:I1"/>
    <mergeCell ref="A3:B3"/>
    <mergeCell ref="A4:B4"/>
    <mergeCell ref="G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J11" sqref="J11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46.25390625" style="0" customWidth="1"/>
  </cols>
  <sheetData>
    <row r="1" spans="1:8" s="7" customFormat="1" ht="13.5" thickTop="1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8" s="7" customFormat="1" ht="13.5" thickBot="1">
      <c r="A2" s="355" t="s">
        <v>0</v>
      </c>
      <c r="B2" s="356"/>
      <c r="C2" s="4" t="s">
        <v>811</v>
      </c>
      <c r="D2" s="5"/>
      <c r="E2" s="6"/>
      <c r="F2" s="357"/>
      <c r="G2" s="357"/>
      <c r="H2" s="358"/>
    </row>
    <row r="3" ht="13.5" thickTop="1"/>
    <row r="4" spans="1:9" s="63" customFormat="1" ht="15">
      <c r="A4" s="64"/>
      <c r="B4" s="65"/>
      <c r="C4" s="68" t="s">
        <v>542</v>
      </c>
      <c r="D4" s="65"/>
      <c r="E4" s="65"/>
      <c r="F4" s="65"/>
      <c r="G4" s="66"/>
      <c r="H4" s="67"/>
      <c r="I4" s="62"/>
    </row>
    <row r="5" spans="1:9" s="63" customFormat="1" ht="12.75" thickBot="1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aca="true" t="shared" si="0" ref="H10:H22">F10*G10</f>
        <v>0</v>
      </c>
      <c r="I10" s="79"/>
    </row>
    <row r="11" spans="1:9" s="80" customFormat="1" ht="35.1" customHeight="1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>
      <c r="A12" s="179" t="s">
        <v>351</v>
      </c>
      <c r="B12" s="92" t="s">
        <v>352</v>
      </c>
      <c r="C12" s="96"/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>
      <c r="A21" s="179" t="s">
        <v>365</v>
      </c>
      <c r="B21" s="98"/>
      <c r="C21" s="96"/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aca="true" t="shared" si="1" ref="H27:H43">F27*G27</f>
        <v>0</v>
      </c>
      <c r="I27" s="127"/>
    </row>
    <row r="28" spans="1:9" s="180" customFormat="1" ht="15" customHeight="1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42.75" customHeight="1">
      <c r="A36" s="179" t="s">
        <v>391</v>
      </c>
      <c r="B36" s="98"/>
      <c r="C36" s="96" t="s">
        <v>560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24.75" customHeight="1">
      <c r="A37" s="179" t="s">
        <v>392</v>
      </c>
      <c r="B37" s="98"/>
      <c r="C37" s="96" t="s">
        <v>561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25.5" customHeight="1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>
      <c r="A39" s="179" t="s">
        <v>394</v>
      </c>
      <c r="B39" s="98"/>
      <c r="C39" s="96" t="s">
        <v>562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3.5" thickBot="1">
      <c r="A45" s="184"/>
      <c r="B45" s="119"/>
      <c r="C45" s="185"/>
      <c r="D45" s="121"/>
      <c r="E45" s="122"/>
      <c r="F45" s="123"/>
      <c r="G45" s="259"/>
      <c r="H45" s="165">
        <f>SUM(H10:H44)</f>
        <v>0</v>
      </c>
      <c r="I45" s="127"/>
    </row>
    <row r="46" spans="1:9" s="180" customFormat="1" ht="12.75">
      <c r="A46" s="186"/>
      <c r="B46" s="125"/>
      <c r="C46" s="126"/>
      <c r="D46" s="127"/>
      <c r="E46" s="128"/>
      <c r="F46" s="129"/>
      <c r="G46" s="261"/>
      <c r="H46" s="131" t="str">
        <f aca="true" t="shared" si="2" ref="H46">IF(AND(F46&gt;0,G46&gt;0),ROUND(F46*G46,0)," ")</f>
        <v xml:space="preserve"> </v>
      </c>
      <c r="I46" s="127"/>
    </row>
    <row r="47" spans="1:9" s="101" customFormat="1" ht="13.5" thickBot="1">
      <c r="A47" s="169"/>
      <c r="B47" s="170"/>
      <c r="C47" s="171" t="s">
        <v>420</v>
      </c>
      <c r="D47" s="172"/>
      <c r="E47" s="173" t="s">
        <v>83</v>
      </c>
      <c r="F47" s="174">
        <v>1</v>
      </c>
      <c r="G47" s="260"/>
      <c r="H47" s="175">
        <f>+G47*F47</f>
        <v>0</v>
      </c>
      <c r="I47" s="100"/>
    </row>
    <row r="48" spans="1:9" s="101" customFormat="1" ht="12.75">
      <c r="A48" s="124"/>
      <c r="B48" s="167" t="s">
        <v>15</v>
      </c>
      <c r="C48" s="168" t="str">
        <f>CONCATENATE(B46," ",C46)</f>
        <v xml:space="preserve"> </v>
      </c>
      <c r="D48" s="127"/>
      <c r="E48" s="128"/>
      <c r="F48" s="129"/>
      <c r="G48" s="262"/>
      <c r="H48" s="159">
        <f>+H45+H47</f>
        <v>0</v>
      </c>
      <c r="I48" s="100"/>
    </row>
  </sheetData>
  <mergeCells count="3">
    <mergeCell ref="A1:B1"/>
    <mergeCell ref="A2:B2"/>
    <mergeCell ref="F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3"/>
  <sheetViews>
    <sheetView workbookViewId="0" topLeftCell="A1">
      <selection activeCell="D22" sqref="D22"/>
    </sheetView>
  </sheetViews>
  <sheetFormatPr defaultColWidth="11.625" defaultRowHeight="12.75"/>
  <cols>
    <col min="1" max="1" width="3.75390625" style="283" customWidth="1"/>
    <col min="2" max="2" width="6.875" style="283" customWidth="1"/>
    <col min="3" max="3" width="13.25390625" style="283" customWidth="1"/>
    <col min="4" max="4" width="110.75390625" style="283" customWidth="1"/>
    <col min="5" max="5" width="6.375" style="283" customWidth="1"/>
    <col min="6" max="6" width="12.875" style="283" customWidth="1"/>
    <col min="7" max="7" width="12.00390625" style="283" customWidth="1"/>
    <col min="8" max="10" width="14.25390625" style="283" customWidth="1"/>
    <col min="11" max="13" width="11.75390625" style="283" customWidth="1"/>
    <col min="14" max="14" width="11.625" style="283" hidden="1" customWidth="1"/>
    <col min="15" max="47" width="12.125" style="283" hidden="1" customWidth="1"/>
    <col min="48" max="256" width="11.625" style="283" customWidth="1"/>
    <col min="257" max="257" width="3.75390625" style="283" customWidth="1"/>
    <col min="258" max="258" width="6.875" style="283" customWidth="1"/>
    <col min="259" max="259" width="13.25390625" style="283" customWidth="1"/>
    <col min="260" max="260" width="110.75390625" style="283" customWidth="1"/>
    <col min="261" max="261" width="6.375" style="283" customWidth="1"/>
    <col min="262" max="262" width="12.875" style="283" customWidth="1"/>
    <col min="263" max="263" width="12.00390625" style="283" customWidth="1"/>
    <col min="264" max="266" width="14.25390625" style="283" customWidth="1"/>
    <col min="267" max="269" width="11.75390625" style="283" customWidth="1"/>
    <col min="270" max="303" width="11.625" style="283" hidden="1" customWidth="1"/>
    <col min="304" max="512" width="11.625" style="283" customWidth="1"/>
    <col min="513" max="513" width="3.75390625" style="283" customWidth="1"/>
    <col min="514" max="514" width="6.875" style="283" customWidth="1"/>
    <col min="515" max="515" width="13.25390625" style="283" customWidth="1"/>
    <col min="516" max="516" width="110.75390625" style="283" customWidth="1"/>
    <col min="517" max="517" width="6.375" style="283" customWidth="1"/>
    <col min="518" max="518" width="12.875" style="283" customWidth="1"/>
    <col min="519" max="519" width="12.00390625" style="283" customWidth="1"/>
    <col min="520" max="522" width="14.25390625" style="283" customWidth="1"/>
    <col min="523" max="525" width="11.75390625" style="283" customWidth="1"/>
    <col min="526" max="559" width="11.625" style="283" hidden="1" customWidth="1"/>
    <col min="560" max="768" width="11.625" style="283" customWidth="1"/>
    <col min="769" max="769" width="3.75390625" style="283" customWidth="1"/>
    <col min="770" max="770" width="6.875" style="283" customWidth="1"/>
    <col min="771" max="771" width="13.25390625" style="283" customWidth="1"/>
    <col min="772" max="772" width="110.75390625" style="283" customWidth="1"/>
    <col min="773" max="773" width="6.375" style="283" customWidth="1"/>
    <col min="774" max="774" width="12.875" style="283" customWidth="1"/>
    <col min="775" max="775" width="12.00390625" style="283" customWidth="1"/>
    <col min="776" max="778" width="14.25390625" style="283" customWidth="1"/>
    <col min="779" max="781" width="11.75390625" style="283" customWidth="1"/>
    <col min="782" max="815" width="11.625" style="283" hidden="1" customWidth="1"/>
    <col min="816" max="1024" width="11.625" style="283" customWidth="1"/>
    <col min="1025" max="1025" width="3.75390625" style="283" customWidth="1"/>
    <col min="1026" max="1026" width="6.875" style="283" customWidth="1"/>
    <col min="1027" max="1027" width="13.25390625" style="283" customWidth="1"/>
    <col min="1028" max="1028" width="110.75390625" style="283" customWidth="1"/>
    <col min="1029" max="1029" width="6.375" style="283" customWidth="1"/>
    <col min="1030" max="1030" width="12.875" style="283" customWidth="1"/>
    <col min="1031" max="1031" width="12.00390625" style="283" customWidth="1"/>
    <col min="1032" max="1034" width="14.25390625" style="283" customWidth="1"/>
    <col min="1035" max="1037" width="11.75390625" style="283" customWidth="1"/>
    <col min="1038" max="1071" width="11.625" style="283" hidden="1" customWidth="1"/>
    <col min="1072" max="1280" width="11.625" style="283" customWidth="1"/>
    <col min="1281" max="1281" width="3.75390625" style="283" customWidth="1"/>
    <col min="1282" max="1282" width="6.875" style="283" customWidth="1"/>
    <col min="1283" max="1283" width="13.25390625" style="283" customWidth="1"/>
    <col min="1284" max="1284" width="110.75390625" style="283" customWidth="1"/>
    <col min="1285" max="1285" width="6.375" style="283" customWidth="1"/>
    <col min="1286" max="1286" width="12.875" style="283" customWidth="1"/>
    <col min="1287" max="1287" width="12.00390625" style="283" customWidth="1"/>
    <col min="1288" max="1290" width="14.25390625" style="283" customWidth="1"/>
    <col min="1291" max="1293" width="11.75390625" style="283" customWidth="1"/>
    <col min="1294" max="1327" width="11.625" style="283" hidden="1" customWidth="1"/>
    <col min="1328" max="1536" width="11.625" style="283" customWidth="1"/>
    <col min="1537" max="1537" width="3.75390625" style="283" customWidth="1"/>
    <col min="1538" max="1538" width="6.875" style="283" customWidth="1"/>
    <col min="1539" max="1539" width="13.25390625" style="283" customWidth="1"/>
    <col min="1540" max="1540" width="110.75390625" style="283" customWidth="1"/>
    <col min="1541" max="1541" width="6.375" style="283" customWidth="1"/>
    <col min="1542" max="1542" width="12.875" style="283" customWidth="1"/>
    <col min="1543" max="1543" width="12.00390625" style="283" customWidth="1"/>
    <col min="1544" max="1546" width="14.25390625" style="283" customWidth="1"/>
    <col min="1547" max="1549" width="11.75390625" style="283" customWidth="1"/>
    <col min="1550" max="1583" width="11.625" style="283" hidden="1" customWidth="1"/>
    <col min="1584" max="1792" width="11.625" style="283" customWidth="1"/>
    <col min="1793" max="1793" width="3.75390625" style="283" customWidth="1"/>
    <col min="1794" max="1794" width="6.875" style="283" customWidth="1"/>
    <col min="1795" max="1795" width="13.25390625" style="283" customWidth="1"/>
    <col min="1796" max="1796" width="110.75390625" style="283" customWidth="1"/>
    <col min="1797" max="1797" width="6.375" style="283" customWidth="1"/>
    <col min="1798" max="1798" width="12.875" style="283" customWidth="1"/>
    <col min="1799" max="1799" width="12.00390625" style="283" customWidth="1"/>
    <col min="1800" max="1802" width="14.25390625" style="283" customWidth="1"/>
    <col min="1803" max="1805" width="11.75390625" style="283" customWidth="1"/>
    <col min="1806" max="1839" width="11.625" style="283" hidden="1" customWidth="1"/>
    <col min="1840" max="2048" width="11.625" style="283" customWidth="1"/>
    <col min="2049" max="2049" width="3.75390625" style="283" customWidth="1"/>
    <col min="2050" max="2050" width="6.875" style="283" customWidth="1"/>
    <col min="2051" max="2051" width="13.25390625" style="283" customWidth="1"/>
    <col min="2052" max="2052" width="110.75390625" style="283" customWidth="1"/>
    <col min="2053" max="2053" width="6.375" style="283" customWidth="1"/>
    <col min="2054" max="2054" width="12.875" style="283" customWidth="1"/>
    <col min="2055" max="2055" width="12.00390625" style="283" customWidth="1"/>
    <col min="2056" max="2058" width="14.25390625" style="283" customWidth="1"/>
    <col min="2059" max="2061" width="11.75390625" style="283" customWidth="1"/>
    <col min="2062" max="2095" width="11.625" style="283" hidden="1" customWidth="1"/>
    <col min="2096" max="2304" width="11.625" style="283" customWidth="1"/>
    <col min="2305" max="2305" width="3.75390625" style="283" customWidth="1"/>
    <col min="2306" max="2306" width="6.875" style="283" customWidth="1"/>
    <col min="2307" max="2307" width="13.25390625" style="283" customWidth="1"/>
    <col min="2308" max="2308" width="110.75390625" style="283" customWidth="1"/>
    <col min="2309" max="2309" width="6.375" style="283" customWidth="1"/>
    <col min="2310" max="2310" width="12.875" style="283" customWidth="1"/>
    <col min="2311" max="2311" width="12.00390625" style="283" customWidth="1"/>
    <col min="2312" max="2314" width="14.25390625" style="283" customWidth="1"/>
    <col min="2315" max="2317" width="11.75390625" style="283" customWidth="1"/>
    <col min="2318" max="2351" width="11.625" style="283" hidden="1" customWidth="1"/>
    <col min="2352" max="2560" width="11.625" style="283" customWidth="1"/>
    <col min="2561" max="2561" width="3.75390625" style="283" customWidth="1"/>
    <col min="2562" max="2562" width="6.875" style="283" customWidth="1"/>
    <col min="2563" max="2563" width="13.25390625" style="283" customWidth="1"/>
    <col min="2564" max="2564" width="110.75390625" style="283" customWidth="1"/>
    <col min="2565" max="2565" width="6.375" style="283" customWidth="1"/>
    <col min="2566" max="2566" width="12.875" style="283" customWidth="1"/>
    <col min="2567" max="2567" width="12.00390625" style="283" customWidth="1"/>
    <col min="2568" max="2570" width="14.25390625" style="283" customWidth="1"/>
    <col min="2571" max="2573" width="11.75390625" style="283" customWidth="1"/>
    <col min="2574" max="2607" width="11.625" style="283" hidden="1" customWidth="1"/>
    <col min="2608" max="2816" width="11.625" style="283" customWidth="1"/>
    <col min="2817" max="2817" width="3.75390625" style="283" customWidth="1"/>
    <col min="2818" max="2818" width="6.875" style="283" customWidth="1"/>
    <col min="2819" max="2819" width="13.25390625" style="283" customWidth="1"/>
    <col min="2820" max="2820" width="110.75390625" style="283" customWidth="1"/>
    <col min="2821" max="2821" width="6.375" style="283" customWidth="1"/>
    <col min="2822" max="2822" width="12.875" style="283" customWidth="1"/>
    <col min="2823" max="2823" width="12.00390625" style="283" customWidth="1"/>
    <col min="2824" max="2826" width="14.25390625" style="283" customWidth="1"/>
    <col min="2827" max="2829" width="11.75390625" style="283" customWidth="1"/>
    <col min="2830" max="2863" width="11.625" style="283" hidden="1" customWidth="1"/>
    <col min="2864" max="3072" width="11.625" style="283" customWidth="1"/>
    <col min="3073" max="3073" width="3.75390625" style="283" customWidth="1"/>
    <col min="3074" max="3074" width="6.875" style="283" customWidth="1"/>
    <col min="3075" max="3075" width="13.25390625" style="283" customWidth="1"/>
    <col min="3076" max="3076" width="110.75390625" style="283" customWidth="1"/>
    <col min="3077" max="3077" width="6.375" style="283" customWidth="1"/>
    <col min="3078" max="3078" width="12.875" style="283" customWidth="1"/>
    <col min="3079" max="3079" width="12.00390625" style="283" customWidth="1"/>
    <col min="3080" max="3082" width="14.25390625" style="283" customWidth="1"/>
    <col min="3083" max="3085" width="11.75390625" style="283" customWidth="1"/>
    <col min="3086" max="3119" width="11.625" style="283" hidden="1" customWidth="1"/>
    <col min="3120" max="3328" width="11.625" style="283" customWidth="1"/>
    <col min="3329" max="3329" width="3.75390625" style="283" customWidth="1"/>
    <col min="3330" max="3330" width="6.875" style="283" customWidth="1"/>
    <col min="3331" max="3331" width="13.25390625" style="283" customWidth="1"/>
    <col min="3332" max="3332" width="110.75390625" style="283" customWidth="1"/>
    <col min="3333" max="3333" width="6.375" style="283" customWidth="1"/>
    <col min="3334" max="3334" width="12.875" style="283" customWidth="1"/>
    <col min="3335" max="3335" width="12.00390625" style="283" customWidth="1"/>
    <col min="3336" max="3338" width="14.25390625" style="283" customWidth="1"/>
    <col min="3339" max="3341" width="11.75390625" style="283" customWidth="1"/>
    <col min="3342" max="3375" width="11.625" style="283" hidden="1" customWidth="1"/>
    <col min="3376" max="3584" width="11.625" style="283" customWidth="1"/>
    <col min="3585" max="3585" width="3.75390625" style="283" customWidth="1"/>
    <col min="3586" max="3586" width="6.875" style="283" customWidth="1"/>
    <col min="3587" max="3587" width="13.25390625" style="283" customWidth="1"/>
    <col min="3588" max="3588" width="110.75390625" style="283" customWidth="1"/>
    <col min="3589" max="3589" width="6.375" style="283" customWidth="1"/>
    <col min="3590" max="3590" width="12.875" style="283" customWidth="1"/>
    <col min="3591" max="3591" width="12.00390625" style="283" customWidth="1"/>
    <col min="3592" max="3594" width="14.25390625" style="283" customWidth="1"/>
    <col min="3595" max="3597" width="11.75390625" style="283" customWidth="1"/>
    <col min="3598" max="3631" width="11.625" style="283" hidden="1" customWidth="1"/>
    <col min="3632" max="3840" width="11.625" style="283" customWidth="1"/>
    <col min="3841" max="3841" width="3.75390625" style="283" customWidth="1"/>
    <col min="3842" max="3842" width="6.875" style="283" customWidth="1"/>
    <col min="3843" max="3843" width="13.25390625" style="283" customWidth="1"/>
    <col min="3844" max="3844" width="110.75390625" style="283" customWidth="1"/>
    <col min="3845" max="3845" width="6.375" style="283" customWidth="1"/>
    <col min="3846" max="3846" width="12.875" style="283" customWidth="1"/>
    <col min="3847" max="3847" width="12.00390625" style="283" customWidth="1"/>
    <col min="3848" max="3850" width="14.25390625" style="283" customWidth="1"/>
    <col min="3851" max="3853" width="11.75390625" style="283" customWidth="1"/>
    <col min="3854" max="3887" width="11.625" style="283" hidden="1" customWidth="1"/>
    <col min="3888" max="4096" width="11.625" style="283" customWidth="1"/>
    <col min="4097" max="4097" width="3.75390625" style="283" customWidth="1"/>
    <col min="4098" max="4098" width="6.875" style="283" customWidth="1"/>
    <col min="4099" max="4099" width="13.25390625" style="283" customWidth="1"/>
    <col min="4100" max="4100" width="110.75390625" style="283" customWidth="1"/>
    <col min="4101" max="4101" width="6.375" style="283" customWidth="1"/>
    <col min="4102" max="4102" width="12.875" style="283" customWidth="1"/>
    <col min="4103" max="4103" width="12.00390625" style="283" customWidth="1"/>
    <col min="4104" max="4106" width="14.25390625" style="283" customWidth="1"/>
    <col min="4107" max="4109" width="11.75390625" style="283" customWidth="1"/>
    <col min="4110" max="4143" width="11.625" style="283" hidden="1" customWidth="1"/>
    <col min="4144" max="4352" width="11.625" style="283" customWidth="1"/>
    <col min="4353" max="4353" width="3.75390625" style="283" customWidth="1"/>
    <col min="4354" max="4354" width="6.875" style="283" customWidth="1"/>
    <col min="4355" max="4355" width="13.25390625" style="283" customWidth="1"/>
    <col min="4356" max="4356" width="110.75390625" style="283" customWidth="1"/>
    <col min="4357" max="4357" width="6.375" style="283" customWidth="1"/>
    <col min="4358" max="4358" width="12.875" style="283" customWidth="1"/>
    <col min="4359" max="4359" width="12.00390625" style="283" customWidth="1"/>
    <col min="4360" max="4362" width="14.25390625" style="283" customWidth="1"/>
    <col min="4363" max="4365" width="11.75390625" style="283" customWidth="1"/>
    <col min="4366" max="4399" width="11.625" style="283" hidden="1" customWidth="1"/>
    <col min="4400" max="4608" width="11.625" style="283" customWidth="1"/>
    <col min="4609" max="4609" width="3.75390625" style="283" customWidth="1"/>
    <col min="4610" max="4610" width="6.875" style="283" customWidth="1"/>
    <col min="4611" max="4611" width="13.25390625" style="283" customWidth="1"/>
    <col min="4612" max="4612" width="110.75390625" style="283" customWidth="1"/>
    <col min="4613" max="4613" width="6.375" style="283" customWidth="1"/>
    <col min="4614" max="4614" width="12.875" style="283" customWidth="1"/>
    <col min="4615" max="4615" width="12.00390625" style="283" customWidth="1"/>
    <col min="4616" max="4618" width="14.25390625" style="283" customWidth="1"/>
    <col min="4619" max="4621" width="11.75390625" style="283" customWidth="1"/>
    <col min="4622" max="4655" width="11.625" style="283" hidden="1" customWidth="1"/>
    <col min="4656" max="4864" width="11.625" style="283" customWidth="1"/>
    <col min="4865" max="4865" width="3.75390625" style="283" customWidth="1"/>
    <col min="4866" max="4866" width="6.875" style="283" customWidth="1"/>
    <col min="4867" max="4867" width="13.25390625" style="283" customWidth="1"/>
    <col min="4868" max="4868" width="110.75390625" style="283" customWidth="1"/>
    <col min="4869" max="4869" width="6.375" style="283" customWidth="1"/>
    <col min="4870" max="4870" width="12.875" style="283" customWidth="1"/>
    <col min="4871" max="4871" width="12.00390625" style="283" customWidth="1"/>
    <col min="4872" max="4874" width="14.25390625" style="283" customWidth="1"/>
    <col min="4875" max="4877" width="11.75390625" style="283" customWidth="1"/>
    <col min="4878" max="4911" width="11.625" style="283" hidden="1" customWidth="1"/>
    <col min="4912" max="5120" width="11.625" style="283" customWidth="1"/>
    <col min="5121" max="5121" width="3.75390625" style="283" customWidth="1"/>
    <col min="5122" max="5122" width="6.875" style="283" customWidth="1"/>
    <col min="5123" max="5123" width="13.25390625" style="283" customWidth="1"/>
    <col min="5124" max="5124" width="110.75390625" style="283" customWidth="1"/>
    <col min="5125" max="5125" width="6.375" style="283" customWidth="1"/>
    <col min="5126" max="5126" width="12.875" style="283" customWidth="1"/>
    <col min="5127" max="5127" width="12.00390625" style="283" customWidth="1"/>
    <col min="5128" max="5130" width="14.25390625" style="283" customWidth="1"/>
    <col min="5131" max="5133" width="11.75390625" style="283" customWidth="1"/>
    <col min="5134" max="5167" width="11.625" style="283" hidden="1" customWidth="1"/>
    <col min="5168" max="5376" width="11.625" style="283" customWidth="1"/>
    <col min="5377" max="5377" width="3.75390625" style="283" customWidth="1"/>
    <col min="5378" max="5378" width="6.875" style="283" customWidth="1"/>
    <col min="5379" max="5379" width="13.25390625" style="283" customWidth="1"/>
    <col min="5380" max="5380" width="110.75390625" style="283" customWidth="1"/>
    <col min="5381" max="5381" width="6.375" style="283" customWidth="1"/>
    <col min="5382" max="5382" width="12.875" style="283" customWidth="1"/>
    <col min="5383" max="5383" width="12.00390625" style="283" customWidth="1"/>
    <col min="5384" max="5386" width="14.25390625" style="283" customWidth="1"/>
    <col min="5387" max="5389" width="11.75390625" style="283" customWidth="1"/>
    <col min="5390" max="5423" width="11.625" style="283" hidden="1" customWidth="1"/>
    <col min="5424" max="5632" width="11.625" style="283" customWidth="1"/>
    <col min="5633" max="5633" width="3.75390625" style="283" customWidth="1"/>
    <col min="5634" max="5634" width="6.875" style="283" customWidth="1"/>
    <col min="5635" max="5635" width="13.25390625" style="283" customWidth="1"/>
    <col min="5636" max="5636" width="110.75390625" style="283" customWidth="1"/>
    <col min="5637" max="5637" width="6.375" style="283" customWidth="1"/>
    <col min="5638" max="5638" width="12.875" style="283" customWidth="1"/>
    <col min="5639" max="5639" width="12.00390625" style="283" customWidth="1"/>
    <col min="5640" max="5642" width="14.25390625" style="283" customWidth="1"/>
    <col min="5643" max="5645" width="11.75390625" style="283" customWidth="1"/>
    <col min="5646" max="5679" width="11.625" style="283" hidden="1" customWidth="1"/>
    <col min="5680" max="5888" width="11.625" style="283" customWidth="1"/>
    <col min="5889" max="5889" width="3.75390625" style="283" customWidth="1"/>
    <col min="5890" max="5890" width="6.875" style="283" customWidth="1"/>
    <col min="5891" max="5891" width="13.25390625" style="283" customWidth="1"/>
    <col min="5892" max="5892" width="110.75390625" style="283" customWidth="1"/>
    <col min="5893" max="5893" width="6.375" style="283" customWidth="1"/>
    <col min="5894" max="5894" width="12.875" style="283" customWidth="1"/>
    <col min="5895" max="5895" width="12.00390625" style="283" customWidth="1"/>
    <col min="5896" max="5898" width="14.25390625" style="283" customWidth="1"/>
    <col min="5899" max="5901" width="11.75390625" style="283" customWidth="1"/>
    <col min="5902" max="5935" width="11.625" style="283" hidden="1" customWidth="1"/>
    <col min="5936" max="6144" width="11.625" style="283" customWidth="1"/>
    <col min="6145" max="6145" width="3.75390625" style="283" customWidth="1"/>
    <col min="6146" max="6146" width="6.875" style="283" customWidth="1"/>
    <col min="6147" max="6147" width="13.25390625" style="283" customWidth="1"/>
    <col min="6148" max="6148" width="110.75390625" style="283" customWidth="1"/>
    <col min="6149" max="6149" width="6.375" style="283" customWidth="1"/>
    <col min="6150" max="6150" width="12.875" style="283" customWidth="1"/>
    <col min="6151" max="6151" width="12.00390625" style="283" customWidth="1"/>
    <col min="6152" max="6154" width="14.25390625" style="283" customWidth="1"/>
    <col min="6155" max="6157" width="11.75390625" style="283" customWidth="1"/>
    <col min="6158" max="6191" width="11.625" style="283" hidden="1" customWidth="1"/>
    <col min="6192" max="6400" width="11.625" style="283" customWidth="1"/>
    <col min="6401" max="6401" width="3.75390625" style="283" customWidth="1"/>
    <col min="6402" max="6402" width="6.875" style="283" customWidth="1"/>
    <col min="6403" max="6403" width="13.25390625" style="283" customWidth="1"/>
    <col min="6404" max="6404" width="110.75390625" style="283" customWidth="1"/>
    <col min="6405" max="6405" width="6.375" style="283" customWidth="1"/>
    <col min="6406" max="6406" width="12.875" style="283" customWidth="1"/>
    <col min="6407" max="6407" width="12.00390625" style="283" customWidth="1"/>
    <col min="6408" max="6410" width="14.25390625" style="283" customWidth="1"/>
    <col min="6411" max="6413" width="11.75390625" style="283" customWidth="1"/>
    <col min="6414" max="6447" width="11.625" style="283" hidden="1" customWidth="1"/>
    <col min="6448" max="6656" width="11.625" style="283" customWidth="1"/>
    <col min="6657" max="6657" width="3.75390625" style="283" customWidth="1"/>
    <col min="6658" max="6658" width="6.875" style="283" customWidth="1"/>
    <col min="6659" max="6659" width="13.25390625" style="283" customWidth="1"/>
    <col min="6660" max="6660" width="110.75390625" style="283" customWidth="1"/>
    <col min="6661" max="6661" width="6.375" style="283" customWidth="1"/>
    <col min="6662" max="6662" width="12.875" style="283" customWidth="1"/>
    <col min="6663" max="6663" width="12.00390625" style="283" customWidth="1"/>
    <col min="6664" max="6666" width="14.25390625" style="283" customWidth="1"/>
    <col min="6667" max="6669" width="11.75390625" style="283" customWidth="1"/>
    <col min="6670" max="6703" width="11.625" style="283" hidden="1" customWidth="1"/>
    <col min="6704" max="6912" width="11.625" style="283" customWidth="1"/>
    <col min="6913" max="6913" width="3.75390625" style="283" customWidth="1"/>
    <col min="6914" max="6914" width="6.875" style="283" customWidth="1"/>
    <col min="6915" max="6915" width="13.25390625" style="283" customWidth="1"/>
    <col min="6916" max="6916" width="110.75390625" style="283" customWidth="1"/>
    <col min="6917" max="6917" width="6.375" style="283" customWidth="1"/>
    <col min="6918" max="6918" width="12.875" style="283" customWidth="1"/>
    <col min="6919" max="6919" width="12.00390625" style="283" customWidth="1"/>
    <col min="6920" max="6922" width="14.25390625" style="283" customWidth="1"/>
    <col min="6923" max="6925" width="11.75390625" style="283" customWidth="1"/>
    <col min="6926" max="6959" width="11.625" style="283" hidden="1" customWidth="1"/>
    <col min="6960" max="7168" width="11.625" style="283" customWidth="1"/>
    <col min="7169" max="7169" width="3.75390625" style="283" customWidth="1"/>
    <col min="7170" max="7170" width="6.875" style="283" customWidth="1"/>
    <col min="7171" max="7171" width="13.25390625" style="283" customWidth="1"/>
    <col min="7172" max="7172" width="110.75390625" style="283" customWidth="1"/>
    <col min="7173" max="7173" width="6.375" style="283" customWidth="1"/>
    <col min="7174" max="7174" width="12.875" style="283" customWidth="1"/>
    <col min="7175" max="7175" width="12.00390625" style="283" customWidth="1"/>
    <col min="7176" max="7178" width="14.25390625" style="283" customWidth="1"/>
    <col min="7179" max="7181" width="11.75390625" style="283" customWidth="1"/>
    <col min="7182" max="7215" width="11.625" style="283" hidden="1" customWidth="1"/>
    <col min="7216" max="7424" width="11.625" style="283" customWidth="1"/>
    <col min="7425" max="7425" width="3.75390625" style="283" customWidth="1"/>
    <col min="7426" max="7426" width="6.875" style="283" customWidth="1"/>
    <col min="7427" max="7427" width="13.25390625" style="283" customWidth="1"/>
    <col min="7428" max="7428" width="110.75390625" style="283" customWidth="1"/>
    <col min="7429" max="7429" width="6.375" style="283" customWidth="1"/>
    <col min="7430" max="7430" width="12.875" style="283" customWidth="1"/>
    <col min="7431" max="7431" width="12.00390625" style="283" customWidth="1"/>
    <col min="7432" max="7434" width="14.25390625" style="283" customWidth="1"/>
    <col min="7435" max="7437" width="11.75390625" style="283" customWidth="1"/>
    <col min="7438" max="7471" width="11.625" style="283" hidden="1" customWidth="1"/>
    <col min="7472" max="7680" width="11.625" style="283" customWidth="1"/>
    <col min="7681" max="7681" width="3.75390625" style="283" customWidth="1"/>
    <col min="7682" max="7682" width="6.875" style="283" customWidth="1"/>
    <col min="7683" max="7683" width="13.25390625" style="283" customWidth="1"/>
    <col min="7684" max="7684" width="110.75390625" style="283" customWidth="1"/>
    <col min="7685" max="7685" width="6.375" style="283" customWidth="1"/>
    <col min="7686" max="7686" width="12.875" style="283" customWidth="1"/>
    <col min="7687" max="7687" width="12.00390625" style="283" customWidth="1"/>
    <col min="7688" max="7690" width="14.25390625" style="283" customWidth="1"/>
    <col min="7691" max="7693" width="11.75390625" style="283" customWidth="1"/>
    <col min="7694" max="7727" width="11.625" style="283" hidden="1" customWidth="1"/>
    <col min="7728" max="7936" width="11.625" style="283" customWidth="1"/>
    <col min="7937" max="7937" width="3.75390625" style="283" customWidth="1"/>
    <col min="7938" max="7938" width="6.875" style="283" customWidth="1"/>
    <col min="7939" max="7939" width="13.25390625" style="283" customWidth="1"/>
    <col min="7940" max="7940" width="110.75390625" style="283" customWidth="1"/>
    <col min="7941" max="7941" width="6.375" style="283" customWidth="1"/>
    <col min="7942" max="7942" width="12.875" style="283" customWidth="1"/>
    <col min="7943" max="7943" width="12.00390625" style="283" customWidth="1"/>
    <col min="7944" max="7946" width="14.25390625" style="283" customWidth="1"/>
    <col min="7947" max="7949" width="11.75390625" style="283" customWidth="1"/>
    <col min="7950" max="7983" width="11.625" style="283" hidden="1" customWidth="1"/>
    <col min="7984" max="8192" width="11.625" style="283" customWidth="1"/>
    <col min="8193" max="8193" width="3.75390625" style="283" customWidth="1"/>
    <col min="8194" max="8194" width="6.875" style="283" customWidth="1"/>
    <col min="8195" max="8195" width="13.25390625" style="283" customWidth="1"/>
    <col min="8196" max="8196" width="110.75390625" style="283" customWidth="1"/>
    <col min="8197" max="8197" width="6.375" style="283" customWidth="1"/>
    <col min="8198" max="8198" width="12.875" style="283" customWidth="1"/>
    <col min="8199" max="8199" width="12.00390625" style="283" customWidth="1"/>
    <col min="8200" max="8202" width="14.25390625" style="283" customWidth="1"/>
    <col min="8203" max="8205" width="11.75390625" style="283" customWidth="1"/>
    <col min="8206" max="8239" width="11.625" style="283" hidden="1" customWidth="1"/>
    <col min="8240" max="8448" width="11.625" style="283" customWidth="1"/>
    <col min="8449" max="8449" width="3.75390625" style="283" customWidth="1"/>
    <col min="8450" max="8450" width="6.875" style="283" customWidth="1"/>
    <col min="8451" max="8451" width="13.25390625" style="283" customWidth="1"/>
    <col min="8452" max="8452" width="110.75390625" style="283" customWidth="1"/>
    <col min="8453" max="8453" width="6.375" style="283" customWidth="1"/>
    <col min="8454" max="8454" width="12.875" style="283" customWidth="1"/>
    <col min="8455" max="8455" width="12.00390625" style="283" customWidth="1"/>
    <col min="8456" max="8458" width="14.25390625" style="283" customWidth="1"/>
    <col min="8459" max="8461" width="11.75390625" style="283" customWidth="1"/>
    <col min="8462" max="8495" width="11.625" style="283" hidden="1" customWidth="1"/>
    <col min="8496" max="8704" width="11.625" style="283" customWidth="1"/>
    <col min="8705" max="8705" width="3.75390625" style="283" customWidth="1"/>
    <col min="8706" max="8706" width="6.875" style="283" customWidth="1"/>
    <col min="8707" max="8707" width="13.25390625" style="283" customWidth="1"/>
    <col min="8708" max="8708" width="110.75390625" style="283" customWidth="1"/>
    <col min="8709" max="8709" width="6.375" style="283" customWidth="1"/>
    <col min="8710" max="8710" width="12.875" style="283" customWidth="1"/>
    <col min="8711" max="8711" width="12.00390625" style="283" customWidth="1"/>
    <col min="8712" max="8714" width="14.25390625" style="283" customWidth="1"/>
    <col min="8715" max="8717" width="11.75390625" style="283" customWidth="1"/>
    <col min="8718" max="8751" width="11.625" style="283" hidden="1" customWidth="1"/>
    <col min="8752" max="8960" width="11.625" style="283" customWidth="1"/>
    <col min="8961" max="8961" width="3.75390625" style="283" customWidth="1"/>
    <col min="8962" max="8962" width="6.875" style="283" customWidth="1"/>
    <col min="8963" max="8963" width="13.25390625" style="283" customWidth="1"/>
    <col min="8964" max="8964" width="110.75390625" style="283" customWidth="1"/>
    <col min="8965" max="8965" width="6.375" style="283" customWidth="1"/>
    <col min="8966" max="8966" width="12.875" style="283" customWidth="1"/>
    <col min="8967" max="8967" width="12.00390625" style="283" customWidth="1"/>
    <col min="8968" max="8970" width="14.25390625" style="283" customWidth="1"/>
    <col min="8971" max="8973" width="11.75390625" style="283" customWidth="1"/>
    <col min="8974" max="9007" width="11.625" style="283" hidden="1" customWidth="1"/>
    <col min="9008" max="9216" width="11.625" style="283" customWidth="1"/>
    <col min="9217" max="9217" width="3.75390625" style="283" customWidth="1"/>
    <col min="9218" max="9218" width="6.875" style="283" customWidth="1"/>
    <col min="9219" max="9219" width="13.25390625" style="283" customWidth="1"/>
    <col min="9220" max="9220" width="110.75390625" style="283" customWidth="1"/>
    <col min="9221" max="9221" width="6.375" style="283" customWidth="1"/>
    <col min="9222" max="9222" width="12.875" style="283" customWidth="1"/>
    <col min="9223" max="9223" width="12.00390625" style="283" customWidth="1"/>
    <col min="9224" max="9226" width="14.25390625" style="283" customWidth="1"/>
    <col min="9227" max="9229" width="11.75390625" style="283" customWidth="1"/>
    <col min="9230" max="9263" width="11.625" style="283" hidden="1" customWidth="1"/>
    <col min="9264" max="9472" width="11.625" style="283" customWidth="1"/>
    <col min="9473" max="9473" width="3.75390625" style="283" customWidth="1"/>
    <col min="9474" max="9474" width="6.875" style="283" customWidth="1"/>
    <col min="9475" max="9475" width="13.25390625" style="283" customWidth="1"/>
    <col min="9476" max="9476" width="110.75390625" style="283" customWidth="1"/>
    <col min="9477" max="9477" width="6.375" style="283" customWidth="1"/>
    <col min="9478" max="9478" width="12.875" style="283" customWidth="1"/>
    <col min="9479" max="9479" width="12.00390625" style="283" customWidth="1"/>
    <col min="9480" max="9482" width="14.25390625" style="283" customWidth="1"/>
    <col min="9483" max="9485" width="11.75390625" style="283" customWidth="1"/>
    <col min="9486" max="9519" width="11.625" style="283" hidden="1" customWidth="1"/>
    <col min="9520" max="9728" width="11.625" style="283" customWidth="1"/>
    <col min="9729" max="9729" width="3.75390625" style="283" customWidth="1"/>
    <col min="9730" max="9730" width="6.875" style="283" customWidth="1"/>
    <col min="9731" max="9731" width="13.25390625" style="283" customWidth="1"/>
    <col min="9732" max="9732" width="110.75390625" style="283" customWidth="1"/>
    <col min="9733" max="9733" width="6.375" style="283" customWidth="1"/>
    <col min="9734" max="9734" width="12.875" style="283" customWidth="1"/>
    <col min="9735" max="9735" width="12.00390625" style="283" customWidth="1"/>
    <col min="9736" max="9738" width="14.25390625" style="283" customWidth="1"/>
    <col min="9739" max="9741" width="11.75390625" style="283" customWidth="1"/>
    <col min="9742" max="9775" width="11.625" style="283" hidden="1" customWidth="1"/>
    <col min="9776" max="9984" width="11.625" style="283" customWidth="1"/>
    <col min="9985" max="9985" width="3.75390625" style="283" customWidth="1"/>
    <col min="9986" max="9986" width="6.875" style="283" customWidth="1"/>
    <col min="9987" max="9987" width="13.25390625" style="283" customWidth="1"/>
    <col min="9988" max="9988" width="110.75390625" style="283" customWidth="1"/>
    <col min="9989" max="9989" width="6.375" style="283" customWidth="1"/>
    <col min="9990" max="9990" width="12.875" style="283" customWidth="1"/>
    <col min="9991" max="9991" width="12.00390625" style="283" customWidth="1"/>
    <col min="9992" max="9994" width="14.25390625" style="283" customWidth="1"/>
    <col min="9995" max="9997" width="11.75390625" style="283" customWidth="1"/>
    <col min="9998" max="10031" width="11.625" style="283" hidden="1" customWidth="1"/>
    <col min="10032" max="10240" width="11.625" style="283" customWidth="1"/>
    <col min="10241" max="10241" width="3.75390625" style="283" customWidth="1"/>
    <col min="10242" max="10242" width="6.875" style="283" customWidth="1"/>
    <col min="10243" max="10243" width="13.25390625" style="283" customWidth="1"/>
    <col min="10244" max="10244" width="110.75390625" style="283" customWidth="1"/>
    <col min="10245" max="10245" width="6.375" style="283" customWidth="1"/>
    <col min="10246" max="10246" width="12.875" style="283" customWidth="1"/>
    <col min="10247" max="10247" width="12.00390625" style="283" customWidth="1"/>
    <col min="10248" max="10250" width="14.25390625" style="283" customWidth="1"/>
    <col min="10251" max="10253" width="11.75390625" style="283" customWidth="1"/>
    <col min="10254" max="10287" width="11.625" style="283" hidden="1" customWidth="1"/>
    <col min="10288" max="10496" width="11.625" style="283" customWidth="1"/>
    <col min="10497" max="10497" width="3.75390625" style="283" customWidth="1"/>
    <col min="10498" max="10498" width="6.875" style="283" customWidth="1"/>
    <col min="10499" max="10499" width="13.25390625" style="283" customWidth="1"/>
    <col min="10500" max="10500" width="110.75390625" style="283" customWidth="1"/>
    <col min="10501" max="10501" width="6.375" style="283" customWidth="1"/>
    <col min="10502" max="10502" width="12.875" style="283" customWidth="1"/>
    <col min="10503" max="10503" width="12.00390625" style="283" customWidth="1"/>
    <col min="10504" max="10506" width="14.25390625" style="283" customWidth="1"/>
    <col min="10507" max="10509" width="11.75390625" style="283" customWidth="1"/>
    <col min="10510" max="10543" width="11.625" style="283" hidden="1" customWidth="1"/>
    <col min="10544" max="10752" width="11.625" style="283" customWidth="1"/>
    <col min="10753" max="10753" width="3.75390625" style="283" customWidth="1"/>
    <col min="10754" max="10754" width="6.875" style="283" customWidth="1"/>
    <col min="10755" max="10755" width="13.25390625" style="283" customWidth="1"/>
    <col min="10756" max="10756" width="110.75390625" style="283" customWidth="1"/>
    <col min="10757" max="10757" width="6.375" style="283" customWidth="1"/>
    <col min="10758" max="10758" width="12.875" style="283" customWidth="1"/>
    <col min="10759" max="10759" width="12.00390625" style="283" customWidth="1"/>
    <col min="10760" max="10762" width="14.25390625" style="283" customWidth="1"/>
    <col min="10763" max="10765" width="11.75390625" style="283" customWidth="1"/>
    <col min="10766" max="10799" width="11.625" style="283" hidden="1" customWidth="1"/>
    <col min="10800" max="11008" width="11.625" style="283" customWidth="1"/>
    <col min="11009" max="11009" width="3.75390625" style="283" customWidth="1"/>
    <col min="11010" max="11010" width="6.875" style="283" customWidth="1"/>
    <col min="11011" max="11011" width="13.25390625" style="283" customWidth="1"/>
    <col min="11012" max="11012" width="110.75390625" style="283" customWidth="1"/>
    <col min="11013" max="11013" width="6.375" style="283" customWidth="1"/>
    <col min="11014" max="11014" width="12.875" style="283" customWidth="1"/>
    <col min="11015" max="11015" width="12.00390625" style="283" customWidth="1"/>
    <col min="11016" max="11018" width="14.25390625" style="283" customWidth="1"/>
    <col min="11019" max="11021" width="11.75390625" style="283" customWidth="1"/>
    <col min="11022" max="11055" width="11.625" style="283" hidden="1" customWidth="1"/>
    <col min="11056" max="11264" width="11.625" style="283" customWidth="1"/>
    <col min="11265" max="11265" width="3.75390625" style="283" customWidth="1"/>
    <col min="11266" max="11266" width="6.875" style="283" customWidth="1"/>
    <col min="11267" max="11267" width="13.25390625" style="283" customWidth="1"/>
    <col min="11268" max="11268" width="110.75390625" style="283" customWidth="1"/>
    <col min="11269" max="11269" width="6.375" style="283" customWidth="1"/>
    <col min="11270" max="11270" width="12.875" style="283" customWidth="1"/>
    <col min="11271" max="11271" width="12.00390625" style="283" customWidth="1"/>
    <col min="11272" max="11274" width="14.25390625" style="283" customWidth="1"/>
    <col min="11275" max="11277" width="11.75390625" style="283" customWidth="1"/>
    <col min="11278" max="11311" width="11.625" style="283" hidden="1" customWidth="1"/>
    <col min="11312" max="11520" width="11.625" style="283" customWidth="1"/>
    <col min="11521" max="11521" width="3.75390625" style="283" customWidth="1"/>
    <col min="11522" max="11522" width="6.875" style="283" customWidth="1"/>
    <col min="11523" max="11523" width="13.25390625" style="283" customWidth="1"/>
    <col min="11524" max="11524" width="110.75390625" style="283" customWidth="1"/>
    <col min="11525" max="11525" width="6.375" style="283" customWidth="1"/>
    <col min="11526" max="11526" width="12.875" style="283" customWidth="1"/>
    <col min="11527" max="11527" width="12.00390625" style="283" customWidth="1"/>
    <col min="11528" max="11530" width="14.25390625" style="283" customWidth="1"/>
    <col min="11531" max="11533" width="11.75390625" style="283" customWidth="1"/>
    <col min="11534" max="11567" width="11.625" style="283" hidden="1" customWidth="1"/>
    <col min="11568" max="11776" width="11.625" style="283" customWidth="1"/>
    <col min="11777" max="11777" width="3.75390625" style="283" customWidth="1"/>
    <col min="11778" max="11778" width="6.875" style="283" customWidth="1"/>
    <col min="11779" max="11779" width="13.25390625" style="283" customWidth="1"/>
    <col min="11780" max="11780" width="110.75390625" style="283" customWidth="1"/>
    <col min="11781" max="11781" width="6.375" style="283" customWidth="1"/>
    <col min="11782" max="11782" width="12.875" style="283" customWidth="1"/>
    <col min="11783" max="11783" width="12.00390625" style="283" customWidth="1"/>
    <col min="11784" max="11786" width="14.25390625" style="283" customWidth="1"/>
    <col min="11787" max="11789" width="11.75390625" style="283" customWidth="1"/>
    <col min="11790" max="11823" width="11.625" style="283" hidden="1" customWidth="1"/>
    <col min="11824" max="12032" width="11.625" style="283" customWidth="1"/>
    <col min="12033" max="12033" width="3.75390625" style="283" customWidth="1"/>
    <col min="12034" max="12034" width="6.875" style="283" customWidth="1"/>
    <col min="12035" max="12035" width="13.25390625" style="283" customWidth="1"/>
    <col min="12036" max="12036" width="110.75390625" style="283" customWidth="1"/>
    <col min="12037" max="12037" width="6.375" style="283" customWidth="1"/>
    <col min="12038" max="12038" width="12.875" style="283" customWidth="1"/>
    <col min="12039" max="12039" width="12.00390625" style="283" customWidth="1"/>
    <col min="12040" max="12042" width="14.25390625" style="283" customWidth="1"/>
    <col min="12043" max="12045" width="11.75390625" style="283" customWidth="1"/>
    <col min="12046" max="12079" width="11.625" style="283" hidden="1" customWidth="1"/>
    <col min="12080" max="12288" width="11.625" style="283" customWidth="1"/>
    <col min="12289" max="12289" width="3.75390625" style="283" customWidth="1"/>
    <col min="12290" max="12290" width="6.875" style="283" customWidth="1"/>
    <col min="12291" max="12291" width="13.25390625" style="283" customWidth="1"/>
    <col min="12292" max="12292" width="110.75390625" style="283" customWidth="1"/>
    <col min="12293" max="12293" width="6.375" style="283" customWidth="1"/>
    <col min="12294" max="12294" width="12.875" style="283" customWidth="1"/>
    <col min="12295" max="12295" width="12.00390625" style="283" customWidth="1"/>
    <col min="12296" max="12298" width="14.25390625" style="283" customWidth="1"/>
    <col min="12299" max="12301" width="11.75390625" style="283" customWidth="1"/>
    <col min="12302" max="12335" width="11.625" style="283" hidden="1" customWidth="1"/>
    <col min="12336" max="12544" width="11.625" style="283" customWidth="1"/>
    <col min="12545" max="12545" width="3.75390625" style="283" customWidth="1"/>
    <col min="12546" max="12546" width="6.875" style="283" customWidth="1"/>
    <col min="12547" max="12547" width="13.25390625" style="283" customWidth="1"/>
    <col min="12548" max="12548" width="110.75390625" style="283" customWidth="1"/>
    <col min="12549" max="12549" width="6.375" style="283" customWidth="1"/>
    <col min="12550" max="12550" width="12.875" style="283" customWidth="1"/>
    <col min="12551" max="12551" width="12.00390625" style="283" customWidth="1"/>
    <col min="12552" max="12554" width="14.25390625" style="283" customWidth="1"/>
    <col min="12555" max="12557" width="11.75390625" style="283" customWidth="1"/>
    <col min="12558" max="12591" width="11.625" style="283" hidden="1" customWidth="1"/>
    <col min="12592" max="12800" width="11.625" style="283" customWidth="1"/>
    <col min="12801" max="12801" width="3.75390625" style="283" customWidth="1"/>
    <col min="12802" max="12802" width="6.875" style="283" customWidth="1"/>
    <col min="12803" max="12803" width="13.25390625" style="283" customWidth="1"/>
    <col min="12804" max="12804" width="110.75390625" style="283" customWidth="1"/>
    <col min="12805" max="12805" width="6.375" style="283" customWidth="1"/>
    <col min="12806" max="12806" width="12.875" style="283" customWidth="1"/>
    <col min="12807" max="12807" width="12.00390625" style="283" customWidth="1"/>
    <col min="12808" max="12810" width="14.25390625" style="283" customWidth="1"/>
    <col min="12811" max="12813" width="11.75390625" style="283" customWidth="1"/>
    <col min="12814" max="12847" width="11.625" style="283" hidden="1" customWidth="1"/>
    <col min="12848" max="13056" width="11.625" style="283" customWidth="1"/>
    <col min="13057" max="13057" width="3.75390625" style="283" customWidth="1"/>
    <col min="13058" max="13058" width="6.875" style="283" customWidth="1"/>
    <col min="13059" max="13059" width="13.25390625" style="283" customWidth="1"/>
    <col min="13060" max="13060" width="110.75390625" style="283" customWidth="1"/>
    <col min="13061" max="13061" width="6.375" style="283" customWidth="1"/>
    <col min="13062" max="13062" width="12.875" style="283" customWidth="1"/>
    <col min="13063" max="13063" width="12.00390625" style="283" customWidth="1"/>
    <col min="13064" max="13066" width="14.25390625" style="283" customWidth="1"/>
    <col min="13067" max="13069" width="11.75390625" style="283" customWidth="1"/>
    <col min="13070" max="13103" width="11.625" style="283" hidden="1" customWidth="1"/>
    <col min="13104" max="13312" width="11.625" style="283" customWidth="1"/>
    <col min="13313" max="13313" width="3.75390625" style="283" customWidth="1"/>
    <col min="13314" max="13314" width="6.875" style="283" customWidth="1"/>
    <col min="13315" max="13315" width="13.25390625" style="283" customWidth="1"/>
    <col min="13316" max="13316" width="110.75390625" style="283" customWidth="1"/>
    <col min="13317" max="13317" width="6.375" style="283" customWidth="1"/>
    <col min="13318" max="13318" width="12.875" style="283" customWidth="1"/>
    <col min="13319" max="13319" width="12.00390625" style="283" customWidth="1"/>
    <col min="13320" max="13322" width="14.25390625" style="283" customWidth="1"/>
    <col min="13323" max="13325" width="11.75390625" style="283" customWidth="1"/>
    <col min="13326" max="13359" width="11.625" style="283" hidden="1" customWidth="1"/>
    <col min="13360" max="13568" width="11.625" style="283" customWidth="1"/>
    <col min="13569" max="13569" width="3.75390625" style="283" customWidth="1"/>
    <col min="13570" max="13570" width="6.875" style="283" customWidth="1"/>
    <col min="13571" max="13571" width="13.25390625" style="283" customWidth="1"/>
    <col min="13572" max="13572" width="110.75390625" style="283" customWidth="1"/>
    <col min="13573" max="13573" width="6.375" style="283" customWidth="1"/>
    <col min="13574" max="13574" width="12.875" style="283" customWidth="1"/>
    <col min="13575" max="13575" width="12.00390625" style="283" customWidth="1"/>
    <col min="13576" max="13578" width="14.25390625" style="283" customWidth="1"/>
    <col min="13579" max="13581" width="11.75390625" style="283" customWidth="1"/>
    <col min="13582" max="13615" width="11.625" style="283" hidden="1" customWidth="1"/>
    <col min="13616" max="13824" width="11.625" style="283" customWidth="1"/>
    <col min="13825" max="13825" width="3.75390625" style="283" customWidth="1"/>
    <col min="13826" max="13826" width="6.875" style="283" customWidth="1"/>
    <col min="13827" max="13827" width="13.25390625" style="283" customWidth="1"/>
    <col min="13828" max="13828" width="110.75390625" style="283" customWidth="1"/>
    <col min="13829" max="13829" width="6.375" style="283" customWidth="1"/>
    <col min="13830" max="13830" width="12.875" style="283" customWidth="1"/>
    <col min="13831" max="13831" width="12.00390625" style="283" customWidth="1"/>
    <col min="13832" max="13834" width="14.25390625" style="283" customWidth="1"/>
    <col min="13835" max="13837" width="11.75390625" style="283" customWidth="1"/>
    <col min="13838" max="13871" width="11.625" style="283" hidden="1" customWidth="1"/>
    <col min="13872" max="14080" width="11.625" style="283" customWidth="1"/>
    <col min="14081" max="14081" width="3.75390625" style="283" customWidth="1"/>
    <col min="14082" max="14082" width="6.875" style="283" customWidth="1"/>
    <col min="14083" max="14083" width="13.25390625" style="283" customWidth="1"/>
    <col min="14084" max="14084" width="110.75390625" style="283" customWidth="1"/>
    <col min="14085" max="14085" width="6.375" style="283" customWidth="1"/>
    <col min="14086" max="14086" width="12.875" style="283" customWidth="1"/>
    <col min="14087" max="14087" width="12.00390625" style="283" customWidth="1"/>
    <col min="14088" max="14090" width="14.25390625" style="283" customWidth="1"/>
    <col min="14091" max="14093" width="11.75390625" style="283" customWidth="1"/>
    <col min="14094" max="14127" width="11.625" style="283" hidden="1" customWidth="1"/>
    <col min="14128" max="14336" width="11.625" style="283" customWidth="1"/>
    <col min="14337" max="14337" width="3.75390625" style="283" customWidth="1"/>
    <col min="14338" max="14338" width="6.875" style="283" customWidth="1"/>
    <col min="14339" max="14339" width="13.25390625" style="283" customWidth="1"/>
    <col min="14340" max="14340" width="110.75390625" style="283" customWidth="1"/>
    <col min="14341" max="14341" width="6.375" style="283" customWidth="1"/>
    <col min="14342" max="14342" width="12.875" style="283" customWidth="1"/>
    <col min="14343" max="14343" width="12.00390625" style="283" customWidth="1"/>
    <col min="14344" max="14346" width="14.25390625" style="283" customWidth="1"/>
    <col min="14347" max="14349" width="11.75390625" style="283" customWidth="1"/>
    <col min="14350" max="14383" width="11.625" style="283" hidden="1" customWidth="1"/>
    <col min="14384" max="14592" width="11.625" style="283" customWidth="1"/>
    <col min="14593" max="14593" width="3.75390625" style="283" customWidth="1"/>
    <col min="14594" max="14594" width="6.875" style="283" customWidth="1"/>
    <col min="14595" max="14595" width="13.25390625" style="283" customWidth="1"/>
    <col min="14596" max="14596" width="110.75390625" style="283" customWidth="1"/>
    <col min="14597" max="14597" width="6.375" style="283" customWidth="1"/>
    <col min="14598" max="14598" width="12.875" style="283" customWidth="1"/>
    <col min="14599" max="14599" width="12.00390625" style="283" customWidth="1"/>
    <col min="14600" max="14602" width="14.25390625" style="283" customWidth="1"/>
    <col min="14603" max="14605" width="11.75390625" style="283" customWidth="1"/>
    <col min="14606" max="14639" width="11.625" style="283" hidden="1" customWidth="1"/>
    <col min="14640" max="14848" width="11.625" style="283" customWidth="1"/>
    <col min="14849" max="14849" width="3.75390625" style="283" customWidth="1"/>
    <col min="14850" max="14850" width="6.875" style="283" customWidth="1"/>
    <col min="14851" max="14851" width="13.25390625" style="283" customWidth="1"/>
    <col min="14852" max="14852" width="110.75390625" style="283" customWidth="1"/>
    <col min="14853" max="14853" width="6.375" style="283" customWidth="1"/>
    <col min="14854" max="14854" width="12.875" style="283" customWidth="1"/>
    <col min="14855" max="14855" width="12.00390625" style="283" customWidth="1"/>
    <col min="14856" max="14858" width="14.25390625" style="283" customWidth="1"/>
    <col min="14859" max="14861" width="11.75390625" style="283" customWidth="1"/>
    <col min="14862" max="14895" width="11.625" style="283" hidden="1" customWidth="1"/>
    <col min="14896" max="15104" width="11.625" style="283" customWidth="1"/>
    <col min="15105" max="15105" width="3.75390625" style="283" customWidth="1"/>
    <col min="15106" max="15106" width="6.875" style="283" customWidth="1"/>
    <col min="15107" max="15107" width="13.25390625" style="283" customWidth="1"/>
    <col min="15108" max="15108" width="110.75390625" style="283" customWidth="1"/>
    <col min="15109" max="15109" width="6.375" style="283" customWidth="1"/>
    <col min="15110" max="15110" width="12.875" style="283" customWidth="1"/>
    <col min="15111" max="15111" width="12.00390625" style="283" customWidth="1"/>
    <col min="15112" max="15114" width="14.25390625" style="283" customWidth="1"/>
    <col min="15115" max="15117" width="11.75390625" style="283" customWidth="1"/>
    <col min="15118" max="15151" width="11.625" style="283" hidden="1" customWidth="1"/>
    <col min="15152" max="15360" width="11.625" style="283" customWidth="1"/>
    <col min="15361" max="15361" width="3.75390625" style="283" customWidth="1"/>
    <col min="15362" max="15362" width="6.875" style="283" customWidth="1"/>
    <col min="15363" max="15363" width="13.25390625" style="283" customWidth="1"/>
    <col min="15364" max="15364" width="110.75390625" style="283" customWidth="1"/>
    <col min="15365" max="15365" width="6.375" style="283" customWidth="1"/>
    <col min="15366" max="15366" width="12.875" style="283" customWidth="1"/>
    <col min="15367" max="15367" width="12.00390625" style="283" customWidth="1"/>
    <col min="15368" max="15370" width="14.25390625" style="283" customWidth="1"/>
    <col min="15371" max="15373" width="11.75390625" style="283" customWidth="1"/>
    <col min="15374" max="15407" width="11.625" style="283" hidden="1" customWidth="1"/>
    <col min="15408" max="15616" width="11.625" style="283" customWidth="1"/>
    <col min="15617" max="15617" width="3.75390625" style="283" customWidth="1"/>
    <col min="15618" max="15618" width="6.875" style="283" customWidth="1"/>
    <col min="15619" max="15619" width="13.25390625" style="283" customWidth="1"/>
    <col min="15620" max="15620" width="110.75390625" style="283" customWidth="1"/>
    <col min="15621" max="15621" width="6.375" style="283" customWidth="1"/>
    <col min="15622" max="15622" width="12.875" style="283" customWidth="1"/>
    <col min="15623" max="15623" width="12.00390625" style="283" customWidth="1"/>
    <col min="15624" max="15626" width="14.25390625" style="283" customWidth="1"/>
    <col min="15627" max="15629" width="11.75390625" style="283" customWidth="1"/>
    <col min="15630" max="15663" width="11.625" style="283" hidden="1" customWidth="1"/>
    <col min="15664" max="15872" width="11.625" style="283" customWidth="1"/>
    <col min="15873" max="15873" width="3.75390625" style="283" customWidth="1"/>
    <col min="15874" max="15874" width="6.875" style="283" customWidth="1"/>
    <col min="15875" max="15875" width="13.25390625" style="283" customWidth="1"/>
    <col min="15876" max="15876" width="110.75390625" style="283" customWidth="1"/>
    <col min="15877" max="15877" width="6.375" style="283" customWidth="1"/>
    <col min="15878" max="15878" width="12.875" style="283" customWidth="1"/>
    <col min="15879" max="15879" width="12.00390625" style="283" customWidth="1"/>
    <col min="15880" max="15882" width="14.25390625" style="283" customWidth="1"/>
    <col min="15883" max="15885" width="11.75390625" style="283" customWidth="1"/>
    <col min="15886" max="15919" width="11.625" style="283" hidden="1" customWidth="1"/>
    <col min="15920" max="16128" width="11.625" style="283" customWidth="1"/>
    <col min="16129" max="16129" width="3.75390625" style="283" customWidth="1"/>
    <col min="16130" max="16130" width="6.875" style="283" customWidth="1"/>
    <col min="16131" max="16131" width="13.25390625" style="283" customWidth="1"/>
    <col min="16132" max="16132" width="110.75390625" style="283" customWidth="1"/>
    <col min="16133" max="16133" width="6.375" style="283" customWidth="1"/>
    <col min="16134" max="16134" width="12.875" style="283" customWidth="1"/>
    <col min="16135" max="16135" width="12.00390625" style="283" customWidth="1"/>
    <col min="16136" max="16138" width="14.25390625" style="283" customWidth="1"/>
    <col min="16139" max="16141" width="11.75390625" style="283" customWidth="1"/>
    <col min="16142" max="16175" width="11.625" style="283" hidden="1" customWidth="1"/>
    <col min="16176" max="16384" width="11.625" style="283" customWidth="1"/>
  </cols>
  <sheetData>
    <row r="1" spans="1:13" ht="72.95" customHeight="1">
      <c r="A1" s="362" t="s">
        <v>798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4" ht="12.75">
      <c r="A2" s="364" t="s">
        <v>563</v>
      </c>
      <c r="B2" s="365"/>
      <c r="C2" s="365"/>
      <c r="D2" s="367" t="s">
        <v>797</v>
      </c>
      <c r="E2" s="369" t="s">
        <v>564</v>
      </c>
      <c r="F2" s="365"/>
      <c r="G2" s="369"/>
      <c r="H2" s="365"/>
      <c r="I2" s="370" t="s">
        <v>565</v>
      </c>
      <c r="J2" s="370" t="s">
        <v>566</v>
      </c>
      <c r="K2" s="365"/>
      <c r="L2" s="365"/>
      <c r="M2" s="371"/>
      <c r="N2" s="284"/>
    </row>
    <row r="3" spans="1:14" ht="12.75">
      <c r="A3" s="366"/>
      <c r="B3" s="360"/>
      <c r="C3" s="360"/>
      <c r="D3" s="368"/>
      <c r="E3" s="360"/>
      <c r="F3" s="360"/>
      <c r="G3" s="360"/>
      <c r="H3" s="360"/>
      <c r="I3" s="360"/>
      <c r="J3" s="360"/>
      <c r="K3" s="360"/>
      <c r="L3" s="360"/>
      <c r="M3" s="361"/>
      <c r="N3" s="284"/>
    </row>
    <row r="4" spans="1:14" ht="12.75">
      <c r="A4" s="372" t="s">
        <v>567</v>
      </c>
      <c r="B4" s="360"/>
      <c r="C4" s="360"/>
      <c r="D4" s="359" t="s">
        <v>527</v>
      </c>
      <c r="E4" s="373" t="s">
        <v>568</v>
      </c>
      <c r="F4" s="360"/>
      <c r="G4" s="374"/>
      <c r="H4" s="360"/>
      <c r="I4" s="359" t="s">
        <v>569</v>
      </c>
      <c r="J4" s="359"/>
      <c r="K4" s="360"/>
      <c r="L4" s="360"/>
      <c r="M4" s="361"/>
      <c r="N4" s="284"/>
    </row>
    <row r="5" spans="1:14" ht="12.75">
      <c r="A5" s="366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1"/>
      <c r="N5" s="284"/>
    </row>
    <row r="6" spans="1:14" ht="12.75">
      <c r="A6" s="372" t="s">
        <v>570</v>
      </c>
      <c r="B6" s="360"/>
      <c r="C6" s="360"/>
      <c r="D6" s="359" t="s">
        <v>571</v>
      </c>
      <c r="E6" s="373" t="s">
        <v>572</v>
      </c>
      <c r="F6" s="360"/>
      <c r="G6" s="360"/>
      <c r="H6" s="360"/>
      <c r="I6" s="359" t="s">
        <v>504</v>
      </c>
      <c r="J6" s="359"/>
      <c r="K6" s="360"/>
      <c r="L6" s="360"/>
      <c r="M6" s="361"/>
      <c r="N6" s="284"/>
    </row>
    <row r="7" spans="1:14" ht="12.75">
      <c r="A7" s="366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1"/>
      <c r="N7" s="284"/>
    </row>
    <row r="8" spans="1:14" ht="12.75">
      <c r="A8" s="372" t="s">
        <v>573</v>
      </c>
      <c r="B8" s="360"/>
      <c r="C8" s="360"/>
      <c r="D8" s="359"/>
      <c r="E8" s="373" t="s">
        <v>574</v>
      </c>
      <c r="F8" s="360"/>
      <c r="G8" s="374"/>
      <c r="H8" s="360"/>
      <c r="I8" s="359" t="s">
        <v>575</v>
      </c>
      <c r="J8" s="359"/>
      <c r="K8" s="360"/>
      <c r="L8" s="360"/>
      <c r="M8" s="361"/>
      <c r="N8" s="284"/>
    </row>
    <row r="9" spans="1:14" ht="13.5" thickBot="1">
      <c r="A9" s="377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82"/>
      <c r="N9" s="284"/>
    </row>
    <row r="10" spans="1:14" ht="12.75">
      <c r="A10" s="285" t="s">
        <v>576</v>
      </c>
      <c r="B10" s="286" t="s">
        <v>577</v>
      </c>
      <c r="C10" s="286" t="s">
        <v>578</v>
      </c>
      <c r="D10" s="286" t="s">
        <v>579</v>
      </c>
      <c r="E10" s="286" t="s">
        <v>580</v>
      </c>
      <c r="F10" s="287" t="s">
        <v>581</v>
      </c>
      <c r="G10" s="288" t="s">
        <v>582</v>
      </c>
      <c r="H10" s="379" t="s">
        <v>583</v>
      </c>
      <c r="I10" s="380"/>
      <c r="J10" s="381"/>
      <c r="K10" s="379" t="s">
        <v>584</v>
      </c>
      <c r="L10" s="381"/>
      <c r="M10" s="289" t="s">
        <v>585</v>
      </c>
      <c r="N10" s="290"/>
    </row>
    <row r="11" spans="1:24" ht="13.5" thickBot="1">
      <c r="A11" s="291" t="s">
        <v>586</v>
      </c>
      <c r="B11" s="292" t="s">
        <v>586</v>
      </c>
      <c r="C11" s="292" t="s">
        <v>586</v>
      </c>
      <c r="D11" s="293" t="s">
        <v>587</v>
      </c>
      <c r="E11" s="292" t="s">
        <v>586</v>
      </c>
      <c r="F11" s="292" t="s">
        <v>586</v>
      </c>
      <c r="G11" s="294" t="s">
        <v>588</v>
      </c>
      <c r="H11" s="295" t="s">
        <v>589</v>
      </c>
      <c r="I11" s="296" t="s">
        <v>590</v>
      </c>
      <c r="J11" s="297" t="s">
        <v>344</v>
      </c>
      <c r="K11" s="295" t="s">
        <v>582</v>
      </c>
      <c r="L11" s="297" t="s">
        <v>344</v>
      </c>
      <c r="M11" s="298" t="s">
        <v>591</v>
      </c>
      <c r="N11" s="290"/>
      <c r="P11" s="299" t="s">
        <v>592</v>
      </c>
      <c r="Q11" s="299" t="s">
        <v>593</v>
      </c>
      <c r="R11" s="299" t="s">
        <v>594</v>
      </c>
      <c r="S11" s="299" t="s">
        <v>595</v>
      </c>
      <c r="T11" s="299" t="s">
        <v>596</v>
      </c>
      <c r="U11" s="299" t="s">
        <v>597</v>
      </c>
      <c r="V11" s="299" t="s">
        <v>598</v>
      </c>
      <c r="W11" s="299" t="s">
        <v>599</v>
      </c>
      <c r="X11" s="299" t="s">
        <v>600</v>
      </c>
    </row>
    <row r="12" spans="1:37" ht="12.75">
      <c r="A12" s="300"/>
      <c r="B12" s="301"/>
      <c r="C12" s="301" t="s">
        <v>31</v>
      </c>
      <c r="D12" s="383" t="s">
        <v>601</v>
      </c>
      <c r="E12" s="384"/>
      <c r="F12" s="384"/>
      <c r="G12" s="384"/>
      <c r="H12" s="302">
        <f>SUM(H13:H14)</f>
        <v>0</v>
      </c>
      <c r="I12" s="302">
        <f>SUM(I13:I14)</f>
        <v>0</v>
      </c>
      <c r="J12" s="302">
        <f>H12+I12</f>
        <v>0</v>
      </c>
      <c r="K12" s="303"/>
      <c r="L12" s="302">
        <f>SUM(L13:L14)</f>
        <v>1.6123133999999997</v>
      </c>
      <c r="M12" s="303"/>
      <c r="P12" s="304">
        <f>IF(Q12="PR",J12,SUM(O13:O14))</f>
        <v>0</v>
      </c>
      <c r="Q12" s="299" t="s">
        <v>602</v>
      </c>
      <c r="R12" s="304">
        <f>IF(Q12="HS",H12,0)</f>
        <v>0</v>
      </c>
      <c r="S12" s="304">
        <f>IF(Q12="HS",I12-P12,0)</f>
        <v>0</v>
      </c>
      <c r="T12" s="304">
        <f>IF(Q12="PS",H12,0)</f>
        <v>0</v>
      </c>
      <c r="U12" s="304">
        <f>IF(Q12="PS",I12-P12,0)</f>
        <v>0</v>
      </c>
      <c r="V12" s="304">
        <f>IF(Q12="MP",H12,0)</f>
        <v>0</v>
      </c>
      <c r="W12" s="304">
        <f>IF(Q12="MP",I12-P12,0)</f>
        <v>0</v>
      </c>
      <c r="X12" s="304">
        <f>IF(Q12="OM",H12,0)</f>
        <v>0</v>
      </c>
      <c r="Y12" s="299"/>
      <c r="AI12" s="304">
        <f>SUM(Z13:Z14)</f>
        <v>0</v>
      </c>
      <c r="AJ12" s="304">
        <f>SUM(AA13:AA14)</f>
        <v>0</v>
      </c>
      <c r="AK12" s="304">
        <f>SUM(AB13:AB14)</f>
        <v>0</v>
      </c>
    </row>
    <row r="13" spans="1:43" ht="12.75">
      <c r="A13" s="305" t="s">
        <v>603</v>
      </c>
      <c r="B13" s="305"/>
      <c r="C13" s="305" t="s">
        <v>604</v>
      </c>
      <c r="D13" s="305" t="s">
        <v>605</v>
      </c>
      <c r="E13" s="305" t="s">
        <v>19</v>
      </c>
      <c r="F13" s="306">
        <v>69.02</v>
      </c>
      <c r="G13" s="306"/>
      <c r="H13" s="306">
        <f>ROUND(F13*AE13,2)</f>
        <v>0</v>
      </c>
      <c r="I13" s="306">
        <f>J13-H13</f>
        <v>0</v>
      </c>
      <c r="J13" s="306">
        <f>ROUND(F13*G13,2)</f>
        <v>0</v>
      </c>
      <c r="K13" s="306">
        <v>0.02192</v>
      </c>
      <c r="L13" s="306">
        <f>F13*K13</f>
        <v>1.5129183999999998</v>
      </c>
      <c r="M13" s="307" t="s">
        <v>606</v>
      </c>
      <c r="N13" s="307" t="s">
        <v>603</v>
      </c>
      <c r="O13" s="306">
        <f>IF(N13="5",I13,0)</f>
        <v>0</v>
      </c>
      <c r="Z13" s="306">
        <f>IF(AD13=0,J13,0)</f>
        <v>0</v>
      </c>
      <c r="AA13" s="306">
        <f>IF(AD13=15,J13,0)</f>
        <v>0</v>
      </c>
      <c r="AB13" s="306">
        <f>IF(AD13=21,J13,0)</f>
        <v>0</v>
      </c>
      <c r="AD13" s="308">
        <v>15</v>
      </c>
      <c r="AE13" s="308">
        <f>G13*0.247761194029851</f>
        <v>0</v>
      </c>
      <c r="AF13" s="308">
        <f>G13*(1-0.247761194029851)</f>
        <v>0</v>
      </c>
      <c r="AM13" s="308">
        <f>F13*AE13</f>
        <v>0</v>
      </c>
      <c r="AN13" s="308">
        <f>F13*AF13</f>
        <v>0</v>
      </c>
      <c r="AO13" s="309" t="s">
        <v>607</v>
      </c>
      <c r="AP13" s="309" t="s">
        <v>608</v>
      </c>
      <c r="AQ13" s="299" t="s">
        <v>609</v>
      </c>
    </row>
    <row r="14" spans="1:43" ht="12.75">
      <c r="A14" s="305" t="s">
        <v>369</v>
      </c>
      <c r="B14" s="305"/>
      <c r="C14" s="305" t="s">
        <v>610</v>
      </c>
      <c r="D14" s="305" t="s">
        <v>611</v>
      </c>
      <c r="E14" s="305" t="s">
        <v>19</v>
      </c>
      <c r="F14" s="306">
        <v>9.65</v>
      </c>
      <c r="G14" s="306"/>
      <c r="H14" s="306">
        <f>ROUND(F14*AE14,2)</f>
        <v>0</v>
      </c>
      <c r="I14" s="306">
        <f>J14-H14</f>
        <v>0</v>
      </c>
      <c r="J14" s="306">
        <f>ROUND(F14*G14,2)</f>
        <v>0</v>
      </c>
      <c r="K14" s="306">
        <v>0.0103</v>
      </c>
      <c r="L14" s="306">
        <f>F14*K14</f>
        <v>0.09939500000000001</v>
      </c>
      <c r="M14" s="307" t="s">
        <v>606</v>
      </c>
      <c r="N14" s="307" t="s">
        <v>603</v>
      </c>
      <c r="O14" s="306">
        <f>IF(N14="5",I14,0)</f>
        <v>0</v>
      </c>
      <c r="Z14" s="306">
        <f>IF(AD14=0,J14,0)</f>
        <v>0</v>
      </c>
      <c r="AA14" s="306">
        <f>IF(AD14=15,J14,0)</f>
        <v>0</v>
      </c>
      <c r="AB14" s="306">
        <f>IF(AD14=21,J14,0)</f>
        <v>0</v>
      </c>
      <c r="AD14" s="308">
        <v>15</v>
      </c>
      <c r="AE14" s="308">
        <f>G14*0.265772594752187</f>
        <v>0</v>
      </c>
      <c r="AF14" s="308">
        <f>G14*(1-0.265772594752187)</f>
        <v>0</v>
      </c>
      <c r="AM14" s="308">
        <f>F14*AE14</f>
        <v>0</v>
      </c>
      <c r="AN14" s="308">
        <f>F14*AF14</f>
        <v>0</v>
      </c>
      <c r="AO14" s="309" t="s">
        <v>607</v>
      </c>
      <c r="AP14" s="309" t="s">
        <v>608</v>
      </c>
      <c r="AQ14" s="299" t="s">
        <v>609</v>
      </c>
    </row>
    <row r="15" spans="1:37" ht="12.75">
      <c r="A15" s="310"/>
      <c r="B15" s="311"/>
      <c r="C15" s="311" t="s">
        <v>612</v>
      </c>
      <c r="D15" s="375"/>
      <c r="E15" s="376"/>
      <c r="F15" s="376"/>
      <c r="G15" s="376"/>
      <c r="H15" s="304">
        <f>SUM(H16:H16)</f>
        <v>0</v>
      </c>
      <c r="I15" s="304">
        <f>SUM(I16:I16)</f>
        <v>0</v>
      </c>
      <c r="J15" s="304">
        <f>H15+I15</f>
        <v>0</v>
      </c>
      <c r="K15" s="299"/>
      <c r="L15" s="304">
        <f>SUM(L16:L16)</f>
        <v>0.1733885</v>
      </c>
      <c r="M15" s="299"/>
      <c r="P15" s="304">
        <f>IF(Q15="PR",J15,SUM(O16:O16))</f>
        <v>0</v>
      </c>
      <c r="Q15" s="299" t="s">
        <v>602</v>
      </c>
      <c r="R15" s="304">
        <f>IF(Q15="HS",H15,0)</f>
        <v>0</v>
      </c>
      <c r="S15" s="304">
        <f>IF(Q15="HS",I15-P15,0)</f>
        <v>0</v>
      </c>
      <c r="T15" s="304">
        <f>IF(Q15="PS",H15,0)</f>
        <v>0</v>
      </c>
      <c r="U15" s="304">
        <f>IF(Q15="PS",I15-P15,0)</f>
        <v>0</v>
      </c>
      <c r="V15" s="304">
        <f>IF(Q15="MP",H15,0)</f>
        <v>0</v>
      </c>
      <c r="W15" s="304">
        <f>IF(Q15="MP",I15-P15,0)</f>
        <v>0</v>
      </c>
      <c r="X15" s="304">
        <f>IF(Q15="OM",H15,0)</f>
        <v>0</v>
      </c>
      <c r="Y15" s="299"/>
      <c r="AI15" s="304">
        <f>SUM(Z16:Z16)</f>
        <v>0</v>
      </c>
      <c r="AJ15" s="304">
        <f>SUM(AA16:AA16)</f>
        <v>0</v>
      </c>
      <c r="AK15" s="304">
        <f>SUM(AB16:AB16)</f>
        <v>0</v>
      </c>
    </row>
    <row r="16" spans="1:43" ht="12.75">
      <c r="A16" s="305" t="s">
        <v>16</v>
      </c>
      <c r="B16" s="305"/>
      <c r="C16" s="305" t="s">
        <v>613</v>
      </c>
      <c r="D16" s="305" t="s">
        <v>614</v>
      </c>
      <c r="E16" s="305" t="s">
        <v>19</v>
      </c>
      <c r="F16" s="306">
        <v>30.05</v>
      </c>
      <c r="G16" s="306"/>
      <c r="H16" s="306">
        <f>ROUND(F16*AE16,2)</f>
        <v>0</v>
      </c>
      <c r="I16" s="306">
        <f>J16-H16</f>
        <v>0</v>
      </c>
      <c r="J16" s="306">
        <f>ROUND(F16*G16,2)</f>
        <v>0</v>
      </c>
      <c r="K16" s="306">
        <v>0.00577</v>
      </c>
      <c r="L16" s="306">
        <f>F16*K16</f>
        <v>0.1733885</v>
      </c>
      <c r="M16" s="307" t="s">
        <v>606</v>
      </c>
      <c r="N16" s="307" t="s">
        <v>603</v>
      </c>
      <c r="O16" s="306">
        <f>IF(N16="5",I16,0)</f>
        <v>0</v>
      </c>
      <c r="Z16" s="306">
        <f>IF(AD16=0,J16,0)</f>
        <v>0</v>
      </c>
      <c r="AA16" s="306">
        <f>IF(AD16=15,J16,0)</f>
        <v>0</v>
      </c>
      <c r="AB16" s="306">
        <f>IF(AD16=21,J16,0)</f>
        <v>0</v>
      </c>
      <c r="AD16" s="308">
        <v>15</v>
      </c>
      <c r="AE16" s="308">
        <f>G16*0.0567381974248927</f>
        <v>0</v>
      </c>
      <c r="AF16" s="308">
        <f>G16*(1-0.0567381974248927)</f>
        <v>0</v>
      </c>
      <c r="AM16" s="308">
        <f>F16*AE16</f>
        <v>0</v>
      </c>
      <c r="AN16" s="308">
        <f>F16*AF16</f>
        <v>0</v>
      </c>
      <c r="AO16" s="309" t="s">
        <v>615</v>
      </c>
      <c r="AP16" s="309" t="s">
        <v>608</v>
      </c>
      <c r="AQ16" s="299" t="s">
        <v>609</v>
      </c>
    </row>
    <row r="17" spans="1:37" ht="12.75">
      <c r="A17" s="310"/>
      <c r="B17" s="311"/>
      <c r="C17" s="311" t="s">
        <v>616</v>
      </c>
      <c r="D17" s="375"/>
      <c r="E17" s="376"/>
      <c r="F17" s="376"/>
      <c r="G17" s="376"/>
      <c r="H17" s="304">
        <f>SUM(H18:H18)</f>
        <v>0</v>
      </c>
      <c r="I17" s="304">
        <f>SUM(I18:I18)</f>
        <v>0</v>
      </c>
      <c r="J17" s="304">
        <f>H17+I17</f>
        <v>0</v>
      </c>
      <c r="K17" s="299"/>
      <c r="L17" s="304">
        <f>SUM(L18:L18)</f>
        <v>0.8623999999999999</v>
      </c>
      <c r="M17" s="299"/>
      <c r="P17" s="304">
        <f>IF(Q17="PR",J17,SUM(O18:O18))</f>
        <v>0</v>
      </c>
      <c r="Q17" s="299" t="s">
        <v>602</v>
      </c>
      <c r="R17" s="304">
        <f>IF(Q17="HS",H17,0)</f>
        <v>0</v>
      </c>
      <c r="S17" s="304">
        <f>IF(Q17="HS",I17-P17,0)</f>
        <v>0</v>
      </c>
      <c r="T17" s="304">
        <f>IF(Q17="PS",H17,0)</f>
        <v>0</v>
      </c>
      <c r="U17" s="304">
        <f>IF(Q17="PS",I17-P17,0)</f>
        <v>0</v>
      </c>
      <c r="V17" s="304">
        <f>IF(Q17="MP",H17,0)</f>
        <v>0</v>
      </c>
      <c r="W17" s="304">
        <f>IF(Q17="MP",I17-P17,0)</f>
        <v>0</v>
      </c>
      <c r="X17" s="304">
        <f>IF(Q17="OM",H17,0)</f>
        <v>0</v>
      </c>
      <c r="Y17" s="299"/>
      <c r="AI17" s="304">
        <f>SUM(Z18:Z18)</f>
        <v>0</v>
      </c>
      <c r="AJ17" s="304">
        <f>SUM(AA18:AA18)</f>
        <v>0</v>
      </c>
      <c r="AK17" s="304">
        <f>SUM(AB18:AB18)</f>
        <v>0</v>
      </c>
    </row>
    <row r="18" spans="1:43" ht="12.75">
      <c r="A18" s="305" t="s">
        <v>25</v>
      </c>
      <c r="B18" s="305"/>
      <c r="C18" s="305" t="s">
        <v>617</v>
      </c>
      <c r="D18" s="305" t="s">
        <v>618</v>
      </c>
      <c r="E18" s="305" t="s">
        <v>19</v>
      </c>
      <c r="F18" s="306">
        <v>3.92</v>
      </c>
      <c r="G18" s="306"/>
      <c r="H18" s="306">
        <f>ROUND(F18*AE18,2)</f>
        <v>0</v>
      </c>
      <c r="I18" s="306">
        <f>J18-H18</f>
        <v>0</v>
      </c>
      <c r="J18" s="306">
        <f>ROUND(F18*G18,2)</f>
        <v>0</v>
      </c>
      <c r="K18" s="306">
        <v>0.22</v>
      </c>
      <c r="L18" s="306">
        <f>F18*K18</f>
        <v>0.8623999999999999</v>
      </c>
      <c r="M18" s="307" t="s">
        <v>606</v>
      </c>
      <c r="N18" s="307" t="s">
        <v>16</v>
      </c>
      <c r="O18" s="306">
        <f>IF(N18="5",I18,0)</f>
        <v>0</v>
      </c>
      <c r="Z18" s="306">
        <f>IF(AD18=0,J18,0)</f>
        <v>0</v>
      </c>
      <c r="AA18" s="306">
        <f>IF(AD18=15,J18,0)</f>
        <v>0</v>
      </c>
      <c r="AB18" s="306">
        <f>IF(AD18=21,J18,0)</f>
        <v>0</v>
      </c>
      <c r="AD18" s="308">
        <v>15</v>
      </c>
      <c r="AE18" s="308">
        <f>G18*0</f>
        <v>0</v>
      </c>
      <c r="AF18" s="308">
        <f>G18*(1-0)</f>
        <v>0</v>
      </c>
      <c r="AM18" s="308">
        <f>F18*AE18</f>
        <v>0</v>
      </c>
      <c r="AN18" s="308">
        <f>F18*AF18</f>
        <v>0</v>
      </c>
      <c r="AO18" s="309" t="s">
        <v>619</v>
      </c>
      <c r="AP18" s="309" t="s">
        <v>608</v>
      </c>
      <c r="AQ18" s="299" t="s">
        <v>609</v>
      </c>
    </row>
    <row r="19" spans="1:37" ht="12.75">
      <c r="A19" s="310"/>
      <c r="B19" s="311"/>
      <c r="C19" s="311" t="s">
        <v>95</v>
      </c>
      <c r="D19" s="375" t="s">
        <v>96</v>
      </c>
      <c r="E19" s="376"/>
      <c r="F19" s="376"/>
      <c r="G19" s="376"/>
      <c r="H19" s="304">
        <f>SUM(H20:H23)</f>
        <v>0</v>
      </c>
      <c r="I19" s="304">
        <f>SUM(I20:I23)</f>
        <v>0</v>
      </c>
      <c r="J19" s="304">
        <f>H19+I19</f>
        <v>0</v>
      </c>
      <c r="K19" s="299"/>
      <c r="L19" s="304">
        <f>SUM(L20:L23)</f>
        <v>0.0344648</v>
      </c>
      <c r="M19" s="299"/>
      <c r="P19" s="304">
        <f>IF(Q19="PR",J19,SUM(O20:O23))</f>
        <v>0</v>
      </c>
      <c r="Q19" s="299" t="s">
        <v>620</v>
      </c>
      <c r="R19" s="304">
        <f>IF(Q19="HS",H19,0)</f>
        <v>0</v>
      </c>
      <c r="S19" s="304">
        <f>IF(Q19="HS",I19-P19,0)</f>
        <v>0</v>
      </c>
      <c r="T19" s="304">
        <f>IF(Q19="PS",H19,0)</f>
        <v>0</v>
      </c>
      <c r="U19" s="304">
        <f>IF(Q19="PS",I19-P19,0)</f>
        <v>0</v>
      </c>
      <c r="V19" s="304">
        <f>IF(Q19="MP",H19,0)</f>
        <v>0</v>
      </c>
      <c r="W19" s="304">
        <f>IF(Q19="MP",I19-P19,0)</f>
        <v>0</v>
      </c>
      <c r="X19" s="304">
        <f>IF(Q19="OM",H19,0)</f>
        <v>0</v>
      </c>
      <c r="Y19" s="299"/>
      <c r="AI19" s="304">
        <f>SUM(Z20:Z23)</f>
        <v>0</v>
      </c>
      <c r="AJ19" s="304">
        <f>SUM(AA20:AA23)</f>
        <v>0</v>
      </c>
      <c r="AK19" s="304">
        <f>SUM(AB20:AB23)</f>
        <v>0</v>
      </c>
    </row>
    <row r="20" spans="1:43" ht="12.75">
      <c r="A20" s="305" t="s">
        <v>621</v>
      </c>
      <c r="B20" s="305"/>
      <c r="C20" s="305" t="s">
        <v>251</v>
      </c>
      <c r="D20" s="305" t="s">
        <v>97</v>
      </c>
      <c r="E20" s="305" t="s">
        <v>19</v>
      </c>
      <c r="F20" s="306">
        <v>5.52</v>
      </c>
      <c r="G20" s="306"/>
      <c r="H20" s="306">
        <f>ROUND(F20*AE20,2)</f>
        <v>0</v>
      </c>
      <c r="I20" s="306">
        <f>J20-H20</f>
        <v>0</v>
      </c>
      <c r="J20" s="306">
        <f>ROUND(F20*G20,2)</f>
        <v>0</v>
      </c>
      <c r="K20" s="306">
        <v>0.00021</v>
      </c>
      <c r="L20" s="306">
        <f>F20*K20</f>
        <v>0.0011592</v>
      </c>
      <c r="M20" s="307" t="s">
        <v>606</v>
      </c>
      <c r="N20" s="307" t="s">
        <v>603</v>
      </c>
      <c r="O20" s="306">
        <f>IF(N20="5",I20,0)</f>
        <v>0</v>
      </c>
      <c r="Z20" s="306">
        <f>IF(AD20=0,J20,0)</f>
        <v>0</v>
      </c>
      <c r="AA20" s="306">
        <f>IF(AD20=15,J20,0)</f>
        <v>0</v>
      </c>
      <c r="AB20" s="306">
        <f>IF(AD20=21,J20,0)</f>
        <v>0</v>
      </c>
      <c r="AD20" s="308">
        <v>15</v>
      </c>
      <c r="AE20" s="308">
        <f>G20*0.311153846153846</f>
        <v>0</v>
      </c>
      <c r="AF20" s="308">
        <f>G20*(1-0.311153846153846)</f>
        <v>0</v>
      </c>
      <c r="AM20" s="308">
        <f>F20*AE20</f>
        <v>0</v>
      </c>
      <c r="AN20" s="308">
        <f>F20*AF20</f>
        <v>0</v>
      </c>
      <c r="AO20" s="309" t="s">
        <v>622</v>
      </c>
      <c r="AP20" s="309" t="s">
        <v>623</v>
      </c>
      <c r="AQ20" s="299" t="s">
        <v>609</v>
      </c>
    </row>
    <row r="21" spans="1:43" ht="12.75">
      <c r="A21" s="305" t="s">
        <v>624</v>
      </c>
      <c r="B21" s="305"/>
      <c r="C21" s="305" t="s">
        <v>252</v>
      </c>
      <c r="D21" s="305" t="s">
        <v>625</v>
      </c>
      <c r="E21" s="305" t="s">
        <v>19</v>
      </c>
      <c r="F21" s="306">
        <v>5.52</v>
      </c>
      <c r="G21" s="306"/>
      <c r="H21" s="306">
        <f>ROUND(F21*AE21,2)</f>
        <v>0</v>
      </c>
      <c r="I21" s="306">
        <f>J21-H21</f>
        <v>0</v>
      </c>
      <c r="J21" s="306">
        <f>ROUND(F21*G21,2)</f>
        <v>0</v>
      </c>
      <c r="K21" s="306">
        <v>0.00368</v>
      </c>
      <c r="L21" s="306">
        <f>F21*K21</f>
        <v>0.020313599999999998</v>
      </c>
      <c r="M21" s="307" t="s">
        <v>606</v>
      </c>
      <c r="N21" s="307" t="s">
        <v>603</v>
      </c>
      <c r="O21" s="306">
        <f>IF(N21="5",I21,0)</f>
        <v>0</v>
      </c>
      <c r="Z21" s="306">
        <f>IF(AD21=0,J21,0)</f>
        <v>0</v>
      </c>
      <c r="AA21" s="306">
        <f>IF(AD21=15,J21,0)</f>
        <v>0</v>
      </c>
      <c r="AB21" s="306">
        <f>IF(AD21=21,J21,0)</f>
        <v>0</v>
      </c>
      <c r="AD21" s="308">
        <v>15</v>
      </c>
      <c r="AE21" s="308">
        <f>G21*0.680047619047619</f>
        <v>0</v>
      </c>
      <c r="AF21" s="308">
        <f>G21*(1-0.680047619047619)</f>
        <v>0</v>
      </c>
      <c r="AM21" s="308">
        <f>F21*AE21</f>
        <v>0</v>
      </c>
      <c r="AN21" s="308">
        <f>F21*AF21</f>
        <v>0</v>
      </c>
      <c r="AO21" s="309" t="s">
        <v>622</v>
      </c>
      <c r="AP21" s="309" t="s">
        <v>623</v>
      </c>
      <c r="AQ21" s="299" t="s">
        <v>609</v>
      </c>
    </row>
    <row r="22" spans="1:43" ht="12.75">
      <c r="A22" s="305" t="s">
        <v>626</v>
      </c>
      <c r="B22" s="305"/>
      <c r="C22" s="305" t="s">
        <v>253</v>
      </c>
      <c r="D22" s="305" t="s">
        <v>99</v>
      </c>
      <c r="E22" s="305" t="s">
        <v>21</v>
      </c>
      <c r="F22" s="306">
        <v>19.1</v>
      </c>
      <c r="G22" s="306"/>
      <c r="H22" s="306">
        <f>ROUND(F22*AE22,2)</f>
        <v>0</v>
      </c>
      <c r="I22" s="306">
        <f>J22-H22</f>
        <v>0</v>
      </c>
      <c r="J22" s="306">
        <f>ROUND(F22*G22,2)</f>
        <v>0</v>
      </c>
      <c r="K22" s="306">
        <v>0.00032</v>
      </c>
      <c r="L22" s="306">
        <f>F22*K22</f>
        <v>0.006112000000000001</v>
      </c>
      <c r="M22" s="307" t="s">
        <v>606</v>
      </c>
      <c r="N22" s="307" t="s">
        <v>603</v>
      </c>
      <c r="O22" s="306">
        <f>IF(N22="5",I22,0)</f>
        <v>0</v>
      </c>
      <c r="Z22" s="306">
        <f>IF(AD22=0,J22,0)</f>
        <v>0</v>
      </c>
      <c r="AA22" s="306">
        <f>IF(AD22=15,J22,0)</f>
        <v>0</v>
      </c>
      <c r="AB22" s="306">
        <f>IF(AD22=21,J22,0)</f>
        <v>0</v>
      </c>
      <c r="AD22" s="308">
        <v>15</v>
      </c>
      <c r="AE22" s="308">
        <f>G22*0.768804347826087</f>
        <v>0</v>
      </c>
      <c r="AF22" s="308">
        <f>G22*(1-0.768804347826087)</f>
        <v>0</v>
      </c>
      <c r="AM22" s="308">
        <f>F22*AE22</f>
        <v>0</v>
      </c>
      <c r="AN22" s="308">
        <f>F22*AF22</f>
        <v>0</v>
      </c>
      <c r="AO22" s="309" t="s">
        <v>622</v>
      </c>
      <c r="AP22" s="309" t="s">
        <v>623</v>
      </c>
      <c r="AQ22" s="299" t="s">
        <v>609</v>
      </c>
    </row>
    <row r="23" spans="1:43" ht="12.75">
      <c r="A23" s="305" t="s">
        <v>627</v>
      </c>
      <c r="B23" s="305"/>
      <c r="C23" s="305" t="s">
        <v>254</v>
      </c>
      <c r="D23" s="305" t="s">
        <v>100</v>
      </c>
      <c r="E23" s="305" t="s">
        <v>24</v>
      </c>
      <c r="F23" s="306">
        <v>16</v>
      </c>
      <c r="G23" s="306"/>
      <c r="H23" s="306">
        <f>ROUND(F23*AE23,2)</f>
        <v>0</v>
      </c>
      <c r="I23" s="306">
        <f>J23-H23</f>
        <v>0</v>
      </c>
      <c r="J23" s="306">
        <f>ROUND(F23*G23,2)</f>
        <v>0</v>
      </c>
      <c r="K23" s="306">
        <v>0.00043</v>
      </c>
      <c r="L23" s="306">
        <f>F23*K23</f>
        <v>0.00688</v>
      </c>
      <c r="M23" s="307" t="s">
        <v>606</v>
      </c>
      <c r="N23" s="307" t="s">
        <v>603</v>
      </c>
      <c r="O23" s="306">
        <f>IF(N23="5",I23,0)</f>
        <v>0</v>
      </c>
      <c r="Z23" s="306">
        <f>IF(AD23=0,J23,0)</f>
        <v>0</v>
      </c>
      <c r="AA23" s="306">
        <f>IF(AD23=15,J23,0)</f>
        <v>0</v>
      </c>
      <c r="AB23" s="306">
        <f>IF(AD23=21,J23,0)</f>
        <v>0</v>
      </c>
      <c r="AD23" s="308">
        <v>15</v>
      </c>
      <c r="AE23" s="308">
        <f>G23*0.860625</f>
        <v>0</v>
      </c>
      <c r="AF23" s="308">
        <f>G23*(1-0.860625)</f>
        <v>0</v>
      </c>
      <c r="AM23" s="308">
        <f>F23*AE23</f>
        <v>0</v>
      </c>
      <c r="AN23" s="308">
        <f>F23*AF23</f>
        <v>0</v>
      </c>
      <c r="AO23" s="309" t="s">
        <v>622</v>
      </c>
      <c r="AP23" s="309" t="s">
        <v>623</v>
      </c>
      <c r="AQ23" s="299" t="s">
        <v>609</v>
      </c>
    </row>
    <row r="24" spans="1:37" ht="12.75">
      <c r="A24" s="310"/>
      <c r="B24" s="311"/>
      <c r="C24" s="311" t="s">
        <v>102</v>
      </c>
      <c r="D24" s="375" t="s">
        <v>103</v>
      </c>
      <c r="E24" s="376"/>
      <c r="F24" s="376"/>
      <c r="G24" s="376"/>
      <c r="H24" s="304">
        <f>SUM(H25:H33)</f>
        <v>0</v>
      </c>
      <c r="I24" s="304">
        <f>SUM(I25:I33)</f>
        <v>0</v>
      </c>
      <c r="J24" s="304">
        <f>H24+I24</f>
        <v>0</v>
      </c>
      <c r="K24" s="299"/>
      <c r="L24" s="304">
        <f>SUM(L25:L33)</f>
        <v>0.00852</v>
      </c>
      <c r="M24" s="299"/>
      <c r="P24" s="304">
        <f>IF(Q24="PR",J24,SUM(O25:O33))</f>
        <v>0</v>
      </c>
      <c r="Q24" s="299" t="s">
        <v>620</v>
      </c>
      <c r="R24" s="304">
        <f>IF(Q24="HS",H24,0)</f>
        <v>0</v>
      </c>
      <c r="S24" s="304">
        <f>IF(Q24="HS",I24-P24,0)</f>
        <v>0</v>
      </c>
      <c r="T24" s="304">
        <f>IF(Q24="PS",H24,0)</f>
        <v>0</v>
      </c>
      <c r="U24" s="304">
        <f>IF(Q24="PS",I24-P24,0)</f>
        <v>0</v>
      </c>
      <c r="V24" s="304">
        <f>IF(Q24="MP",H24,0)</f>
        <v>0</v>
      </c>
      <c r="W24" s="304">
        <f>IF(Q24="MP",I24-P24,0)</f>
        <v>0</v>
      </c>
      <c r="X24" s="304">
        <f>IF(Q24="OM",H24,0)</f>
        <v>0</v>
      </c>
      <c r="Y24" s="299"/>
      <c r="AI24" s="304">
        <f>SUM(Z25:Z33)</f>
        <v>0</v>
      </c>
      <c r="AJ24" s="304">
        <f>SUM(AA25:AA33)</f>
        <v>0</v>
      </c>
      <c r="AK24" s="304">
        <f>SUM(AB25:AB33)</f>
        <v>0</v>
      </c>
    </row>
    <row r="25" spans="1:43" ht="12.75">
      <c r="A25" s="305" t="s">
        <v>628</v>
      </c>
      <c r="B25" s="305"/>
      <c r="C25" s="305" t="s">
        <v>256</v>
      </c>
      <c r="D25" s="305" t="s">
        <v>104</v>
      </c>
      <c r="E25" s="305" t="s">
        <v>21</v>
      </c>
      <c r="F25" s="306">
        <v>3</v>
      </c>
      <c r="G25" s="306"/>
      <c r="H25" s="306">
        <f aca="true" t="shared" si="0" ref="H25:H33">ROUND(F25*AE25,2)</f>
        <v>0</v>
      </c>
      <c r="I25" s="306">
        <f aca="true" t="shared" si="1" ref="I25:I33">J25-H25</f>
        <v>0</v>
      </c>
      <c r="J25" s="306">
        <f aca="true" t="shared" si="2" ref="J25:J33">ROUND(F25*G25,2)</f>
        <v>0</v>
      </c>
      <c r="K25" s="306">
        <v>0.00038</v>
      </c>
      <c r="L25" s="306">
        <f aca="true" t="shared" si="3" ref="L25:L33">F25*K25</f>
        <v>0.00114</v>
      </c>
      <c r="M25" s="307" t="s">
        <v>606</v>
      </c>
      <c r="N25" s="307" t="s">
        <v>603</v>
      </c>
      <c r="O25" s="306">
        <f aca="true" t="shared" si="4" ref="O25:O33">IF(N25="5",I25,0)</f>
        <v>0</v>
      </c>
      <c r="Z25" s="306">
        <f aca="true" t="shared" si="5" ref="Z25:Z33">IF(AD25=0,J25,0)</f>
        <v>0</v>
      </c>
      <c r="AA25" s="306">
        <f aca="true" t="shared" si="6" ref="AA25:AA33">IF(AD25=15,J25,0)</f>
        <v>0</v>
      </c>
      <c r="AB25" s="306">
        <f aca="true" t="shared" si="7" ref="AB25:AB33">IF(AD25=21,J25,0)</f>
        <v>0</v>
      </c>
      <c r="AD25" s="308">
        <v>15</v>
      </c>
      <c r="AE25" s="308">
        <f>G25*0.380604026845638</f>
        <v>0</v>
      </c>
      <c r="AF25" s="308">
        <f>G25*(1-0.380604026845638)</f>
        <v>0</v>
      </c>
      <c r="AM25" s="308">
        <f aca="true" t="shared" si="8" ref="AM25:AM33">F25*AE25</f>
        <v>0</v>
      </c>
      <c r="AN25" s="308">
        <f aca="true" t="shared" si="9" ref="AN25:AN33">F25*AF25</f>
        <v>0</v>
      </c>
      <c r="AO25" s="309" t="s">
        <v>629</v>
      </c>
      <c r="AP25" s="309" t="s">
        <v>630</v>
      </c>
      <c r="AQ25" s="299" t="s">
        <v>609</v>
      </c>
    </row>
    <row r="26" spans="1:43" ht="12.75">
      <c r="A26" s="305" t="s">
        <v>631</v>
      </c>
      <c r="B26" s="305"/>
      <c r="C26" s="305" t="s">
        <v>259</v>
      </c>
      <c r="D26" s="305" t="s">
        <v>107</v>
      </c>
      <c r="E26" s="305" t="s">
        <v>21</v>
      </c>
      <c r="F26" s="306">
        <v>6</v>
      </c>
      <c r="G26" s="306"/>
      <c r="H26" s="306">
        <f t="shared" si="0"/>
        <v>0</v>
      </c>
      <c r="I26" s="306">
        <f t="shared" si="1"/>
        <v>0</v>
      </c>
      <c r="J26" s="306">
        <f t="shared" si="2"/>
        <v>0</v>
      </c>
      <c r="K26" s="306">
        <v>0.00047</v>
      </c>
      <c r="L26" s="306">
        <f t="shared" si="3"/>
        <v>0.00282</v>
      </c>
      <c r="M26" s="307" t="s">
        <v>606</v>
      </c>
      <c r="N26" s="307" t="s">
        <v>603</v>
      </c>
      <c r="O26" s="306">
        <f t="shared" si="4"/>
        <v>0</v>
      </c>
      <c r="Z26" s="306">
        <f t="shared" si="5"/>
        <v>0</v>
      </c>
      <c r="AA26" s="306">
        <f t="shared" si="6"/>
        <v>0</v>
      </c>
      <c r="AB26" s="306">
        <f t="shared" si="7"/>
        <v>0</v>
      </c>
      <c r="AD26" s="308">
        <v>15</v>
      </c>
      <c r="AE26" s="308">
        <f>G26*0.357456647398844</f>
        <v>0</v>
      </c>
      <c r="AF26" s="308">
        <f>G26*(1-0.357456647398844)</f>
        <v>0</v>
      </c>
      <c r="AM26" s="308">
        <f t="shared" si="8"/>
        <v>0</v>
      </c>
      <c r="AN26" s="308">
        <f t="shared" si="9"/>
        <v>0</v>
      </c>
      <c r="AO26" s="309" t="s">
        <v>629</v>
      </c>
      <c r="AP26" s="309" t="s">
        <v>630</v>
      </c>
      <c r="AQ26" s="299" t="s">
        <v>609</v>
      </c>
    </row>
    <row r="27" spans="1:43" ht="12.75">
      <c r="A27" s="305" t="s">
        <v>632</v>
      </c>
      <c r="B27" s="305"/>
      <c r="C27" s="305" t="s">
        <v>263</v>
      </c>
      <c r="D27" s="305" t="s">
        <v>111</v>
      </c>
      <c r="E27" s="305" t="s">
        <v>21</v>
      </c>
      <c r="F27" s="306">
        <v>3</v>
      </c>
      <c r="G27" s="306"/>
      <c r="H27" s="306">
        <f t="shared" si="0"/>
        <v>0</v>
      </c>
      <c r="I27" s="306">
        <f t="shared" si="1"/>
        <v>0</v>
      </c>
      <c r="J27" s="306">
        <f t="shared" si="2"/>
        <v>0</v>
      </c>
      <c r="K27" s="306">
        <v>0.00152</v>
      </c>
      <c r="L27" s="306">
        <f t="shared" si="3"/>
        <v>0.00456</v>
      </c>
      <c r="M27" s="307" t="s">
        <v>606</v>
      </c>
      <c r="N27" s="307" t="s">
        <v>603</v>
      </c>
      <c r="O27" s="306">
        <f t="shared" si="4"/>
        <v>0</v>
      </c>
      <c r="Z27" s="306">
        <f t="shared" si="5"/>
        <v>0</v>
      </c>
      <c r="AA27" s="306">
        <f t="shared" si="6"/>
        <v>0</v>
      </c>
      <c r="AB27" s="306">
        <f t="shared" si="7"/>
        <v>0</v>
      </c>
      <c r="AD27" s="308">
        <v>15</v>
      </c>
      <c r="AE27" s="308">
        <f>G27*0.350989399293286</f>
        <v>0</v>
      </c>
      <c r="AF27" s="308">
        <f>G27*(1-0.350989399293286)</f>
        <v>0</v>
      </c>
      <c r="AM27" s="308">
        <f t="shared" si="8"/>
        <v>0</v>
      </c>
      <c r="AN27" s="308">
        <f t="shared" si="9"/>
        <v>0</v>
      </c>
      <c r="AO27" s="309" t="s">
        <v>629</v>
      </c>
      <c r="AP27" s="309" t="s">
        <v>630</v>
      </c>
      <c r="AQ27" s="299" t="s">
        <v>609</v>
      </c>
    </row>
    <row r="28" spans="1:43" ht="12.75">
      <c r="A28" s="305" t="s">
        <v>633</v>
      </c>
      <c r="B28" s="305"/>
      <c r="C28" s="305" t="s">
        <v>269</v>
      </c>
      <c r="D28" s="305" t="s">
        <v>117</v>
      </c>
      <c r="E28" s="305" t="s">
        <v>24</v>
      </c>
      <c r="F28" s="306">
        <v>1</v>
      </c>
      <c r="G28" s="306"/>
      <c r="H28" s="306">
        <f t="shared" si="0"/>
        <v>0</v>
      </c>
      <c r="I28" s="306">
        <f t="shared" si="1"/>
        <v>0</v>
      </c>
      <c r="J28" s="306">
        <f t="shared" si="2"/>
        <v>0</v>
      </c>
      <c r="K28" s="306">
        <v>0</v>
      </c>
      <c r="L28" s="306">
        <f t="shared" si="3"/>
        <v>0</v>
      </c>
      <c r="M28" s="307" t="s">
        <v>606</v>
      </c>
      <c r="N28" s="307" t="s">
        <v>603</v>
      </c>
      <c r="O28" s="306">
        <f t="shared" si="4"/>
        <v>0</v>
      </c>
      <c r="Z28" s="306">
        <f t="shared" si="5"/>
        <v>0</v>
      </c>
      <c r="AA28" s="306">
        <f t="shared" si="6"/>
        <v>0</v>
      </c>
      <c r="AB28" s="306">
        <f t="shared" si="7"/>
        <v>0</v>
      </c>
      <c r="AD28" s="308">
        <v>15</v>
      </c>
      <c r="AE28" s="308">
        <f>G28*0</f>
        <v>0</v>
      </c>
      <c r="AF28" s="308">
        <f>G28*(1-0)</f>
        <v>0</v>
      </c>
      <c r="AM28" s="308">
        <f t="shared" si="8"/>
        <v>0</v>
      </c>
      <c r="AN28" s="308">
        <f t="shared" si="9"/>
        <v>0</v>
      </c>
      <c r="AO28" s="309" t="s">
        <v>629</v>
      </c>
      <c r="AP28" s="309" t="s">
        <v>630</v>
      </c>
      <c r="AQ28" s="299" t="s">
        <v>609</v>
      </c>
    </row>
    <row r="29" spans="1:43" ht="12.75">
      <c r="A29" s="305" t="s">
        <v>634</v>
      </c>
      <c r="B29" s="305"/>
      <c r="C29" s="305" t="s">
        <v>635</v>
      </c>
      <c r="D29" s="305" t="s">
        <v>114</v>
      </c>
      <c r="E29" s="305" t="s">
        <v>24</v>
      </c>
      <c r="F29" s="306">
        <v>3</v>
      </c>
      <c r="G29" s="306"/>
      <c r="H29" s="306">
        <f t="shared" si="0"/>
        <v>0</v>
      </c>
      <c r="I29" s="306">
        <f t="shared" si="1"/>
        <v>0</v>
      </c>
      <c r="J29" s="306">
        <f t="shared" si="2"/>
        <v>0</v>
      </c>
      <c r="K29" s="306">
        <v>0</v>
      </c>
      <c r="L29" s="306">
        <f t="shared" si="3"/>
        <v>0</v>
      </c>
      <c r="M29" s="307" t="s">
        <v>606</v>
      </c>
      <c r="N29" s="307" t="s">
        <v>603</v>
      </c>
      <c r="O29" s="306">
        <f t="shared" si="4"/>
        <v>0</v>
      </c>
      <c r="Z29" s="306">
        <f t="shared" si="5"/>
        <v>0</v>
      </c>
      <c r="AA29" s="306">
        <f t="shared" si="6"/>
        <v>0</v>
      </c>
      <c r="AB29" s="306">
        <f t="shared" si="7"/>
        <v>0</v>
      </c>
      <c r="AD29" s="308">
        <v>15</v>
      </c>
      <c r="AE29" s="308">
        <f>G29*0</f>
        <v>0</v>
      </c>
      <c r="AF29" s="308">
        <f>G29*(1-0)</f>
        <v>0</v>
      </c>
      <c r="AM29" s="308">
        <f t="shared" si="8"/>
        <v>0</v>
      </c>
      <c r="AN29" s="308">
        <f t="shared" si="9"/>
        <v>0</v>
      </c>
      <c r="AO29" s="309" t="s">
        <v>629</v>
      </c>
      <c r="AP29" s="309" t="s">
        <v>630</v>
      </c>
      <c r="AQ29" s="299" t="s">
        <v>609</v>
      </c>
    </row>
    <row r="30" spans="1:43" ht="12.75">
      <c r="A30" s="305" t="s">
        <v>636</v>
      </c>
      <c r="B30" s="305"/>
      <c r="C30" s="305" t="s">
        <v>637</v>
      </c>
      <c r="D30" s="305" t="s">
        <v>115</v>
      </c>
      <c r="E30" s="305" t="s">
        <v>24</v>
      </c>
      <c r="F30" s="306">
        <v>2</v>
      </c>
      <c r="G30" s="306"/>
      <c r="H30" s="306">
        <f t="shared" si="0"/>
        <v>0</v>
      </c>
      <c r="I30" s="306">
        <f t="shared" si="1"/>
        <v>0</v>
      </c>
      <c r="J30" s="306">
        <f t="shared" si="2"/>
        <v>0</v>
      </c>
      <c r="K30" s="306">
        <v>0</v>
      </c>
      <c r="L30" s="306">
        <f t="shared" si="3"/>
        <v>0</v>
      </c>
      <c r="M30" s="307" t="s">
        <v>606</v>
      </c>
      <c r="N30" s="307" t="s">
        <v>603</v>
      </c>
      <c r="O30" s="306">
        <f t="shared" si="4"/>
        <v>0</v>
      </c>
      <c r="Z30" s="306">
        <f t="shared" si="5"/>
        <v>0</v>
      </c>
      <c r="AA30" s="306">
        <f t="shared" si="6"/>
        <v>0</v>
      </c>
      <c r="AB30" s="306">
        <f t="shared" si="7"/>
        <v>0</v>
      </c>
      <c r="AD30" s="308">
        <v>15</v>
      </c>
      <c r="AE30" s="308">
        <f>G30*0</f>
        <v>0</v>
      </c>
      <c r="AF30" s="308">
        <f>G30*(1-0)</f>
        <v>0</v>
      </c>
      <c r="AM30" s="308">
        <f t="shared" si="8"/>
        <v>0</v>
      </c>
      <c r="AN30" s="308">
        <f t="shared" si="9"/>
        <v>0</v>
      </c>
      <c r="AO30" s="309" t="s">
        <v>629</v>
      </c>
      <c r="AP30" s="309" t="s">
        <v>630</v>
      </c>
      <c r="AQ30" s="299" t="s">
        <v>609</v>
      </c>
    </row>
    <row r="31" spans="1:43" ht="12.75">
      <c r="A31" s="305" t="s">
        <v>638</v>
      </c>
      <c r="B31" s="305"/>
      <c r="C31" s="305" t="s">
        <v>270</v>
      </c>
      <c r="D31" s="305" t="s">
        <v>118</v>
      </c>
      <c r="E31" s="305" t="s">
        <v>24</v>
      </c>
      <c r="F31" s="306">
        <v>2</v>
      </c>
      <c r="G31" s="306"/>
      <c r="H31" s="306">
        <f t="shared" si="0"/>
        <v>0</v>
      </c>
      <c r="I31" s="306">
        <f t="shared" si="1"/>
        <v>0</v>
      </c>
      <c r="J31" s="306">
        <f t="shared" si="2"/>
        <v>0</v>
      </c>
      <c r="K31" s="306">
        <v>0</v>
      </c>
      <c r="L31" s="306">
        <f t="shared" si="3"/>
        <v>0</v>
      </c>
      <c r="M31" s="307" t="s">
        <v>606</v>
      </c>
      <c r="N31" s="307" t="s">
        <v>603</v>
      </c>
      <c r="O31" s="306">
        <f t="shared" si="4"/>
        <v>0</v>
      </c>
      <c r="Z31" s="306">
        <f t="shared" si="5"/>
        <v>0</v>
      </c>
      <c r="AA31" s="306">
        <f t="shared" si="6"/>
        <v>0</v>
      </c>
      <c r="AB31" s="306">
        <f t="shared" si="7"/>
        <v>0</v>
      </c>
      <c r="AD31" s="308">
        <v>15</v>
      </c>
      <c r="AE31" s="308">
        <f>G31*0</f>
        <v>0</v>
      </c>
      <c r="AF31" s="308">
        <f>G31*(1-0)</f>
        <v>0</v>
      </c>
      <c r="AM31" s="308">
        <f t="shared" si="8"/>
        <v>0</v>
      </c>
      <c r="AN31" s="308">
        <f t="shared" si="9"/>
        <v>0</v>
      </c>
      <c r="AO31" s="309" t="s">
        <v>629</v>
      </c>
      <c r="AP31" s="309" t="s">
        <v>630</v>
      </c>
      <c r="AQ31" s="299" t="s">
        <v>609</v>
      </c>
    </row>
    <row r="32" spans="1:43" ht="12.75">
      <c r="A32" s="305" t="s">
        <v>639</v>
      </c>
      <c r="B32" s="305"/>
      <c r="C32" s="305" t="s">
        <v>268</v>
      </c>
      <c r="D32" s="305" t="s">
        <v>116</v>
      </c>
      <c r="E32" s="305" t="s">
        <v>24</v>
      </c>
      <c r="F32" s="306">
        <v>2</v>
      </c>
      <c r="G32" s="306"/>
      <c r="H32" s="306">
        <f t="shared" si="0"/>
        <v>0</v>
      </c>
      <c r="I32" s="306">
        <f t="shared" si="1"/>
        <v>0</v>
      </c>
      <c r="J32" s="306">
        <f t="shared" si="2"/>
        <v>0</v>
      </c>
      <c r="K32" s="306">
        <v>0</v>
      </c>
      <c r="L32" s="306">
        <f t="shared" si="3"/>
        <v>0</v>
      </c>
      <c r="M32" s="307" t="s">
        <v>606</v>
      </c>
      <c r="N32" s="307" t="s">
        <v>603</v>
      </c>
      <c r="O32" s="306">
        <f t="shared" si="4"/>
        <v>0</v>
      </c>
      <c r="Z32" s="306">
        <f t="shared" si="5"/>
        <v>0</v>
      </c>
      <c r="AA32" s="306">
        <f t="shared" si="6"/>
        <v>0</v>
      </c>
      <c r="AB32" s="306">
        <f t="shared" si="7"/>
        <v>0</v>
      </c>
      <c r="AD32" s="308">
        <v>15</v>
      </c>
      <c r="AE32" s="308">
        <f>G32*0</f>
        <v>0</v>
      </c>
      <c r="AF32" s="308">
        <f>G32*(1-0)</f>
        <v>0</v>
      </c>
      <c r="AM32" s="308">
        <f t="shared" si="8"/>
        <v>0</v>
      </c>
      <c r="AN32" s="308">
        <f t="shared" si="9"/>
        <v>0</v>
      </c>
      <c r="AO32" s="309" t="s">
        <v>629</v>
      </c>
      <c r="AP32" s="309" t="s">
        <v>630</v>
      </c>
      <c r="AQ32" s="299" t="s">
        <v>609</v>
      </c>
    </row>
    <row r="33" spans="1:43" ht="12.75">
      <c r="A33" s="305" t="s">
        <v>640</v>
      </c>
      <c r="B33" s="305"/>
      <c r="C33" s="305" t="s">
        <v>271</v>
      </c>
      <c r="D33" s="305" t="s">
        <v>119</v>
      </c>
      <c r="E33" s="305" t="s">
        <v>21</v>
      </c>
      <c r="F33" s="306">
        <v>12</v>
      </c>
      <c r="G33" s="306"/>
      <c r="H33" s="306">
        <f t="shared" si="0"/>
        <v>0</v>
      </c>
      <c r="I33" s="306">
        <f t="shared" si="1"/>
        <v>0</v>
      </c>
      <c r="J33" s="306">
        <f t="shared" si="2"/>
        <v>0</v>
      </c>
      <c r="K33" s="306">
        <v>0</v>
      </c>
      <c r="L33" s="306">
        <f t="shared" si="3"/>
        <v>0</v>
      </c>
      <c r="M33" s="307" t="s">
        <v>606</v>
      </c>
      <c r="N33" s="307" t="s">
        <v>603</v>
      </c>
      <c r="O33" s="306">
        <f t="shared" si="4"/>
        <v>0</v>
      </c>
      <c r="Z33" s="306">
        <f t="shared" si="5"/>
        <v>0</v>
      </c>
      <c r="AA33" s="306">
        <f t="shared" si="6"/>
        <v>0</v>
      </c>
      <c r="AB33" s="306">
        <f t="shared" si="7"/>
        <v>0</v>
      </c>
      <c r="AD33" s="308">
        <v>15</v>
      </c>
      <c r="AE33" s="308">
        <f>G33*0.0351145038167939</f>
        <v>0</v>
      </c>
      <c r="AF33" s="308">
        <f>G33*(1-0.0351145038167939)</f>
        <v>0</v>
      </c>
      <c r="AM33" s="308">
        <f t="shared" si="8"/>
        <v>0</v>
      </c>
      <c r="AN33" s="308">
        <f t="shared" si="9"/>
        <v>0</v>
      </c>
      <c r="AO33" s="309" t="s">
        <v>629</v>
      </c>
      <c r="AP33" s="309" t="s">
        <v>630</v>
      </c>
      <c r="AQ33" s="299" t="s">
        <v>609</v>
      </c>
    </row>
    <row r="34" spans="1:37" ht="12.75">
      <c r="A34" s="310"/>
      <c r="B34" s="311"/>
      <c r="C34" s="311" t="s">
        <v>121</v>
      </c>
      <c r="D34" s="375" t="s">
        <v>122</v>
      </c>
      <c r="E34" s="376"/>
      <c r="F34" s="376"/>
      <c r="G34" s="376"/>
      <c r="H34" s="304">
        <f>SUM(H35:H44)</f>
        <v>0</v>
      </c>
      <c r="I34" s="304">
        <f>SUM(I35:I44)</f>
        <v>0</v>
      </c>
      <c r="J34" s="304">
        <f>H34+I34</f>
        <v>0</v>
      </c>
      <c r="K34" s="299"/>
      <c r="L34" s="304">
        <f>SUM(L35:L44)</f>
        <v>0.10341999999999998</v>
      </c>
      <c r="M34" s="299"/>
      <c r="P34" s="304">
        <f>IF(Q34="PR",J34,SUM(O35:O44))</f>
        <v>0</v>
      </c>
      <c r="Q34" s="299" t="s">
        <v>620</v>
      </c>
      <c r="R34" s="304">
        <f>IF(Q34="HS",H34,0)</f>
        <v>0</v>
      </c>
      <c r="S34" s="304">
        <f>IF(Q34="HS",I34-P34,0)</f>
        <v>0</v>
      </c>
      <c r="T34" s="304">
        <f>IF(Q34="PS",H34,0)</f>
        <v>0</v>
      </c>
      <c r="U34" s="304">
        <f>IF(Q34="PS",I34-P34,0)</f>
        <v>0</v>
      </c>
      <c r="V34" s="304">
        <f>IF(Q34="MP",H34,0)</f>
        <v>0</v>
      </c>
      <c r="W34" s="304">
        <f>IF(Q34="MP",I34-P34,0)</f>
        <v>0</v>
      </c>
      <c r="X34" s="304">
        <f>IF(Q34="OM",H34,0)</f>
        <v>0</v>
      </c>
      <c r="Y34" s="299"/>
      <c r="AI34" s="304">
        <f>SUM(Z35:Z44)</f>
        <v>0</v>
      </c>
      <c r="AJ34" s="304">
        <f>SUM(AA35:AA44)</f>
        <v>0</v>
      </c>
      <c r="AK34" s="304">
        <f>SUM(AB35:AB44)</f>
        <v>0</v>
      </c>
    </row>
    <row r="35" spans="1:43" ht="12.75">
      <c r="A35" s="305" t="s">
        <v>641</v>
      </c>
      <c r="B35" s="305"/>
      <c r="C35" s="305" t="s">
        <v>273</v>
      </c>
      <c r="D35" s="305" t="s">
        <v>123</v>
      </c>
      <c r="E35" s="305" t="s">
        <v>21</v>
      </c>
      <c r="F35" s="306">
        <v>12</v>
      </c>
      <c r="G35" s="306"/>
      <c r="H35" s="306">
        <f aca="true" t="shared" si="10" ref="H35:H44">ROUND(F35*AE35,2)</f>
        <v>0</v>
      </c>
      <c r="I35" s="306">
        <f aca="true" t="shared" si="11" ref="I35:I44">J35-H35</f>
        <v>0</v>
      </c>
      <c r="J35" s="306">
        <f aca="true" t="shared" si="12" ref="J35:J44">ROUND(F35*G35,2)</f>
        <v>0</v>
      </c>
      <c r="K35" s="306">
        <v>0.00398</v>
      </c>
      <c r="L35" s="306">
        <f aca="true" t="shared" si="13" ref="L35:L44">F35*K35</f>
        <v>0.04776</v>
      </c>
      <c r="M35" s="307" t="s">
        <v>606</v>
      </c>
      <c r="N35" s="307" t="s">
        <v>603</v>
      </c>
      <c r="O35" s="306">
        <f aca="true" t="shared" si="14" ref="O35:O44">IF(N35="5",I35,0)</f>
        <v>0</v>
      </c>
      <c r="Z35" s="306">
        <f aca="true" t="shared" si="15" ref="Z35:Z44">IF(AD35=0,J35,0)</f>
        <v>0</v>
      </c>
      <c r="AA35" s="306">
        <f aca="true" t="shared" si="16" ref="AA35:AA44">IF(AD35=15,J35,0)</f>
        <v>0</v>
      </c>
      <c r="AB35" s="306">
        <f aca="true" t="shared" si="17" ref="AB35:AB44">IF(AD35=21,J35,0)</f>
        <v>0</v>
      </c>
      <c r="AD35" s="308">
        <v>15</v>
      </c>
      <c r="AE35" s="308">
        <f>G35*0.233918918918919</f>
        <v>0</v>
      </c>
      <c r="AF35" s="308">
        <f>G35*(1-0.233918918918919)</f>
        <v>0</v>
      </c>
      <c r="AM35" s="308">
        <f aca="true" t="shared" si="18" ref="AM35:AM44">F35*AE35</f>
        <v>0</v>
      </c>
      <c r="AN35" s="308">
        <f aca="true" t="shared" si="19" ref="AN35:AN44">F35*AF35</f>
        <v>0</v>
      </c>
      <c r="AO35" s="309" t="s">
        <v>642</v>
      </c>
      <c r="AP35" s="309" t="s">
        <v>630</v>
      </c>
      <c r="AQ35" s="299" t="s">
        <v>609</v>
      </c>
    </row>
    <row r="36" spans="1:43" ht="12.75">
      <c r="A36" s="305" t="s">
        <v>643</v>
      </c>
      <c r="B36" s="305"/>
      <c r="C36" s="305" t="s">
        <v>274</v>
      </c>
      <c r="D36" s="305" t="s">
        <v>124</v>
      </c>
      <c r="E36" s="305" t="s">
        <v>21</v>
      </c>
      <c r="F36" s="306">
        <v>9</v>
      </c>
      <c r="G36" s="306"/>
      <c r="H36" s="306">
        <f t="shared" si="10"/>
        <v>0</v>
      </c>
      <c r="I36" s="306">
        <f t="shared" si="11"/>
        <v>0</v>
      </c>
      <c r="J36" s="306">
        <f t="shared" si="12"/>
        <v>0</v>
      </c>
      <c r="K36" s="306">
        <v>0.00401</v>
      </c>
      <c r="L36" s="306">
        <f t="shared" si="13"/>
        <v>0.03609</v>
      </c>
      <c r="M36" s="307" t="s">
        <v>606</v>
      </c>
      <c r="N36" s="307" t="s">
        <v>603</v>
      </c>
      <c r="O36" s="306">
        <f t="shared" si="14"/>
        <v>0</v>
      </c>
      <c r="Z36" s="306">
        <f t="shared" si="15"/>
        <v>0</v>
      </c>
      <c r="AA36" s="306">
        <f t="shared" si="16"/>
        <v>0</v>
      </c>
      <c r="AB36" s="306">
        <f t="shared" si="17"/>
        <v>0</v>
      </c>
      <c r="AD36" s="308">
        <v>15</v>
      </c>
      <c r="AE36" s="308">
        <f>G36*0.260379746835443</f>
        <v>0</v>
      </c>
      <c r="AF36" s="308">
        <f>G36*(1-0.260379746835443)</f>
        <v>0</v>
      </c>
      <c r="AM36" s="308">
        <f t="shared" si="18"/>
        <v>0</v>
      </c>
      <c r="AN36" s="308">
        <f t="shared" si="19"/>
        <v>0</v>
      </c>
      <c r="AO36" s="309" t="s">
        <v>642</v>
      </c>
      <c r="AP36" s="309" t="s">
        <v>630</v>
      </c>
      <c r="AQ36" s="299" t="s">
        <v>609</v>
      </c>
    </row>
    <row r="37" spans="1:43" ht="12.75">
      <c r="A37" s="305" t="s">
        <v>644</v>
      </c>
      <c r="B37" s="305"/>
      <c r="C37" s="305" t="s">
        <v>275</v>
      </c>
      <c r="D37" s="305" t="s">
        <v>125</v>
      </c>
      <c r="E37" s="305" t="s">
        <v>75</v>
      </c>
      <c r="F37" s="306">
        <v>1</v>
      </c>
      <c r="G37" s="306"/>
      <c r="H37" s="306">
        <f t="shared" si="10"/>
        <v>0</v>
      </c>
      <c r="I37" s="306">
        <f t="shared" si="11"/>
        <v>0</v>
      </c>
      <c r="J37" s="306">
        <f t="shared" si="12"/>
        <v>0</v>
      </c>
      <c r="K37" s="306">
        <v>0</v>
      </c>
      <c r="L37" s="306">
        <f t="shared" si="13"/>
        <v>0</v>
      </c>
      <c r="M37" s="307" t="s">
        <v>606</v>
      </c>
      <c r="N37" s="307" t="s">
        <v>603</v>
      </c>
      <c r="O37" s="306">
        <f t="shared" si="14"/>
        <v>0</v>
      </c>
      <c r="Z37" s="306">
        <f t="shared" si="15"/>
        <v>0</v>
      </c>
      <c r="AA37" s="306">
        <f t="shared" si="16"/>
        <v>0</v>
      </c>
      <c r="AB37" s="306">
        <f t="shared" si="17"/>
        <v>0</v>
      </c>
      <c r="AD37" s="308">
        <v>15</v>
      </c>
      <c r="AE37" s="308">
        <f>G37*0</f>
        <v>0</v>
      </c>
      <c r="AF37" s="308">
        <f>G37*(1-0)</f>
        <v>0</v>
      </c>
      <c r="AM37" s="308">
        <f t="shared" si="18"/>
        <v>0</v>
      </c>
      <c r="AN37" s="308">
        <f t="shared" si="19"/>
        <v>0</v>
      </c>
      <c r="AO37" s="309" t="s">
        <v>642</v>
      </c>
      <c r="AP37" s="309" t="s">
        <v>630</v>
      </c>
      <c r="AQ37" s="299" t="s">
        <v>609</v>
      </c>
    </row>
    <row r="38" spans="1:43" ht="12.75">
      <c r="A38" s="305" t="s">
        <v>645</v>
      </c>
      <c r="B38" s="305"/>
      <c r="C38" s="305" t="s">
        <v>276</v>
      </c>
      <c r="D38" s="305" t="s">
        <v>126</v>
      </c>
      <c r="E38" s="305" t="s">
        <v>75</v>
      </c>
      <c r="F38" s="306">
        <v>1</v>
      </c>
      <c r="G38" s="306"/>
      <c r="H38" s="306">
        <f t="shared" si="10"/>
        <v>0</v>
      </c>
      <c r="I38" s="306">
        <f t="shared" si="11"/>
        <v>0</v>
      </c>
      <c r="J38" s="306">
        <f t="shared" si="12"/>
        <v>0</v>
      </c>
      <c r="K38" s="306">
        <v>0</v>
      </c>
      <c r="L38" s="306">
        <f t="shared" si="13"/>
        <v>0</v>
      </c>
      <c r="M38" s="307" t="s">
        <v>606</v>
      </c>
      <c r="N38" s="307" t="s">
        <v>603</v>
      </c>
      <c r="O38" s="306">
        <f t="shared" si="14"/>
        <v>0</v>
      </c>
      <c r="Z38" s="306">
        <f t="shared" si="15"/>
        <v>0</v>
      </c>
      <c r="AA38" s="306">
        <f t="shared" si="16"/>
        <v>0</v>
      </c>
      <c r="AB38" s="306">
        <f t="shared" si="17"/>
        <v>0</v>
      </c>
      <c r="AD38" s="308">
        <v>15</v>
      </c>
      <c r="AE38" s="308">
        <f>G38*0</f>
        <v>0</v>
      </c>
      <c r="AF38" s="308">
        <f>G38*(1-0)</f>
        <v>0</v>
      </c>
      <c r="AM38" s="308">
        <f t="shared" si="18"/>
        <v>0</v>
      </c>
      <c r="AN38" s="308">
        <f t="shared" si="19"/>
        <v>0</v>
      </c>
      <c r="AO38" s="309" t="s">
        <v>642</v>
      </c>
      <c r="AP38" s="309" t="s">
        <v>630</v>
      </c>
      <c r="AQ38" s="299" t="s">
        <v>609</v>
      </c>
    </row>
    <row r="39" spans="1:43" ht="12.75">
      <c r="A39" s="305" t="s">
        <v>646</v>
      </c>
      <c r="B39" s="305"/>
      <c r="C39" s="305" t="s">
        <v>277</v>
      </c>
      <c r="D39" s="305" t="s">
        <v>647</v>
      </c>
      <c r="E39" s="305" t="s">
        <v>21</v>
      </c>
      <c r="F39" s="306">
        <v>21</v>
      </c>
      <c r="G39" s="306"/>
      <c r="H39" s="306">
        <f t="shared" si="10"/>
        <v>0</v>
      </c>
      <c r="I39" s="306">
        <f t="shared" si="11"/>
        <v>0</v>
      </c>
      <c r="J39" s="306">
        <f t="shared" si="12"/>
        <v>0</v>
      </c>
      <c r="K39" s="306">
        <v>4E-05</v>
      </c>
      <c r="L39" s="306">
        <f t="shared" si="13"/>
        <v>0.00084</v>
      </c>
      <c r="M39" s="307" t="s">
        <v>606</v>
      </c>
      <c r="N39" s="307" t="s">
        <v>603</v>
      </c>
      <c r="O39" s="306">
        <f t="shared" si="14"/>
        <v>0</v>
      </c>
      <c r="Z39" s="306">
        <f t="shared" si="15"/>
        <v>0</v>
      </c>
      <c r="AA39" s="306">
        <f t="shared" si="16"/>
        <v>0</v>
      </c>
      <c r="AB39" s="306">
        <f t="shared" si="17"/>
        <v>0</v>
      </c>
      <c r="AD39" s="308">
        <v>15</v>
      </c>
      <c r="AE39" s="308">
        <f>G39*0.432275132275132</f>
        <v>0</v>
      </c>
      <c r="AF39" s="308">
        <f>G39*(1-0.432275132275132)</f>
        <v>0</v>
      </c>
      <c r="AM39" s="308">
        <f t="shared" si="18"/>
        <v>0</v>
      </c>
      <c r="AN39" s="308">
        <f t="shared" si="19"/>
        <v>0</v>
      </c>
      <c r="AO39" s="309" t="s">
        <v>642</v>
      </c>
      <c r="AP39" s="309" t="s">
        <v>630</v>
      </c>
      <c r="AQ39" s="299" t="s">
        <v>609</v>
      </c>
    </row>
    <row r="40" spans="1:43" ht="12.75">
      <c r="A40" s="305" t="s">
        <v>648</v>
      </c>
      <c r="B40" s="305"/>
      <c r="C40" s="305" t="s">
        <v>278</v>
      </c>
      <c r="D40" s="305" t="s">
        <v>649</v>
      </c>
      <c r="E40" s="305" t="s">
        <v>75</v>
      </c>
      <c r="F40" s="306">
        <v>2</v>
      </c>
      <c r="G40" s="306"/>
      <c r="H40" s="306">
        <f t="shared" si="10"/>
        <v>0</v>
      </c>
      <c r="I40" s="306">
        <f t="shared" si="11"/>
        <v>0</v>
      </c>
      <c r="J40" s="306">
        <f t="shared" si="12"/>
        <v>0</v>
      </c>
      <c r="K40" s="306">
        <v>0.00704</v>
      </c>
      <c r="L40" s="306">
        <f t="shared" si="13"/>
        <v>0.01408</v>
      </c>
      <c r="M40" s="307" t="s">
        <v>606</v>
      </c>
      <c r="N40" s="307" t="s">
        <v>603</v>
      </c>
      <c r="O40" s="306">
        <f t="shared" si="14"/>
        <v>0</v>
      </c>
      <c r="Z40" s="306">
        <f t="shared" si="15"/>
        <v>0</v>
      </c>
      <c r="AA40" s="306">
        <f t="shared" si="16"/>
        <v>0</v>
      </c>
      <c r="AB40" s="306">
        <f t="shared" si="17"/>
        <v>0</v>
      </c>
      <c r="AD40" s="308">
        <v>15</v>
      </c>
      <c r="AE40" s="308">
        <f>G40*0.754390934844193</f>
        <v>0</v>
      </c>
      <c r="AF40" s="308">
        <f>G40*(1-0.754390934844193)</f>
        <v>0</v>
      </c>
      <c r="AM40" s="308">
        <f t="shared" si="18"/>
        <v>0</v>
      </c>
      <c r="AN40" s="308">
        <f t="shared" si="19"/>
        <v>0</v>
      </c>
      <c r="AO40" s="309" t="s">
        <v>642</v>
      </c>
      <c r="AP40" s="309" t="s">
        <v>630</v>
      </c>
      <c r="AQ40" s="299" t="s">
        <v>609</v>
      </c>
    </row>
    <row r="41" spans="1:43" ht="12.75">
      <c r="A41" s="305" t="s">
        <v>650</v>
      </c>
      <c r="B41" s="305"/>
      <c r="C41" s="305" t="s">
        <v>279</v>
      </c>
      <c r="D41" s="305" t="s">
        <v>129</v>
      </c>
      <c r="E41" s="305" t="s">
        <v>24</v>
      </c>
      <c r="F41" s="306">
        <v>6</v>
      </c>
      <c r="G41" s="306"/>
      <c r="H41" s="306">
        <f t="shared" si="10"/>
        <v>0</v>
      </c>
      <c r="I41" s="306">
        <f t="shared" si="11"/>
        <v>0</v>
      </c>
      <c r="J41" s="306">
        <f t="shared" si="12"/>
        <v>0</v>
      </c>
      <c r="K41" s="306">
        <v>0</v>
      </c>
      <c r="L41" s="306">
        <f t="shared" si="13"/>
        <v>0</v>
      </c>
      <c r="M41" s="307" t="s">
        <v>606</v>
      </c>
      <c r="N41" s="307" t="s">
        <v>603</v>
      </c>
      <c r="O41" s="306">
        <f t="shared" si="14"/>
        <v>0</v>
      </c>
      <c r="Z41" s="306">
        <f t="shared" si="15"/>
        <v>0</v>
      </c>
      <c r="AA41" s="306">
        <f t="shared" si="16"/>
        <v>0</v>
      </c>
      <c r="AB41" s="306">
        <f t="shared" si="17"/>
        <v>0</v>
      </c>
      <c r="AD41" s="308">
        <v>15</v>
      </c>
      <c r="AE41" s="308">
        <f>G41*0</f>
        <v>0</v>
      </c>
      <c r="AF41" s="308">
        <f>G41*(1-0)</f>
        <v>0</v>
      </c>
      <c r="AM41" s="308">
        <f t="shared" si="18"/>
        <v>0</v>
      </c>
      <c r="AN41" s="308">
        <f t="shared" si="19"/>
        <v>0</v>
      </c>
      <c r="AO41" s="309" t="s">
        <v>642</v>
      </c>
      <c r="AP41" s="309" t="s">
        <v>630</v>
      </c>
      <c r="AQ41" s="299" t="s">
        <v>609</v>
      </c>
    </row>
    <row r="42" spans="1:43" ht="12.75">
      <c r="A42" s="305" t="s">
        <v>651</v>
      </c>
      <c r="B42" s="305"/>
      <c r="C42" s="305" t="s">
        <v>280</v>
      </c>
      <c r="D42" s="305" t="s">
        <v>130</v>
      </c>
      <c r="E42" s="305" t="s">
        <v>21</v>
      </c>
      <c r="F42" s="306">
        <v>21</v>
      </c>
      <c r="G42" s="306"/>
      <c r="H42" s="306">
        <f t="shared" si="10"/>
        <v>0</v>
      </c>
      <c r="I42" s="306">
        <f t="shared" si="11"/>
        <v>0</v>
      </c>
      <c r="J42" s="306">
        <f t="shared" si="12"/>
        <v>0</v>
      </c>
      <c r="K42" s="306">
        <v>0</v>
      </c>
      <c r="L42" s="306">
        <f t="shared" si="13"/>
        <v>0</v>
      </c>
      <c r="M42" s="307" t="s">
        <v>606</v>
      </c>
      <c r="N42" s="307" t="s">
        <v>603</v>
      </c>
      <c r="O42" s="306">
        <f t="shared" si="14"/>
        <v>0</v>
      </c>
      <c r="Z42" s="306">
        <f t="shared" si="15"/>
        <v>0</v>
      </c>
      <c r="AA42" s="306">
        <f t="shared" si="16"/>
        <v>0</v>
      </c>
      <c r="AB42" s="306">
        <f t="shared" si="17"/>
        <v>0</v>
      </c>
      <c r="AD42" s="308">
        <v>15</v>
      </c>
      <c r="AE42" s="308">
        <f>G42*0.018974358974359</f>
        <v>0</v>
      </c>
      <c r="AF42" s="308">
        <f>G42*(1-0.018974358974359)</f>
        <v>0</v>
      </c>
      <c r="AM42" s="308">
        <f t="shared" si="18"/>
        <v>0</v>
      </c>
      <c r="AN42" s="308">
        <f t="shared" si="19"/>
        <v>0</v>
      </c>
      <c r="AO42" s="309" t="s">
        <v>642</v>
      </c>
      <c r="AP42" s="309" t="s">
        <v>630</v>
      </c>
      <c r="AQ42" s="299" t="s">
        <v>609</v>
      </c>
    </row>
    <row r="43" spans="1:43" ht="12.75">
      <c r="A43" s="305" t="s">
        <v>652</v>
      </c>
      <c r="B43" s="305"/>
      <c r="C43" s="305" t="s">
        <v>281</v>
      </c>
      <c r="D43" s="305" t="s">
        <v>131</v>
      </c>
      <c r="E43" s="305" t="s">
        <v>21</v>
      </c>
      <c r="F43" s="306">
        <v>21</v>
      </c>
      <c r="G43" s="306"/>
      <c r="H43" s="306">
        <f t="shared" si="10"/>
        <v>0</v>
      </c>
      <c r="I43" s="306">
        <f t="shared" si="11"/>
        <v>0</v>
      </c>
      <c r="J43" s="306">
        <f t="shared" si="12"/>
        <v>0</v>
      </c>
      <c r="K43" s="306">
        <v>1E-05</v>
      </c>
      <c r="L43" s="306">
        <f t="shared" si="13"/>
        <v>0.00021</v>
      </c>
      <c r="M43" s="307" t="s">
        <v>606</v>
      </c>
      <c r="N43" s="307" t="s">
        <v>603</v>
      </c>
      <c r="O43" s="306">
        <f t="shared" si="14"/>
        <v>0</v>
      </c>
      <c r="Z43" s="306">
        <f t="shared" si="15"/>
        <v>0</v>
      </c>
      <c r="AA43" s="306">
        <f t="shared" si="16"/>
        <v>0</v>
      </c>
      <c r="AB43" s="306">
        <f t="shared" si="17"/>
        <v>0</v>
      </c>
      <c r="AD43" s="308">
        <v>15</v>
      </c>
      <c r="AE43" s="308">
        <f>G43*0.0693548387096774</f>
        <v>0</v>
      </c>
      <c r="AF43" s="308">
        <f>G43*(1-0.0693548387096774)</f>
        <v>0</v>
      </c>
      <c r="AM43" s="308">
        <f t="shared" si="18"/>
        <v>0</v>
      </c>
      <c r="AN43" s="308">
        <f t="shared" si="19"/>
        <v>0</v>
      </c>
      <c r="AO43" s="309" t="s">
        <v>642</v>
      </c>
      <c r="AP43" s="309" t="s">
        <v>630</v>
      </c>
      <c r="AQ43" s="299" t="s">
        <v>609</v>
      </c>
    </row>
    <row r="44" spans="1:43" ht="12.75">
      <c r="A44" s="305" t="s">
        <v>653</v>
      </c>
      <c r="B44" s="305"/>
      <c r="C44" s="305" t="s">
        <v>282</v>
      </c>
      <c r="D44" s="305" t="s">
        <v>132</v>
      </c>
      <c r="E44" s="305" t="s">
        <v>24</v>
      </c>
      <c r="F44" s="306">
        <v>6</v>
      </c>
      <c r="G44" s="306"/>
      <c r="H44" s="306">
        <f t="shared" si="10"/>
        <v>0</v>
      </c>
      <c r="I44" s="306">
        <f t="shared" si="11"/>
        <v>0</v>
      </c>
      <c r="J44" s="306">
        <f t="shared" si="12"/>
        <v>0</v>
      </c>
      <c r="K44" s="306">
        <v>0.00074</v>
      </c>
      <c r="L44" s="306">
        <f t="shared" si="13"/>
        <v>0.0044399999999999995</v>
      </c>
      <c r="M44" s="307" t="s">
        <v>606</v>
      </c>
      <c r="N44" s="307" t="s">
        <v>603</v>
      </c>
      <c r="O44" s="306">
        <f t="shared" si="14"/>
        <v>0</v>
      </c>
      <c r="Z44" s="306">
        <f t="shared" si="15"/>
        <v>0</v>
      </c>
      <c r="AA44" s="306">
        <f t="shared" si="16"/>
        <v>0</v>
      </c>
      <c r="AB44" s="306">
        <f t="shared" si="17"/>
        <v>0</v>
      </c>
      <c r="AD44" s="308">
        <v>15</v>
      </c>
      <c r="AE44" s="308">
        <f>G44*0.516606060606061</f>
        <v>0</v>
      </c>
      <c r="AF44" s="308">
        <f>G44*(1-0.516606060606061)</f>
        <v>0</v>
      </c>
      <c r="AM44" s="308">
        <f t="shared" si="18"/>
        <v>0</v>
      </c>
      <c r="AN44" s="308">
        <f t="shared" si="19"/>
        <v>0</v>
      </c>
      <c r="AO44" s="309" t="s">
        <v>642</v>
      </c>
      <c r="AP44" s="309" t="s">
        <v>630</v>
      </c>
      <c r="AQ44" s="299" t="s">
        <v>609</v>
      </c>
    </row>
    <row r="45" spans="1:37" ht="12.75">
      <c r="A45" s="310"/>
      <c r="B45" s="311"/>
      <c r="C45" s="311" t="s">
        <v>134</v>
      </c>
      <c r="D45" s="375" t="s">
        <v>135</v>
      </c>
      <c r="E45" s="376"/>
      <c r="F45" s="376"/>
      <c r="G45" s="376"/>
      <c r="H45" s="304">
        <f>SUM(H46:H56)</f>
        <v>0</v>
      </c>
      <c r="I45" s="304">
        <f>SUM(I46:I56)</f>
        <v>0</v>
      </c>
      <c r="J45" s="304">
        <f>H45+I45</f>
        <v>0</v>
      </c>
      <c r="K45" s="299"/>
      <c r="L45" s="304">
        <f>SUM(L46:L56)</f>
        <v>0.15298</v>
      </c>
      <c r="M45" s="299"/>
      <c r="P45" s="304">
        <f>IF(Q45="PR",J45,SUM(O46:O56))</f>
        <v>0</v>
      </c>
      <c r="Q45" s="299" t="s">
        <v>620</v>
      </c>
      <c r="R45" s="304">
        <f>IF(Q45="HS",H45,0)</f>
        <v>0</v>
      </c>
      <c r="S45" s="304">
        <f>IF(Q45="HS",I45-P45,0)</f>
        <v>0</v>
      </c>
      <c r="T45" s="304">
        <f>IF(Q45="PS",H45,0)</f>
        <v>0</v>
      </c>
      <c r="U45" s="304">
        <f>IF(Q45="PS",I45-P45,0)</f>
        <v>0</v>
      </c>
      <c r="V45" s="304">
        <f>IF(Q45="MP",H45,0)</f>
        <v>0</v>
      </c>
      <c r="W45" s="304">
        <f>IF(Q45="MP",I45-P45,0)</f>
        <v>0</v>
      </c>
      <c r="X45" s="304">
        <f>IF(Q45="OM",H45,0)</f>
        <v>0</v>
      </c>
      <c r="Y45" s="299"/>
      <c r="AI45" s="304">
        <f>SUM(Z46:Z56)</f>
        <v>0</v>
      </c>
      <c r="AJ45" s="304">
        <f>SUM(AA46:AA56)</f>
        <v>0</v>
      </c>
      <c r="AK45" s="304">
        <f>SUM(AB46:AB56)</f>
        <v>0</v>
      </c>
    </row>
    <row r="46" spans="1:43" ht="12.75">
      <c r="A46" s="305" t="s">
        <v>654</v>
      </c>
      <c r="B46" s="305"/>
      <c r="C46" s="305" t="s">
        <v>241</v>
      </c>
      <c r="D46" s="305" t="s">
        <v>77</v>
      </c>
      <c r="E46" s="305" t="s">
        <v>75</v>
      </c>
      <c r="F46" s="306">
        <v>2</v>
      </c>
      <c r="G46" s="306"/>
      <c r="H46" s="306">
        <f aca="true" t="shared" si="20" ref="H46:H56">ROUND(F46*AE46,2)</f>
        <v>0</v>
      </c>
      <c r="I46" s="306">
        <f aca="true" t="shared" si="21" ref="I46:I56">J46-H46</f>
        <v>0</v>
      </c>
      <c r="J46" s="306">
        <f aca="true" t="shared" si="22" ref="J46:J56">ROUND(F46*G46,2)</f>
        <v>0</v>
      </c>
      <c r="K46" s="306">
        <v>0.01946</v>
      </c>
      <c r="L46" s="306">
        <f aca="true" t="shared" si="23" ref="L46:L56">F46*K46</f>
        <v>0.03892</v>
      </c>
      <c r="M46" s="307" t="s">
        <v>606</v>
      </c>
      <c r="N46" s="307" t="s">
        <v>603</v>
      </c>
      <c r="O46" s="306">
        <f aca="true" t="shared" si="24" ref="O46:O56">IF(N46="5",I46,0)</f>
        <v>0</v>
      </c>
      <c r="Z46" s="306">
        <f aca="true" t="shared" si="25" ref="Z46:Z56">IF(AD46=0,J46,0)</f>
        <v>0</v>
      </c>
      <c r="AA46" s="306">
        <f aca="true" t="shared" si="26" ref="AA46:AA56">IF(AD46=15,J46,0)</f>
        <v>0</v>
      </c>
      <c r="AB46" s="306">
        <f aca="true" t="shared" si="27" ref="AB46:AB56">IF(AD46=21,J46,0)</f>
        <v>0</v>
      </c>
      <c r="AD46" s="308">
        <v>15</v>
      </c>
      <c r="AE46" s="308">
        <f>G46*0</f>
        <v>0</v>
      </c>
      <c r="AF46" s="308">
        <f>G46*(1-0)</f>
        <v>0</v>
      </c>
      <c r="AM46" s="308">
        <f aca="true" t="shared" si="28" ref="AM46:AM56">F46*AE46</f>
        <v>0</v>
      </c>
      <c r="AN46" s="308">
        <f aca="true" t="shared" si="29" ref="AN46:AN56">F46*AF46</f>
        <v>0</v>
      </c>
      <c r="AO46" s="309" t="s">
        <v>655</v>
      </c>
      <c r="AP46" s="309" t="s">
        <v>630</v>
      </c>
      <c r="AQ46" s="299" t="s">
        <v>609</v>
      </c>
    </row>
    <row r="47" spans="1:43" ht="12.75">
      <c r="A47" s="305" t="s">
        <v>656</v>
      </c>
      <c r="B47" s="305"/>
      <c r="C47" s="305" t="s">
        <v>242</v>
      </c>
      <c r="D47" s="305" t="s">
        <v>78</v>
      </c>
      <c r="E47" s="305" t="s">
        <v>75</v>
      </c>
      <c r="F47" s="306">
        <v>2</v>
      </c>
      <c r="G47" s="306"/>
      <c r="H47" s="306">
        <f t="shared" si="20"/>
        <v>0</v>
      </c>
      <c r="I47" s="306">
        <f t="shared" si="21"/>
        <v>0</v>
      </c>
      <c r="J47" s="306">
        <f t="shared" si="22"/>
        <v>0</v>
      </c>
      <c r="K47" s="306">
        <v>0.00156</v>
      </c>
      <c r="L47" s="306">
        <f t="shared" si="23"/>
        <v>0.00312</v>
      </c>
      <c r="M47" s="307" t="s">
        <v>606</v>
      </c>
      <c r="N47" s="307" t="s">
        <v>603</v>
      </c>
      <c r="O47" s="306">
        <f t="shared" si="24"/>
        <v>0</v>
      </c>
      <c r="Z47" s="306">
        <f t="shared" si="25"/>
        <v>0</v>
      </c>
      <c r="AA47" s="306">
        <f t="shared" si="26"/>
        <v>0</v>
      </c>
      <c r="AB47" s="306">
        <f t="shared" si="27"/>
        <v>0</v>
      </c>
      <c r="AD47" s="308">
        <v>15</v>
      </c>
      <c r="AE47" s="308">
        <f>G47*0</f>
        <v>0</v>
      </c>
      <c r="AF47" s="308">
        <f>G47*(1-0)</f>
        <v>0</v>
      </c>
      <c r="AM47" s="308">
        <f t="shared" si="28"/>
        <v>0</v>
      </c>
      <c r="AN47" s="308">
        <f t="shared" si="29"/>
        <v>0</v>
      </c>
      <c r="AO47" s="309" t="s">
        <v>655</v>
      </c>
      <c r="AP47" s="309" t="s">
        <v>630</v>
      </c>
      <c r="AQ47" s="299" t="s">
        <v>609</v>
      </c>
    </row>
    <row r="48" spans="1:43" ht="12.75">
      <c r="A48" s="305" t="s">
        <v>657</v>
      </c>
      <c r="B48" s="305"/>
      <c r="C48" s="305" t="s">
        <v>243</v>
      </c>
      <c r="D48" s="305" t="s">
        <v>79</v>
      </c>
      <c r="E48" s="305" t="s">
        <v>24</v>
      </c>
      <c r="F48" s="306">
        <v>2</v>
      </c>
      <c r="G48" s="306"/>
      <c r="H48" s="306">
        <f t="shared" si="20"/>
        <v>0</v>
      </c>
      <c r="I48" s="306">
        <f t="shared" si="21"/>
        <v>0</v>
      </c>
      <c r="J48" s="306">
        <f t="shared" si="22"/>
        <v>0</v>
      </c>
      <c r="K48" s="306">
        <v>0.00085</v>
      </c>
      <c r="L48" s="306">
        <f t="shared" si="23"/>
        <v>0.0017</v>
      </c>
      <c r="M48" s="307" t="s">
        <v>606</v>
      </c>
      <c r="N48" s="307" t="s">
        <v>603</v>
      </c>
      <c r="O48" s="306">
        <f t="shared" si="24"/>
        <v>0</v>
      </c>
      <c r="Z48" s="306">
        <f t="shared" si="25"/>
        <v>0</v>
      </c>
      <c r="AA48" s="306">
        <f t="shared" si="26"/>
        <v>0</v>
      </c>
      <c r="AB48" s="306">
        <f t="shared" si="27"/>
        <v>0</v>
      </c>
      <c r="AD48" s="308">
        <v>15</v>
      </c>
      <c r="AE48" s="308">
        <f>G48*0</f>
        <v>0</v>
      </c>
      <c r="AF48" s="308">
        <f>G48*(1-0)</f>
        <v>0</v>
      </c>
      <c r="AM48" s="308">
        <f t="shared" si="28"/>
        <v>0</v>
      </c>
      <c r="AN48" s="308">
        <f t="shared" si="29"/>
        <v>0</v>
      </c>
      <c r="AO48" s="309" t="s">
        <v>655</v>
      </c>
      <c r="AP48" s="309" t="s">
        <v>630</v>
      </c>
      <c r="AQ48" s="299" t="s">
        <v>609</v>
      </c>
    </row>
    <row r="49" spans="1:43" ht="12.75">
      <c r="A49" s="305" t="s">
        <v>658</v>
      </c>
      <c r="B49" s="305"/>
      <c r="C49" s="305" t="s">
        <v>244</v>
      </c>
      <c r="D49" s="305" t="s">
        <v>80</v>
      </c>
      <c r="E49" s="305" t="s">
        <v>24</v>
      </c>
      <c r="F49" s="306">
        <v>2</v>
      </c>
      <c r="G49" s="306"/>
      <c r="H49" s="306">
        <f t="shared" si="20"/>
        <v>0</v>
      </c>
      <c r="I49" s="306">
        <f t="shared" si="21"/>
        <v>0</v>
      </c>
      <c r="J49" s="306">
        <f t="shared" si="22"/>
        <v>0</v>
      </c>
      <c r="K49" s="306">
        <v>0.00049</v>
      </c>
      <c r="L49" s="306">
        <f t="shared" si="23"/>
        <v>0.00098</v>
      </c>
      <c r="M49" s="307" t="s">
        <v>606</v>
      </c>
      <c r="N49" s="307" t="s">
        <v>603</v>
      </c>
      <c r="O49" s="306">
        <f t="shared" si="24"/>
        <v>0</v>
      </c>
      <c r="Z49" s="306">
        <f t="shared" si="25"/>
        <v>0</v>
      </c>
      <c r="AA49" s="306">
        <f t="shared" si="26"/>
        <v>0</v>
      </c>
      <c r="AB49" s="306">
        <f t="shared" si="27"/>
        <v>0</v>
      </c>
      <c r="AD49" s="308">
        <v>15</v>
      </c>
      <c r="AE49" s="308">
        <f>G49*0</f>
        <v>0</v>
      </c>
      <c r="AF49" s="308">
        <f>G49*(1-0)</f>
        <v>0</v>
      </c>
      <c r="AM49" s="308">
        <f t="shared" si="28"/>
        <v>0</v>
      </c>
      <c r="AN49" s="308">
        <f t="shared" si="29"/>
        <v>0</v>
      </c>
      <c r="AO49" s="309" t="s">
        <v>655</v>
      </c>
      <c r="AP49" s="309" t="s">
        <v>630</v>
      </c>
      <c r="AQ49" s="299" t="s">
        <v>609</v>
      </c>
    </row>
    <row r="50" spans="1:43" ht="12.75">
      <c r="A50" s="305" t="s">
        <v>659</v>
      </c>
      <c r="B50" s="305"/>
      <c r="C50" s="305" t="s">
        <v>239</v>
      </c>
      <c r="D50" s="305" t="s">
        <v>74</v>
      </c>
      <c r="E50" s="305" t="s">
        <v>75</v>
      </c>
      <c r="F50" s="306">
        <v>2</v>
      </c>
      <c r="G50" s="306"/>
      <c r="H50" s="306">
        <f t="shared" si="20"/>
        <v>0</v>
      </c>
      <c r="I50" s="306">
        <f t="shared" si="21"/>
        <v>0</v>
      </c>
      <c r="J50" s="306">
        <f t="shared" si="22"/>
        <v>0</v>
      </c>
      <c r="K50" s="306">
        <v>0.0342</v>
      </c>
      <c r="L50" s="306">
        <f t="shared" si="23"/>
        <v>0.0684</v>
      </c>
      <c r="M50" s="307" t="s">
        <v>606</v>
      </c>
      <c r="N50" s="307" t="s">
        <v>603</v>
      </c>
      <c r="O50" s="306">
        <f t="shared" si="24"/>
        <v>0</v>
      </c>
      <c r="Z50" s="306">
        <f t="shared" si="25"/>
        <v>0</v>
      </c>
      <c r="AA50" s="306">
        <f t="shared" si="26"/>
        <v>0</v>
      </c>
      <c r="AB50" s="306">
        <f t="shared" si="27"/>
        <v>0</v>
      </c>
      <c r="AD50" s="308">
        <v>15</v>
      </c>
      <c r="AE50" s="308">
        <f>G50*0</f>
        <v>0</v>
      </c>
      <c r="AF50" s="308">
        <f>G50*(1-0)</f>
        <v>0</v>
      </c>
      <c r="AM50" s="308">
        <f t="shared" si="28"/>
        <v>0</v>
      </c>
      <c r="AN50" s="308">
        <f t="shared" si="29"/>
        <v>0</v>
      </c>
      <c r="AO50" s="309" t="s">
        <v>655</v>
      </c>
      <c r="AP50" s="309" t="s">
        <v>630</v>
      </c>
      <c r="AQ50" s="299" t="s">
        <v>609</v>
      </c>
    </row>
    <row r="51" spans="1:43" ht="12.75">
      <c r="A51" s="305" t="s">
        <v>660</v>
      </c>
      <c r="B51" s="305"/>
      <c r="C51" s="305" t="s">
        <v>284</v>
      </c>
      <c r="D51" s="305" t="s">
        <v>136</v>
      </c>
      <c r="E51" s="305" t="s">
        <v>75</v>
      </c>
      <c r="F51" s="306">
        <v>2</v>
      </c>
      <c r="G51" s="306"/>
      <c r="H51" s="306">
        <f t="shared" si="20"/>
        <v>0</v>
      </c>
      <c r="I51" s="306">
        <f t="shared" si="21"/>
        <v>0</v>
      </c>
      <c r="J51" s="306">
        <f t="shared" si="22"/>
        <v>0</v>
      </c>
      <c r="K51" s="306">
        <v>0.00141</v>
      </c>
      <c r="L51" s="306">
        <f t="shared" si="23"/>
        <v>0.00282</v>
      </c>
      <c r="M51" s="307" t="s">
        <v>606</v>
      </c>
      <c r="N51" s="307" t="s">
        <v>603</v>
      </c>
      <c r="O51" s="306">
        <f t="shared" si="24"/>
        <v>0</v>
      </c>
      <c r="Z51" s="306">
        <f t="shared" si="25"/>
        <v>0</v>
      </c>
      <c r="AA51" s="306">
        <f t="shared" si="26"/>
        <v>0</v>
      </c>
      <c r="AB51" s="306">
        <f t="shared" si="27"/>
        <v>0</v>
      </c>
      <c r="AD51" s="308">
        <v>15</v>
      </c>
      <c r="AE51" s="308">
        <f>G51*0.141625916870416</f>
        <v>0</v>
      </c>
      <c r="AF51" s="308">
        <f>G51*(1-0.141625916870416)</f>
        <v>0</v>
      </c>
      <c r="AM51" s="308">
        <f t="shared" si="28"/>
        <v>0</v>
      </c>
      <c r="AN51" s="308">
        <f t="shared" si="29"/>
        <v>0</v>
      </c>
      <c r="AO51" s="309" t="s">
        <v>655</v>
      </c>
      <c r="AP51" s="309" t="s">
        <v>630</v>
      </c>
      <c r="AQ51" s="299" t="s">
        <v>609</v>
      </c>
    </row>
    <row r="52" spans="1:43" ht="12.75">
      <c r="A52" s="305" t="s">
        <v>661</v>
      </c>
      <c r="B52" s="305"/>
      <c r="C52" s="305" t="s">
        <v>662</v>
      </c>
      <c r="D52" s="305" t="s">
        <v>663</v>
      </c>
      <c r="E52" s="305" t="s">
        <v>75</v>
      </c>
      <c r="F52" s="306">
        <v>2</v>
      </c>
      <c r="G52" s="306"/>
      <c r="H52" s="306">
        <f t="shared" si="20"/>
        <v>0</v>
      </c>
      <c r="I52" s="306">
        <f t="shared" si="21"/>
        <v>0</v>
      </c>
      <c r="J52" s="306">
        <f t="shared" si="22"/>
        <v>0</v>
      </c>
      <c r="K52" s="306">
        <v>0</v>
      </c>
      <c r="L52" s="306">
        <f t="shared" si="23"/>
        <v>0</v>
      </c>
      <c r="M52" s="307" t="s">
        <v>606</v>
      </c>
      <c r="N52" s="307" t="s">
        <v>603</v>
      </c>
      <c r="O52" s="306">
        <f t="shared" si="24"/>
        <v>0</v>
      </c>
      <c r="Z52" s="306">
        <f t="shared" si="25"/>
        <v>0</v>
      </c>
      <c r="AA52" s="306">
        <f t="shared" si="26"/>
        <v>0</v>
      </c>
      <c r="AB52" s="306">
        <f t="shared" si="27"/>
        <v>0</v>
      </c>
      <c r="AD52" s="308">
        <v>15</v>
      </c>
      <c r="AE52" s="308">
        <f>G52*0</f>
        <v>0</v>
      </c>
      <c r="AF52" s="308">
        <f>G52*(1-0)</f>
        <v>0</v>
      </c>
      <c r="AM52" s="308">
        <f t="shared" si="28"/>
        <v>0</v>
      </c>
      <c r="AN52" s="308">
        <f t="shared" si="29"/>
        <v>0</v>
      </c>
      <c r="AO52" s="309" t="s">
        <v>655</v>
      </c>
      <c r="AP52" s="309" t="s">
        <v>630</v>
      </c>
      <c r="AQ52" s="299" t="s">
        <v>609</v>
      </c>
    </row>
    <row r="53" spans="1:43" ht="12.75">
      <c r="A53" s="305" t="s">
        <v>664</v>
      </c>
      <c r="B53" s="305"/>
      <c r="C53" s="305" t="s">
        <v>665</v>
      </c>
      <c r="D53" s="305" t="s">
        <v>666</v>
      </c>
      <c r="E53" s="305" t="s">
        <v>75</v>
      </c>
      <c r="F53" s="306">
        <v>2</v>
      </c>
      <c r="G53" s="306"/>
      <c r="H53" s="306">
        <f t="shared" si="20"/>
        <v>0</v>
      </c>
      <c r="I53" s="306">
        <f t="shared" si="21"/>
        <v>0</v>
      </c>
      <c r="J53" s="306">
        <f t="shared" si="22"/>
        <v>0</v>
      </c>
      <c r="K53" s="306">
        <v>0.00089</v>
      </c>
      <c r="L53" s="306">
        <f t="shared" si="23"/>
        <v>0.00178</v>
      </c>
      <c r="M53" s="307" t="s">
        <v>606</v>
      </c>
      <c r="N53" s="307" t="s">
        <v>603</v>
      </c>
      <c r="O53" s="306">
        <f t="shared" si="24"/>
        <v>0</v>
      </c>
      <c r="Z53" s="306">
        <f t="shared" si="25"/>
        <v>0</v>
      </c>
      <c r="AA53" s="306">
        <f t="shared" si="26"/>
        <v>0</v>
      </c>
      <c r="AB53" s="306">
        <f t="shared" si="27"/>
        <v>0</v>
      </c>
      <c r="AD53" s="308">
        <v>15</v>
      </c>
      <c r="AE53" s="308">
        <f>G53*0.259168421052632</f>
        <v>0</v>
      </c>
      <c r="AF53" s="308">
        <f>G53*(1-0.259168421052632)</f>
        <v>0</v>
      </c>
      <c r="AM53" s="308">
        <f t="shared" si="28"/>
        <v>0</v>
      </c>
      <c r="AN53" s="308">
        <f t="shared" si="29"/>
        <v>0</v>
      </c>
      <c r="AO53" s="309" t="s">
        <v>655</v>
      </c>
      <c r="AP53" s="309" t="s">
        <v>630</v>
      </c>
      <c r="AQ53" s="299" t="s">
        <v>609</v>
      </c>
    </row>
    <row r="54" spans="1:43" ht="12.75">
      <c r="A54" s="305" t="s">
        <v>667</v>
      </c>
      <c r="B54" s="305"/>
      <c r="C54" s="305" t="s">
        <v>668</v>
      </c>
      <c r="D54" s="305" t="s">
        <v>669</v>
      </c>
      <c r="E54" s="305" t="s">
        <v>75</v>
      </c>
      <c r="F54" s="306">
        <v>2</v>
      </c>
      <c r="G54" s="306"/>
      <c r="H54" s="306">
        <f t="shared" si="20"/>
        <v>0</v>
      </c>
      <c r="I54" s="306">
        <f t="shared" si="21"/>
        <v>0</v>
      </c>
      <c r="J54" s="306">
        <f t="shared" si="22"/>
        <v>0</v>
      </c>
      <c r="K54" s="306">
        <v>0.01759</v>
      </c>
      <c r="L54" s="306">
        <f t="shared" si="23"/>
        <v>0.03518</v>
      </c>
      <c r="M54" s="307" t="s">
        <v>606</v>
      </c>
      <c r="N54" s="307" t="s">
        <v>603</v>
      </c>
      <c r="O54" s="306">
        <f t="shared" si="24"/>
        <v>0</v>
      </c>
      <c r="Z54" s="306">
        <f t="shared" si="25"/>
        <v>0</v>
      </c>
      <c r="AA54" s="306">
        <f t="shared" si="26"/>
        <v>0</v>
      </c>
      <c r="AB54" s="306">
        <f t="shared" si="27"/>
        <v>0</v>
      </c>
      <c r="AD54" s="308">
        <v>15</v>
      </c>
      <c r="AE54" s="308">
        <f>G54*0.928529453920023</f>
        <v>0</v>
      </c>
      <c r="AF54" s="308">
        <f>G54*(1-0.928529453920023)</f>
        <v>0</v>
      </c>
      <c r="AM54" s="308">
        <f t="shared" si="28"/>
        <v>0</v>
      </c>
      <c r="AN54" s="308">
        <f t="shared" si="29"/>
        <v>0</v>
      </c>
      <c r="AO54" s="309" t="s">
        <v>655</v>
      </c>
      <c r="AP54" s="309" t="s">
        <v>630</v>
      </c>
      <c r="AQ54" s="299" t="s">
        <v>609</v>
      </c>
    </row>
    <row r="55" spans="1:43" ht="12.75">
      <c r="A55" s="305" t="s">
        <v>670</v>
      </c>
      <c r="B55" s="305"/>
      <c r="C55" s="305" t="s">
        <v>288</v>
      </c>
      <c r="D55" s="305" t="s">
        <v>140</v>
      </c>
      <c r="E55" s="305" t="s">
        <v>24</v>
      </c>
      <c r="F55" s="306">
        <v>2</v>
      </c>
      <c r="G55" s="306"/>
      <c r="H55" s="306">
        <f t="shared" si="20"/>
        <v>0</v>
      </c>
      <c r="I55" s="306">
        <f t="shared" si="21"/>
        <v>0</v>
      </c>
      <c r="J55" s="306">
        <f t="shared" si="22"/>
        <v>0</v>
      </c>
      <c r="K55" s="306">
        <v>4E-05</v>
      </c>
      <c r="L55" s="306">
        <f t="shared" si="23"/>
        <v>8E-05</v>
      </c>
      <c r="M55" s="307" t="s">
        <v>606</v>
      </c>
      <c r="N55" s="307" t="s">
        <v>603</v>
      </c>
      <c r="O55" s="306">
        <f t="shared" si="24"/>
        <v>0</v>
      </c>
      <c r="Z55" s="306">
        <f t="shared" si="25"/>
        <v>0</v>
      </c>
      <c r="AA55" s="306">
        <f t="shared" si="26"/>
        <v>0</v>
      </c>
      <c r="AB55" s="306">
        <f t="shared" si="27"/>
        <v>0</v>
      </c>
      <c r="AD55" s="308">
        <v>15</v>
      </c>
      <c r="AE55" s="308">
        <f>G55*0.0412203389830509</f>
        <v>0</v>
      </c>
      <c r="AF55" s="308">
        <f>G55*(1-0.0412203389830509)</f>
        <v>0</v>
      </c>
      <c r="AM55" s="308">
        <f t="shared" si="28"/>
        <v>0</v>
      </c>
      <c r="AN55" s="308">
        <f t="shared" si="29"/>
        <v>0</v>
      </c>
      <c r="AO55" s="309" t="s">
        <v>655</v>
      </c>
      <c r="AP55" s="309" t="s">
        <v>630</v>
      </c>
      <c r="AQ55" s="299" t="s">
        <v>609</v>
      </c>
    </row>
    <row r="56" spans="1:43" ht="12.75">
      <c r="A56" s="305" t="s">
        <v>671</v>
      </c>
      <c r="B56" s="305"/>
      <c r="C56" s="305" t="s">
        <v>291</v>
      </c>
      <c r="D56" s="305" t="s">
        <v>672</v>
      </c>
      <c r="E56" s="305" t="s">
        <v>24</v>
      </c>
      <c r="F56" s="306">
        <v>2</v>
      </c>
      <c r="G56" s="306"/>
      <c r="H56" s="306">
        <f t="shared" si="20"/>
        <v>0</v>
      </c>
      <c r="I56" s="306">
        <f t="shared" si="21"/>
        <v>0</v>
      </c>
      <c r="J56" s="306">
        <f t="shared" si="22"/>
        <v>0</v>
      </c>
      <c r="K56" s="306">
        <v>0</v>
      </c>
      <c r="L56" s="306">
        <f t="shared" si="23"/>
        <v>0</v>
      </c>
      <c r="M56" s="307" t="s">
        <v>606</v>
      </c>
      <c r="N56" s="307" t="s">
        <v>603</v>
      </c>
      <c r="O56" s="306">
        <f t="shared" si="24"/>
        <v>0</v>
      </c>
      <c r="Z56" s="306">
        <f t="shared" si="25"/>
        <v>0</v>
      </c>
      <c r="AA56" s="306">
        <f t="shared" si="26"/>
        <v>0</v>
      </c>
      <c r="AB56" s="306">
        <f t="shared" si="27"/>
        <v>0</v>
      </c>
      <c r="AD56" s="308">
        <v>15</v>
      </c>
      <c r="AE56" s="308">
        <f>G56*0.901486988847584</f>
        <v>0</v>
      </c>
      <c r="AF56" s="308">
        <f>G56*(1-0.901486988847584)</f>
        <v>0</v>
      </c>
      <c r="AM56" s="308">
        <f t="shared" si="28"/>
        <v>0</v>
      </c>
      <c r="AN56" s="308">
        <f t="shared" si="29"/>
        <v>0</v>
      </c>
      <c r="AO56" s="309" t="s">
        <v>655</v>
      </c>
      <c r="AP56" s="309" t="s">
        <v>630</v>
      </c>
      <c r="AQ56" s="299" t="s">
        <v>609</v>
      </c>
    </row>
    <row r="57" spans="1:37" ht="12.75">
      <c r="A57" s="310"/>
      <c r="B57" s="311"/>
      <c r="C57" s="311" t="s">
        <v>166</v>
      </c>
      <c r="D57" s="375" t="s">
        <v>673</v>
      </c>
      <c r="E57" s="376"/>
      <c r="F57" s="376"/>
      <c r="G57" s="376"/>
      <c r="H57" s="304">
        <f>SUM(H58:H63)</f>
        <v>0</v>
      </c>
      <c r="I57" s="304">
        <f>SUM(I58:I63)</f>
        <v>0</v>
      </c>
      <c r="J57" s="304">
        <f>H57+I57</f>
        <v>0</v>
      </c>
      <c r="K57" s="299"/>
      <c r="L57" s="304">
        <f>SUM(L58:L63)</f>
        <v>0.08327319999999999</v>
      </c>
      <c r="M57" s="299"/>
      <c r="P57" s="304">
        <f>IF(Q57="PR",J57,SUM(O58:O63))</f>
        <v>0</v>
      </c>
      <c r="Q57" s="299" t="s">
        <v>620</v>
      </c>
      <c r="R57" s="304">
        <f>IF(Q57="HS",H57,0)</f>
        <v>0</v>
      </c>
      <c r="S57" s="304">
        <f>IF(Q57="HS",I57-P57,0)</f>
        <v>0</v>
      </c>
      <c r="T57" s="304">
        <f>IF(Q57="PS",H57,0)</f>
        <v>0</v>
      </c>
      <c r="U57" s="304">
        <f>IF(Q57="PS",I57-P57,0)</f>
        <v>0</v>
      </c>
      <c r="V57" s="304">
        <f>IF(Q57="MP",H57,0)</f>
        <v>0</v>
      </c>
      <c r="W57" s="304">
        <f>IF(Q57="MP",I57-P57,0)</f>
        <v>0</v>
      </c>
      <c r="X57" s="304">
        <f>IF(Q57="OM",H57,0)</f>
        <v>0</v>
      </c>
      <c r="Y57" s="299"/>
      <c r="AI57" s="304">
        <f>SUM(Z58:Z63)</f>
        <v>0</v>
      </c>
      <c r="AJ57" s="304">
        <f>SUM(AA58:AA63)</f>
        <v>0</v>
      </c>
      <c r="AK57" s="304">
        <f>SUM(AB58:AB63)</f>
        <v>0</v>
      </c>
    </row>
    <row r="58" spans="1:43" ht="12.75">
      <c r="A58" s="305" t="s">
        <v>674</v>
      </c>
      <c r="B58" s="305"/>
      <c r="C58" s="305" t="s">
        <v>322</v>
      </c>
      <c r="D58" s="305" t="s">
        <v>185</v>
      </c>
      <c r="E58" s="305" t="s">
        <v>21</v>
      </c>
      <c r="F58" s="306">
        <v>93.6</v>
      </c>
      <c r="G58" s="306"/>
      <c r="H58" s="306">
        <f aca="true" t="shared" si="30" ref="H58:H63">ROUND(F58*AE58,2)</f>
        <v>0</v>
      </c>
      <c r="I58" s="306">
        <f aca="true" t="shared" si="31" ref="I58:I63">J58-H58</f>
        <v>0</v>
      </c>
      <c r="J58" s="306">
        <f aca="true" t="shared" si="32" ref="J58:J63">ROUND(F58*G58,2)</f>
        <v>0</v>
      </c>
      <c r="K58" s="306">
        <v>4E-05</v>
      </c>
      <c r="L58" s="306">
        <f aca="true" t="shared" si="33" ref="L58:L63">F58*K58</f>
        <v>0.003744</v>
      </c>
      <c r="M58" s="307" t="s">
        <v>606</v>
      </c>
      <c r="N58" s="307" t="s">
        <v>603</v>
      </c>
      <c r="O58" s="306">
        <f aca="true" t="shared" si="34" ref="O58:O63">IF(N58="5",I58,0)</f>
        <v>0</v>
      </c>
      <c r="Z58" s="306">
        <f aca="true" t="shared" si="35" ref="Z58:Z63">IF(AD58=0,J58,0)</f>
        <v>0</v>
      </c>
      <c r="AA58" s="306">
        <f aca="true" t="shared" si="36" ref="AA58:AA63">IF(AD58=15,J58,0)</f>
        <v>0</v>
      </c>
      <c r="AB58" s="306">
        <f aca="true" t="shared" si="37" ref="AB58:AB63">IF(AD58=21,J58,0)</f>
        <v>0</v>
      </c>
      <c r="AD58" s="308">
        <v>15</v>
      </c>
      <c r="AE58" s="308">
        <f>G58*0.411440677966102</f>
        <v>0</v>
      </c>
      <c r="AF58" s="308">
        <f>G58*(1-0.411440677966102)</f>
        <v>0</v>
      </c>
      <c r="AM58" s="308">
        <f aca="true" t="shared" si="38" ref="AM58:AM63">F58*AE58</f>
        <v>0</v>
      </c>
      <c r="AN58" s="308">
        <f aca="true" t="shared" si="39" ref="AN58:AN63">F58*AF58</f>
        <v>0</v>
      </c>
      <c r="AO58" s="309" t="s">
        <v>675</v>
      </c>
      <c r="AP58" s="309" t="s">
        <v>676</v>
      </c>
      <c r="AQ58" s="299" t="s">
        <v>609</v>
      </c>
    </row>
    <row r="59" spans="1:43" ht="12.75">
      <c r="A59" s="305" t="s">
        <v>677</v>
      </c>
      <c r="B59" s="305"/>
      <c r="C59" s="305" t="s">
        <v>305</v>
      </c>
      <c r="D59" s="305" t="s">
        <v>678</v>
      </c>
      <c r="E59" s="305" t="s">
        <v>19</v>
      </c>
      <c r="F59" s="306">
        <v>7.84</v>
      </c>
      <c r="G59" s="306"/>
      <c r="H59" s="306">
        <f t="shared" si="30"/>
        <v>0</v>
      </c>
      <c r="I59" s="306">
        <f t="shared" si="31"/>
        <v>0</v>
      </c>
      <c r="J59" s="306">
        <f t="shared" si="32"/>
        <v>0</v>
      </c>
      <c r="K59" s="306">
        <v>0.00514</v>
      </c>
      <c r="L59" s="306">
        <f t="shared" si="33"/>
        <v>0.040297599999999996</v>
      </c>
      <c r="M59" s="307" t="s">
        <v>606</v>
      </c>
      <c r="N59" s="307" t="s">
        <v>16</v>
      </c>
      <c r="O59" s="306">
        <f t="shared" si="34"/>
        <v>0</v>
      </c>
      <c r="Z59" s="306">
        <f t="shared" si="35"/>
        <v>0</v>
      </c>
      <c r="AA59" s="306">
        <f t="shared" si="36"/>
        <v>0</v>
      </c>
      <c r="AB59" s="306">
        <f t="shared" si="37"/>
        <v>0</v>
      </c>
      <c r="AD59" s="308">
        <v>15</v>
      </c>
      <c r="AE59" s="308">
        <f>G59*0.481411764705882</f>
        <v>0</v>
      </c>
      <c r="AF59" s="308">
        <f>G59*(1-0.481411764705882)</f>
        <v>0</v>
      </c>
      <c r="AM59" s="308">
        <f t="shared" si="38"/>
        <v>0</v>
      </c>
      <c r="AN59" s="308">
        <f t="shared" si="39"/>
        <v>0</v>
      </c>
      <c r="AO59" s="309" t="s">
        <v>675</v>
      </c>
      <c r="AP59" s="309" t="s">
        <v>676</v>
      </c>
      <c r="AQ59" s="299" t="s">
        <v>609</v>
      </c>
    </row>
    <row r="60" spans="1:43" ht="12.75">
      <c r="A60" s="305" t="s">
        <v>679</v>
      </c>
      <c r="B60" s="305"/>
      <c r="C60" s="305" t="s">
        <v>306</v>
      </c>
      <c r="D60" s="305" t="s">
        <v>680</v>
      </c>
      <c r="E60" s="305" t="s">
        <v>19</v>
      </c>
      <c r="F60" s="306">
        <v>7.84</v>
      </c>
      <c r="G60" s="306"/>
      <c r="H60" s="306">
        <f t="shared" si="30"/>
        <v>0</v>
      </c>
      <c r="I60" s="306">
        <f t="shared" si="31"/>
        <v>0</v>
      </c>
      <c r="J60" s="306">
        <f t="shared" si="32"/>
        <v>0</v>
      </c>
      <c r="K60" s="306">
        <v>0.00449</v>
      </c>
      <c r="L60" s="306">
        <f t="shared" si="33"/>
        <v>0.0352016</v>
      </c>
      <c r="M60" s="307" t="s">
        <v>606</v>
      </c>
      <c r="N60" s="307" t="s">
        <v>603</v>
      </c>
      <c r="O60" s="306">
        <f t="shared" si="34"/>
        <v>0</v>
      </c>
      <c r="Z60" s="306">
        <f t="shared" si="35"/>
        <v>0</v>
      </c>
      <c r="AA60" s="306">
        <f t="shared" si="36"/>
        <v>0</v>
      </c>
      <c r="AB60" s="306">
        <f t="shared" si="37"/>
        <v>0</v>
      </c>
      <c r="AD60" s="308">
        <v>15</v>
      </c>
      <c r="AE60" s="308">
        <f>G60*0.457371428571429</f>
        <v>0</v>
      </c>
      <c r="AF60" s="308">
        <f>G60*(1-0.457371428571429)</f>
        <v>0</v>
      </c>
      <c r="AM60" s="308">
        <f t="shared" si="38"/>
        <v>0</v>
      </c>
      <c r="AN60" s="308">
        <f t="shared" si="39"/>
        <v>0</v>
      </c>
      <c r="AO60" s="309" t="s">
        <v>675</v>
      </c>
      <c r="AP60" s="309" t="s">
        <v>676</v>
      </c>
      <c r="AQ60" s="299" t="s">
        <v>609</v>
      </c>
    </row>
    <row r="61" spans="1:43" ht="12.75">
      <c r="A61" s="305" t="s">
        <v>681</v>
      </c>
      <c r="B61" s="305"/>
      <c r="C61" s="305" t="s">
        <v>307</v>
      </c>
      <c r="D61" s="305" t="s">
        <v>169</v>
      </c>
      <c r="E61" s="305" t="s">
        <v>19</v>
      </c>
      <c r="F61" s="306">
        <v>7.84</v>
      </c>
      <c r="G61" s="306"/>
      <c r="H61" s="306">
        <f t="shared" si="30"/>
        <v>0</v>
      </c>
      <c r="I61" s="306">
        <f t="shared" si="31"/>
        <v>0</v>
      </c>
      <c r="J61" s="306">
        <f t="shared" si="32"/>
        <v>0</v>
      </c>
      <c r="K61" s="306">
        <v>0</v>
      </c>
      <c r="L61" s="306">
        <f t="shared" si="33"/>
        <v>0</v>
      </c>
      <c r="M61" s="307" t="s">
        <v>606</v>
      </c>
      <c r="N61" s="307" t="s">
        <v>603</v>
      </c>
      <c r="O61" s="306">
        <f t="shared" si="34"/>
        <v>0</v>
      </c>
      <c r="Z61" s="306">
        <f t="shared" si="35"/>
        <v>0</v>
      </c>
      <c r="AA61" s="306">
        <f t="shared" si="36"/>
        <v>0</v>
      </c>
      <c r="AB61" s="306">
        <f t="shared" si="37"/>
        <v>0</v>
      </c>
      <c r="AD61" s="308">
        <v>15</v>
      </c>
      <c r="AE61" s="308">
        <f>G61*0</f>
        <v>0</v>
      </c>
      <c r="AF61" s="308">
        <f>G61*(1-0)</f>
        <v>0</v>
      </c>
      <c r="AM61" s="308">
        <f t="shared" si="38"/>
        <v>0</v>
      </c>
      <c r="AN61" s="308">
        <f t="shared" si="39"/>
        <v>0</v>
      </c>
      <c r="AO61" s="309" t="s">
        <v>675</v>
      </c>
      <c r="AP61" s="309" t="s">
        <v>676</v>
      </c>
      <c r="AQ61" s="299" t="s">
        <v>609</v>
      </c>
    </row>
    <row r="62" spans="1:43" ht="12.75">
      <c r="A62" s="305" t="s">
        <v>682</v>
      </c>
      <c r="B62" s="305"/>
      <c r="C62" s="305" t="s">
        <v>308</v>
      </c>
      <c r="D62" s="305" t="s">
        <v>170</v>
      </c>
      <c r="E62" s="305" t="s">
        <v>21</v>
      </c>
      <c r="F62" s="306">
        <v>20.8</v>
      </c>
      <c r="G62" s="306"/>
      <c r="H62" s="306">
        <f t="shared" si="30"/>
        <v>0</v>
      </c>
      <c r="I62" s="306">
        <f t="shared" si="31"/>
        <v>0</v>
      </c>
      <c r="J62" s="306">
        <f t="shared" si="32"/>
        <v>0</v>
      </c>
      <c r="K62" s="306">
        <v>4E-05</v>
      </c>
      <c r="L62" s="306">
        <f t="shared" si="33"/>
        <v>0.0008320000000000001</v>
      </c>
      <c r="M62" s="307" t="s">
        <v>606</v>
      </c>
      <c r="N62" s="307" t="s">
        <v>603</v>
      </c>
      <c r="O62" s="306">
        <f t="shared" si="34"/>
        <v>0</v>
      </c>
      <c r="Z62" s="306">
        <f t="shared" si="35"/>
        <v>0</v>
      </c>
      <c r="AA62" s="306">
        <f t="shared" si="36"/>
        <v>0</v>
      </c>
      <c r="AB62" s="306">
        <f t="shared" si="37"/>
        <v>0</v>
      </c>
      <c r="AD62" s="308">
        <v>15</v>
      </c>
      <c r="AE62" s="308">
        <f>G62*0.411440677966102</f>
        <v>0</v>
      </c>
      <c r="AF62" s="308">
        <f>G62*(1-0.411440677966102)</f>
        <v>0</v>
      </c>
      <c r="AM62" s="308">
        <f t="shared" si="38"/>
        <v>0</v>
      </c>
      <c r="AN62" s="308">
        <f t="shared" si="39"/>
        <v>0</v>
      </c>
      <c r="AO62" s="309" t="s">
        <v>675</v>
      </c>
      <c r="AP62" s="309" t="s">
        <v>676</v>
      </c>
      <c r="AQ62" s="299" t="s">
        <v>609</v>
      </c>
    </row>
    <row r="63" spans="1:43" ht="12.75">
      <c r="A63" s="305" t="s">
        <v>683</v>
      </c>
      <c r="B63" s="305"/>
      <c r="C63" s="305" t="s">
        <v>684</v>
      </c>
      <c r="D63" s="305" t="s">
        <v>685</v>
      </c>
      <c r="E63" s="305" t="s">
        <v>21</v>
      </c>
      <c r="F63" s="306">
        <v>8.2</v>
      </c>
      <c r="G63" s="306"/>
      <c r="H63" s="306">
        <f t="shared" si="30"/>
        <v>0</v>
      </c>
      <c r="I63" s="306">
        <f t="shared" si="31"/>
        <v>0</v>
      </c>
      <c r="J63" s="306">
        <f t="shared" si="32"/>
        <v>0</v>
      </c>
      <c r="K63" s="306">
        <v>0.00039</v>
      </c>
      <c r="L63" s="306">
        <f t="shared" si="33"/>
        <v>0.0031979999999999995</v>
      </c>
      <c r="M63" s="307" t="s">
        <v>606</v>
      </c>
      <c r="N63" s="307" t="s">
        <v>603</v>
      </c>
      <c r="O63" s="306">
        <f t="shared" si="34"/>
        <v>0</v>
      </c>
      <c r="Z63" s="306">
        <f t="shared" si="35"/>
        <v>0</v>
      </c>
      <c r="AA63" s="306">
        <f t="shared" si="36"/>
        <v>0</v>
      </c>
      <c r="AB63" s="306">
        <f t="shared" si="37"/>
        <v>0</v>
      </c>
      <c r="AD63" s="308">
        <v>15</v>
      </c>
      <c r="AE63" s="308">
        <f>G63*0.176054036387406</f>
        <v>0</v>
      </c>
      <c r="AF63" s="308">
        <f>G63*(1-0.176054036387406)</f>
        <v>0</v>
      </c>
      <c r="AM63" s="308">
        <f t="shared" si="38"/>
        <v>0</v>
      </c>
      <c r="AN63" s="308">
        <f t="shared" si="39"/>
        <v>0</v>
      </c>
      <c r="AO63" s="309" t="s">
        <v>675</v>
      </c>
      <c r="AP63" s="309" t="s">
        <v>676</v>
      </c>
      <c r="AQ63" s="299" t="s">
        <v>609</v>
      </c>
    </row>
    <row r="64" spans="1:37" ht="12.75">
      <c r="A64" s="310"/>
      <c r="B64" s="311"/>
      <c r="C64" s="311" t="s">
        <v>180</v>
      </c>
      <c r="D64" s="375" t="s">
        <v>686</v>
      </c>
      <c r="E64" s="376"/>
      <c r="F64" s="376"/>
      <c r="G64" s="376"/>
      <c r="H64" s="304">
        <f>SUM(H65:H68)</f>
        <v>0</v>
      </c>
      <c r="I64" s="304">
        <f>SUM(I65:I68)</f>
        <v>0</v>
      </c>
      <c r="J64" s="304">
        <f>H64+I64</f>
        <v>0</v>
      </c>
      <c r="K64" s="299"/>
      <c r="L64" s="304">
        <f>SUM(L65:L68)</f>
        <v>2.285111</v>
      </c>
      <c r="M64" s="299"/>
      <c r="P64" s="304">
        <f>IF(Q64="PR",J64,SUM(O65:O68))</f>
        <v>0</v>
      </c>
      <c r="Q64" s="299" t="s">
        <v>620</v>
      </c>
      <c r="R64" s="304">
        <f>IF(Q64="HS",H64,0)</f>
        <v>0</v>
      </c>
      <c r="S64" s="304">
        <f>IF(Q64="HS",I64-P64,0)</f>
        <v>0</v>
      </c>
      <c r="T64" s="304">
        <f>IF(Q64="PS",H64,0)</f>
        <v>0</v>
      </c>
      <c r="U64" s="304">
        <f>IF(Q64="PS",I64-P64,0)</f>
        <v>0</v>
      </c>
      <c r="V64" s="304">
        <f>IF(Q64="MP",H64,0)</f>
        <v>0</v>
      </c>
      <c r="W64" s="304">
        <f>IF(Q64="MP",I64-P64,0)</f>
        <v>0</v>
      </c>
      <c r="X64" s="304">
        <f>IF(Q64="OM",H64,0)</f>
        <v>0</v>
      </c>
      <c r="Y64" s="299"/>
      <c r="AI64" s="304">
        <f>SUM(Z65:Z68)</f>
        <v>0</v>
      </c>
      <c r="AJ64" s="304">
        <f>SUM(AA65:AA68)</f>
        <v>0</v>
      </c>
      <c r="AK64" s="304">
        <f>SUM(AB65:AB68)</f>
        <v>0</v>
      </c>
    </row>
    <row r="65" spans="1:43" ht="12.75">
      <c r="A65" s="305" t="s">
        <v>687</v>
      </c>
      <c r="B65" s="305"/>
      <c r="C65" s="305" t="s">
        <v>688</v>
      </c>
      <c r="D65" s="305" t="s">
        <v>689</v>
      </c>
      <c r="E65" s="305" t="s">
        <v>19</v>
      </c>
      <c r="F65" s="306">
        <v>31</v>
      </c>
      <c r="G65" s="306"/>
      <c r="H65" s="306">
        <f>ROUND(F65*AE65,2)</f>
        <v>0</v>
      </c>
      <c r="I65" s="306">
        <f>J65-H65</f>
        <v>0</v>
      </c>
      <c r="J65" s="306">
        <f>ROUND(F65*G65,2)</f>
        <v>0</v>
      </c>
      <c r="K65" s="306">
        <v>0.068</v>
      </c>
      <c r="L65" s="306">
        <f>F65*K65</f>
        <v>2.108</v>
      </c>
      <c r="M65" s="307" t="s">
        <v>606</v>
      </c>
      <c r="N65" s="307" t="s">
        <v>16</v>
      </c>
      <c r="O65" s="306">
        <f>IF(N65="5",I65,0)</f>
        <v>0</v>
      </c>
      <c r="Z65" s="306">
        <f>IF(AD65=0,J65,0)</f>
        <v>0</v>
      </c>
      <c r="AA65" s="306">
        <f>IF(AD65=15,J65,0)</f>
        <v>0</v>
      </c>
      <c r="AB65" s="306">
        <f>IF(AD65=21,J65,0)</f>
        <v>0</v>
      </c>
      <c r="AD65" s="308">
        <v>15</v>
      </c>
      <c r="AE65" s="308">
        <f>G65*0</f>
        <v>0</v>
      </c>
      <c r="AF65" s="308">
        <f>G65*(1-0)</f>
        <v>0</v>
      </c>
      <c r="AM65" s="308">
        <f>F65*AE65</f>
        <v>0</v>
      </c>
      <c r="AN65" s="308">
        <f>F65*AF65</f>
        <v>0</v>
      </c>
      <c r="AO65" s="309" t="s">
        <v>690</v>
      </c>
      <c r="AP65" s="309" t="s">
        <v>691</v>
      </c>
      <c r="AQ65" s="299" t="s">
        <v>609</v>
      </c>
    </row>
    <row r="66" spans="1:43" ht="12.75">
      <c r="A66" s="305" t="s">
        <v>692</v>
      </c>
      <c r="B66" s="305"/>
      <c r="C66" s="305" t="s">
        <v>318</v>
      </c>
      <c r="D66" s="305" t="s">
        <v>182</v>
      </c>
      <c r="E66" s="305" t="s">
        <v>19</v>
      </c>
      <c r="F66" s="306">
        <v>35.78</v>
      </c>
      <c r="G66" s="306"/>
      <c r="H66" s="306">
        <f>ROUND(F66*AE66,2)</f>
        <v>0</v>
      </c>
      <c r="I66" s="306">
        <f>J66-H66</f>
        <v>0</v>
      </c>
      <c r="J66" s="306">
        <f>ROUND(F66*G66,2)</f>
        <v>0</v>
      </c>
      <c r="K66" s="306">
        <v>0.00021</v>
      </c>
      <c r="L66" s="306">
        <f>F66*K66</f>
        <v>0.0075138</v>
      </c>
      <c r="M66" s="307" t="s">
        <v>606</v>
      </c>
      <c r="N66" s="307" t="s">
        <v>603</v>
      </c>
      <c r="O66" s="306">
        <f>IF(N66="5",I66,0)</f>
        <v>0</v>
      </c>
      <c r="Z66" s="306">
        <f>IF(AD66=0,J66,0)</f>
        <v>0</v>
      </c>
      <c r="AA66" s="306">
        <f>IF(AD66=15,J66,0)</f>
        <v>0</v>
      </c>
      <c r="AB66" s="306">
        <f>IF(AD66=21,J66,0)</f>
        <v>0</v>
      </c>
      <c r="AD66" s="308">
        <v>15</v>
      </c>
      <c r="AE66" s="308">
        <f>G66*0.574782608695652</f>
        <v>0</v>
      </c>
      <c r="AF66" s="308">
        <f>G66*(1-0.574782608695652)</f>
        <v>0</v>
      </c>
      <c r="AM66" s="308">
        <f>F66*AE66</f>
        <v>0</v>
      </c>
      <c r="AN66" s="308">
        <f>F66*AF66</f>
        <v>0</v>
      </c>
      <c r="AO66" s="309" t="s">
        <v>690</v>
      </c>
      <c r="AP66" s="309" t="s">
        <v>691</v>
      </c>
      <c r="AQ66" s="299" t="s">
        <v>609</v>
      </c>
    </row>
    <row r="67" spans="1:43" ht="12.75">
      <c r="A67" s="305" t="s">
        <v>693</v>
      </c>
      <c r="B67" s="305"/>
      <c r="C67" s="305" t="s">
        <v>319</v>
      </c>
      <c r="D67" s="305" t="s">
        <v>694</v>
      </c>
      <c r="E67" s="305" t="s">
        <v>19</v>
      </c>
      <c r="F67" s="306">
        <v>35.78</v>
      </c>
      <c r="G67" s="306"/>
      <c r="H67" s="306">
        <f>ROUND(F67*AE67,2)</f>
        <v>0</v>
      </c>
      <c r="I67" s="306">
        <f>J67-H67</f>
        <v>0</v>
      </c>
      <c r="J67" s="306">
        <f>ROUND(F67*G67,2)</f>
        <v>0</v>
      </c>
      <c r="K67" s="306">
        <v>0.00474</v>
      </c>
      <c r="L67" s="306">
        <f>F67*K67</f>
        <v>0.1695972</v>
      </c>
      <c r="M67" s="307" t="s">
        <v>606</v>
      </c>
      <c r="N67" s="307" t="s">
        <v>603</v>
      </c>
      <c r="O67" s="306">
        <f>IF(N67="5",I67,0)</f>
        <v>0</v>
      </c>
      <c r="Z67" s="306">
        <f>IF(AD67=0,J67,0)</f>
        <v>0</v>
      </c>
      <c r="AA67" s="306">
        <f>IF(AD67=15,J67,0)</f>
        <v>0</v>
      </c>
      <c r="AB67" s="306">
        <f>IF(AD67=21,J67,0)</f>
        <v>0</v>
      </c>
      <c r="AD67" s="308">
        <v>15</v>
      </c>
      <c r="AE67" s="308">
        <f>G67*0.4734</f>
        <v>0</v>
      </c>
      <c r="AF67" s="308">
        <f>G67*(1-0.4734)</f>
        <v>0</v>
      </c>
      <c r="AM67" s="308">
        <f>F67*AE67</f>
        <v>0</v>
      </c>
      <c r="AN67" s="308">
        <f>F67*AF67</f>
        <v>0</v>
      </c>
      <c r="AO67" s="309" t="s">
        <v>690</v>
      </c>
      <c r="AP67" s="309" t="s">
        <v>691</v>
      </c>
      <c r="AQ67" s="299" t="s">
        <v>609</v>
      </c>
    </row>
    <row r="68" spans="1:43" ht="12.75">
      <c r="A68" s="305" t="s">
        <v>695</v>
      </c>
      <c r="B68" s="305"/>
      <c r="C68" s="305" t="s">
        <v>320</v>
      </c>
      <c r="D68" s="305" t="s">
        <v>183</v>
      </c>
      <c r="E68" s="305" t="s">
        <v>19</v>
      </c>
      <c r="F68" s="306">
        <v>35.78</v>
      </c>
      <c r="G68" s="306"/>
      <c r="H68" s="306">
        <f>ROUND(F68*AE68,2)</f>
        <v>0</v>
      </c>
      <c r="I68" s="306">
        <f>J68-H68</f>
        <v>0</v>
      </c>
      <c r="J68" s="306">
        <f>ROUND(F68*G68,2)</f>
        <v>0</v>
      </c>
      <c r="K68" s="306">
        <v>0</v>
      </c>
      <c r="L68" s="306">
        <f>F68*K68</f>
        <v>0</v>
      </c>
      <c r="M68" s="307" t="s">
        <v>606</v>
      </c>
      <c r="N68" s="307" t="s">
        <v>603</v>
      </c>
      <c r="O68" s="306">
        <f>IF(N68="5",I68,0)</f>
        <v>0</v>
      </c>
      <c r="Z68" s="306">
        <f>IF(AD68=0,J68,0)</f>
        <v>0</v>
      </c>
      <c r="AA68" s="306">
        <f>IF(AD68=15,J68,0)</f>
        <v>0</v>
      </c>
      <c r="AB68" s="306">
        <f>IF(AD68=21,J68,0)</f>
        <v>0</v>
      </c>
      <c r="AD68" s="308">
        <v>15</v>
      </c>
      <c r="AE68" s="308">
        <f>G68*0</f>
        <v>0</v>
      </c>
      <c r="AF68" s="308">
        <f>G68*(1-0)</f>
        <v>0</v>
      </c>
      <c r="AM68" s="308">
        <f>F68*AE68</f>
        <v>0</v>
      </c>
      <c r="AN68" s="308">
        <f>F68*AF68</f>
        <v>0</v>
      </c>
      <c r="AO68" s="309" t="s">
        <v>690</v>
      </c>
      <c r="AP68" s="309" t="s">
        <v>691</v>
      </c>
      <c r="AQ68" s="299" t="s">
        <v>609</v>
      </c>
    </row>
    <row r="69" spans="1:37" ht="12.75">
      <c r="A69" s="310"/>
      <c r="B69" s="311"/>
      <c r="C69" s="311" t="s">
        <v>189</v>
      </c>
      <c r="D69" s="375" t="s">
        <v>190</v>
      </c>
      <c r="E69" s="376"/>
      <c r="F69" s="376"/>
      <c r="G69" s="376"/>
      <c r="H69" s="304">
        <f>SUM(H70:H70)</f>
        <v>0</v>
      </c>
      <c r="I69" s="304">
        <f>SUM(I70:I70)</f>
        <v>0</v>
      </c>
      <c r="J69" s="304">
        <f>H69+I69</f>
        <v>0</v>
      </c>
      <c r="K69" s="299"/>
      <c r="L69" s="304">
        <f>SUM(L70:L70)</f>
        <v>0.00144</v>
      </c>
      <c r="M69" s="299"/>
      <c r="P69" s="304">
        <f>IF(Q69="PR",J69,SUM(O70:O70))</f>
        <v>0</v>
      </c>
      <c r="Q69" s="299" t="s">
        <v>620</v>
      </c>
      <c r="R69" s="304">
        <f>IF(Q69="HS",H69,0)</f>
        <v>0</v>
      </c>
      <c r="S69" s="304">
        <f>IF(Q69="HS",I69-P69,0)</f>
        <v>0</v>
      </c>
      <c r="T69" s="304">
        <f>IF(Q69="PS",H69,0)</f>
        <v>0</v>
      </c>
      <c r="U69" s="304">
        <f>IF(Q69="PS",I69-P69,0)</f>
        <v>0</v>
      </c>
      <c r="V69" s="304">
        <f>IF(Q69="MP",H69,0)</f>
        <v>0</v>
      </c>
      <c r="W69" s="304">
        <f>IF(Q69="MP",I69-P69,0)</f>
        <v>0</v>
      </c>
      <c r="X69" s="304">
        <f>IF(Q69="OM",H69,0)</f>
        <v>0</v>
      </c>
      <c r="Y69" s="299"/>
      <c r="AI69" s="304">
        <f>SUM(Z70:Z70)</f>
        <v>0</v>
      </c>
      <c r="AJ69" s="304">
        <f>SUM(AA70:AA70)</f>
        <v>0</v>
      </c>
      <c r="AK69" s="304">
        <f>SUM(AB70:AB70)</f>
        <v>0</v>
      </c>
    </row>
    <row r="70" spans="1:43" ht="12.75">
      <c r="A70" s="305" t="s">
        <v>696</v>
      </c>
      <c r="B70" s="305"/>
      <c r="C70" s="305" t="s">
        <v>325</v>
      </c>
      <c r="D70" s="305" t="s">
        <v>697</v>
      </c>
      <c r="E70" s="305" t="s">
        <v>19</v>
      </c>
      <c r="F70" s="306">
        <v>6</v>
      </c>
      <c r="G70" s="306"/>
      <c r="H70" s="306">
        <f>ROUND(F70*AE70,2)</f>
        <v>0</v>
      </c>
      <c r="I70" s="306">
        <f>J70-H70</f>
        <v>0</v>
      </c>
      <c r="J70" s="306">
        <f>ROUND(F70*G70,2)</f>
        <v>0</v>
      </c>
      <c r="K70" s="306">
        <v>0.00024</v>
      </c>
      <c r="L70" s="306">
        <f>F70*K70</f>
        <v>0.00144</v>
      </c>
      <c r="M70" s="307" t="s">
        <v>606</v>
      </c>
      <c r="N70" s="307" t="s">
        <v>603</v>
      </c>
      <c r="O70" s="306">
        <f>IF(N70="5",I70,0)</f>
        <v>0</v>
      </c>
      <c r="Z70" s="306">
        <f>IF(AD70=0,J70,0)</f>
        <v>0</v>
      </c>
      <c r="AA70" s="306">
        <f>IF(AD70=15,J70,0)</f>
        <v>0</v>
      </c>
      <c r="AB70" s="306">
        <f>IF(AD70=21,J70,0)</f>
        <v>0</v>
      </c>
      <c r="AD70" s="308">
        <v>15</v>
      </c>
      <c r="AE70" s="308">
        <f>G70*0.215730337078652</f>
        <v>0</v>
      </c>
      <c r="AF70" s="308">
        <f>G70*(1-0.215730337078652)</f>
        <v>0</v>
      </c>
      <c r="AM70" s="308">
        <f>F70*AE70</f>
        <v>0</v>
      </c>
      <c r="AN70" s="308">
        <f>F70*AF70</f>
        <v>0</v>
      </c>
      <c r="AO70" s="309" t="s">
        <v>698</v>
      </c>
      <c r="AP70" s="309" t="s">
        <v>691</v>
      </c>
      <c r="AQ70" s="299" t="s">
        <v>609</v>
      </c>
    </row>
    <row r="71" spans="1:37" ht="12.75">
      <c r="A71" s="310"/>
      <c r="B71" s="311"/>
      <c r="C71" s="311" t="s">
        <v>192</v>
      </c>
      <c r="D71" s="375" t="s">
        <v>193</v>
      </c>
      <c r="E71" s="376"/>
      <c r="F71" s="376"/>
      <c r="G71" s="376"/>
      <c r="H71" s="304">
        <f>SUM(H72:H73)</f>
        <v>0</v>
      </c>
      <c r="I71" s="304">
        <f>SUM(I72:I73)</f>
        <v>0</v>
      </c>
      <c r="J71" s="304">
        <f>H71+I71</f>
        <v>0</v>
      </c>
      <c r="K71" s="299"/>
      <c r="L71" s="304">
        <f>SUM(L72:L73)</f>
        <v>0.009131</v>
      </c>
      <c r="M71" s="299"/>
      <c r="P71" s="304">
        <f>IF(Q71="PR",J71,SUM(O72:O73))</f>
        <v>0</v>
      </c>
      <c r="Q71" s="299" t="s">
        <v>620</v>
      </c>
      <c r="R71" s="304">
        <f>IF(Q71="HS",H71,0)</f>
        <v>0</v>
      </c>
      <c r="S71" s="304">
        <f>IF(Q71="HS",I71-P71,0)</f>
        <v>0</v>
      </c>
      <c r="T71" s="304">
        <f>IF(Q71="PS",H71,0)</f>
        <v>0</v>
      </c>
      <c r="U71" s="304">
        <f>IF(Q71="PS",I71-P71,0)</f>
        <v>0</v>
      </c>
      <c r="V71" s="304">
        <f>IF(Q71="MP",H71,0)</f>
        <v>0</v>
      </c>
      <c r="W71" s="304">
        <f>IF(Q71="MP",I71-P71,0)</f>
        <v>0</v>
      </c>
      <c r="X71" s="304">
        <f>IF(Q71="OM",H71,0)</f>
        <v>0</v>
      </c>
      <c r="Y71" s="299"/>
      <c r="AI71" s="304">
        <f>SUM(Z72:Z73)</f>
        <v>0</v>
      </c>
      <c r="AJ71" s="304">
        <f>SUM(AA72:AA73)</f>
        <v>0</v>
      </c>
      <c r="AK71" s="304">
        <f>SUM(AB72:AB73)</f>
        <v>0</v>
      </c>
    </row>
    <row r="72" spans="1:43" ht="12.75">
      <c r="A72" s="305" t="s">
        <v>699</v>
      </c>
      <c r="B72" s="305"/>
      <c r="C72" s="305" t="s">
        <v>326</v>
      </c>
      <c r="D72" s="305" t="s">
        <v>194</v>
      </c>
      <c r="E72" s="305" t="s">
        <v>19</v>
      </c>
      <c r="F72" s="306">
        <v>39.7</v>
      </c>
      <c r="G72" s="306"/>
      <c r="H72" s="306">
        <f>ROUND(F72*AE72,2)</f>
        <v>0</v>
      </c>
      <c r="I72" s="306">
        <f>J72-H72</f>
        <v>0</v>
      </c>
      <c r="J72" s="306">
        <f>ROUND(F72*G72,2)</f>
        <v>0</v>
      </c>
      <c r="K72" s="306">
        <v>7E-05</v>
      </c>
      <c r="L72" s="306">
        <f>F72*K72</f>
        <v>0.002779</v>
      </c>
      <c r="M72" s="307" t="s">
        <v>606</v>
      </c>
      <c r="N72" s="307" t="s">
        <v>603</v>
      </c>
      <c r="O72" s="306">
        <f>IF(N72="5",I72,0)</f>
        <v>0</v>
      </c>
      <c r="Z72" s="306">
        <f>IF(AD72=0,J72,0)</f>
        <v>0</v>
      </c>
      <c r="AA72" s="306">
        <f>IF(AD72=15,J72,0)</f>
        <v>0</v>
      </c>
      <c r="AB72" s="306">
        <f>IF(AD72=21,J72,0)</f>
        <v>0</v>
      </c>
      <c r="AD72" s="308">
        <v>15</v>
      </c>
      <c r="AE72" s="308">
        <f>G72*0.233846153846154</f>
        <v>0</v>
      </c>
      <c r="AF72" s="308">
        <f>G72*(1-0.233846153846154)</f>
        <v>0</v>
      </c>
      <c r="AM72" s="308">
        <f>F72*AE72</f>
        <v>0</v>
      </c>
      <c r="AN72" s="308">
        <f>F72*AF72</f>
        <v>0</v>
      </c>
      <c r="AO72" s="309" t="s">
        <v>700</v>
      </c>
      <c r="AP72" s="309" t="s">
        <v>691</v>
      </c>
      <c r="AQ72" s="299" t="s">
        <v>609</v>
      </c>
    </row>
    <row r="73" spans="1:43" ht="12.75">
      <c r="A73" s="305" t="s">
        <v>701</v>
      </c>
      <c r="B73" s="305"/>
      <c r="C73" s="305" t="s">
        <v>328</v>
      </c>
      <c r="D73" s="305" t="s">
        <v>196</v>
      </c>
      <c r="E73" s="305" t="s">
        <v>19</v>
      </c>
      <c r="F73" s="306">
        <v>39.7</v>
      </c>
      <c r="G73" s="306"/>
      <c r="H73" s="306">
        <f>ROUND(F73*AE73,2)</f>
        <v>0</v>
      </c>
      <c r="I73" s="306">
        <f>J73-H73</f>
        <v>0</v>
      </c>
      <c r="J73" s="306">
        <f>ROUND(F73*G73,2)</f>
        <v>0</v>
      </c>
      <c r="K73" s="306">
        <v>0.00016</v>
      </c>
      <c r="L73" s="306">
        <f>F73*K73</f>
        <v>0.006352000000000001</v>
      </c>
      <c r="M73" s="307" t="s">
        <v>606</v>
      </c>
      <c r="N73" s="307" t="s">
        <v>603</v>
      </c>
      <c r="O73" s="306">
        <f>IF(N73="5",I73,0)</f>
        <v>0</v>
      </c>
      <c r="Z73" s="306">
        <f>IF(AD73=0,J73,0)</f>
        <v>0</v>
      </c>
      <c r="AA73" s="306">
        <f>IF(AD73=15,J73,0)</f>
        <v>0</v>
      </c>
      <c r="AB73" s="306">
        <f>IF(AD73=21,J73,0)</f>
        <v>0</v>
      </c>
      <c r="AD73" s="308">
        <v>15</v>
      </c>
      <c r="AE73" s="308">
        <f>G73*0.140243902439024</f>
        <v>0</v>
      </c>
      <c r="AF73" s="308">
        <f>G73*(1-0.140243902439024)</f>
        <v>0</v>
      </c>
      <c r="AM73" s="308">
        <f>F73*AE73</f>
        <v>0</v>
      </c>
      <c r="AN73" s="308">
        <f>F73*AF73</f>
        <v>0</v>
      </c>
      <c r="AO73" s="309" t="s">
        <v>700</v>
      </c>
      <c r="AP73" s="309" t="s">
        <v>691</v>
      </c>
      <c r="AQ73" s="299" t="s">
        <v>609</v>
      </c>
    </row>
    <row r="74" spans="1:37" ht="12.75">
      <c r="A74" s="310"/>
      <c r="B74" s="311"/>
      <c r="C74" s="311" t="s">
        <v>55</v>
      </c>
      <c r="D74" s="375" t="s">
        <v>56</v>
      </c>
      <c r="E74" s="376"/>
      <c r="F74" s="376"/>
      <c r="G74" s="376"/>
      <c r="H74" s="304">
        <f>SUM(H75:H76)</f>
        <v>0</v>
      </c>
      <c r="I74" s="304">
        <f>SUM(I75:I76)</f>
        <v>0</v>
      </c>
      <c r="J74" s="304">
        <f>H74+I74</f>
        <v>0</v>
      </c>
      <c r="K74" s="299"/>
      <c r="L74" s="304">
        <f>SUM(L75:L76)</f>
        <v>0.6167400000000001</v>
      </c>
      <c r="M74" s="299"/>
      <c r="P74" s="304">
        <f>IF(Q74="PR",J74,SUM(O75:O76))</f>
        <v>0</v>
      </c>
      <c r="Q74" s="299" t="s">
        <v>602</v>
      </c>
      <c r="R74" s="304">
        <f>IF(Q74="HS",H74,0)</f>
        <v>0</v>
      </c>
      <c r="S74" s="304">
        <f>IF(Q74="HS",I74-P74,0)</f>
        <v>0</v>
      </c>
      <c r="T74" s="304">
        <f>IF(Q74="PS",H74,0)</f>
        <v>0</v>
      </c>
      <c r="U74" s="304">
        <f>IF(Q74="PS",I74-P74,0)</f>
        <v>0</v>
      </c>
      <c r="V74" s="304">
        <f>IF(Q74="MP",H74,0)</f>
        <v>0</v>
      </c>
      <c r="W74" s="304">
        <f>IF(Q74="MP",I74-P74,0)</f>
        <v>0</v>
      </c>
      <c r="X74" s="304">
        <f>IF(Q74="OM",H74,0)</f>
        <v>0</v>
      </c>
      <c r="Y74" s="299"/>
      <c r="AI74" s="304">
        <f>SUM(Z75:Z76)</f>
        <v>0</v>
      </c>
      <c r="AJ74" s="304">
        <f>SUM(AA75:AA76)</f>
        <v>0</v>
      </c>
      <c r="AK74" s="304">
        <f>SUM(AB75:AB76)</f>
        <v>0</v>
      </c>
    </row>
    <row r="75" spans="1:43" ht="12.75">
      <c r="A75" s="305" t="s">
        <v>702</v>
      </c>
      <c r="B75" s="305"/>
      <c r="C75" s="305" t="s">
        <v>228</v>
      </c>
      <c r="D75" s="305" t="s">
        <v>63</v>
      </c>
      <c r="E75" s="305" t="s">
        <v>21</v>
      </c>
      <c r="F75" s="306">
        <v>18</v>
      </c>
      <c r="G75" s="306"/>
      <c r="H75" s="306">
        <f>ROUND(F75*AE75,2)</f>
        <v>0</v>
      </c>
      <c r="I75" s="306">
        <f>J75-H75</f>
        <v>0</v>
      </c>
      <c r="J75" s="306">
        <f>ROUND(F75*G75,2)</f>
        <v>0</v>
      </c>
      <c r="K75" s="306">
        <v>0.01338</v>
      </c>
      <c r="L75" s="306">
        <f>F75*K75</f>
        <v>0.24084</v>
      </c>
      <c r="M75" s="307" t="s">
        <v>606</v>
      </c>
      <c r="N75" s="307" t="s">
        <v>603</v>
      </c>
      <c r="O75" s="306">
        <f>IF(N75="5",I75,0)</f>
        <v>0</v>
      </c>
      <c r="Z75" s="306">
        <f>IF(AD75=0,J75,0)</f>
        <v>0</v>
      </c>
      <c r="AA75" s="306">
        <f>IF(AD75=15,J75,0)</f>
        <v>0</v>
      </c>
      <c r="AB75" s="306">
        <f>IF(AD75=21,J75,0)</f>
        <v>0</v>
      </c>
      <c r="AD75" s="308">
        <v>15</v>
      </c>
      <c r="AE75" s="308">
        <f>G75*0.267251461988304</f>
        <v>0</v>
      </c>
      <c r="AF75" s="308">
        <f>G75*(1-0.267251461988304)</f>
        <v>0</v>
      </c>
      <c r="AM75" s="308">
        <f>F75*AE75</f>
        <v>0</v>
      </c>
      <c r="AN75" s="308">
        <f>F75*AF75</f>
        <v>0</v>
      </c>
      <c r="AO75" s="309" t="s">
        <v>703</v>
      </c>
      <c r="AP75" s="309" t="s">
        <v>704</v>
      </c>
      <c r="AQ75" s="299" t="s">
        <v>609</v>
      </c>
    </row>
    <row r="76" spans="1:43" ht="12.75">
      <c r="A76" s="305" t="s">
        <v>705</v>
      </c>
      <c r="B76" s="305"/>
      <c r="C76" s="305" t="s">
        <v>229</v>
      </c>
      <c r="D76" s="305" t="s">
        <v>64</v>
      </c>
      <c r="E76" s="305" t="s">
        <v>21</v>
      </c>
      <c r="F76" s="306">
        <v>10</v>
      </c>
      <c r="G76" s="306"/>
      <c r="H76" s="306">
        <f>ROUND(F76*AE76,2)</f>
        <v>0</v>
      </c>
      <c r="I76" s="306">
        <f>J76-H76</f>
        <v>0</v>
      </c>
      <c r="J76" s="306">
        <f>ROUND(F76*G76,2)</f>
        <v>0</v>
      </c>
      <c r="K76" s="306">
        <v>0.03759</v>
      </c>
      <c r="L76" s="306">
        <f>F76*K76</f>
        <v>0.3759</v>
      </c>
      <c r="M76" s="307" t="s">
        <v>606</v>
      </c>
      <c r="N76" s="307" t="s">
        <v>603</v>
      </c>
      <c r="O76" s="306">
        <f>IF(N76="5",I76,0)</f>
        <v>0</v>
      </c>
      <c r="Z76" s="306">
        <f>IF(AD76=0,J76,0)</f>
        <v>0</v>
      </c>
      <c r="AA76" s="306">
        <f>IF(AD76=15,J76,0)</f>
        <v>0</v>
      </c>
      <c r="AB76" s="306">
        <f>IF(AD76=21,J76,0)</f>
        <v>0</v>
      </c>
      <c r="AD76" s="308">
        <v>15</v>
      </c>
      <c r="AE76" s="308">
        <f>G76*0.115601659751037</f>
        <v>0</v>
      </c>
      <c r="AF76" s="308">
        <f>G76*(1-0.115601659751037)</f>
        <v>0</v>
      </c>
      <c r="AM76" s="308">
        <f>F76*AE76</f>
        <v>0</v>
      </c>
      <c r="AN76" s="308">
        <f>F76*AF76</f>
        <v>0</v>
      </c>
      <c r="AO76" s="309" t="s">
        <v>703</v>
      </c>
      <c r="AP76" s="309" t="s">
        <v>704</v>
      </c>
      <c r="AQ76" s="299" t="s">
        <v>609</v>
      </c>
    </row>
    <row r="77" spans="1:37" ht="12.75">
      <c r="A77" s="310"/>
      <c r="B77" s="311"/>
      <c r="C77" s="311" t="s">
        <v>706</v>
      </c>
      <c r="D77" s="375"/>
      <c r="E77" s="376"/>
      <c r="F77" s="376"/>
      <c r="G77" s="376"/>
      <c r="H77" s="304">
        <f>SUM(H78:H79)</f>
        <v>0</v>
      </c>
      <c r="I77" s="304">
        <f>SUM(I78:I79)</f>
        <v>0</v>
      </c>
      <c r="J77" s="304">
        <f>H77+I77</f>
        <v>0</v>
      </c>
      <c r="K77" s="299"/>
      <c r="L77" s="304">
        <f>SUM(L78:L79)</f>
        <v>1.4128999999999998</v>
      </c>
      <c r="M77" s="299"/>
      <c r="P77" s="304">
        <f>IF(Q77="PR",J77,SUM(O78:O79))</f>
        <v>0</v>
      </c>
      <c r="Q77" s="299" t="s">
        <v>602</v>
      </c>
      <c r="R77" s="304">
        <f>IF(Q77="HS",H77,0)</f>
        <v>0</v>
      </c>
      <c r="S77" s="304">
        <f>IF(Q77="HS",I77-P77,0)</f>
        <v>0</v>
      </c>
      <c r="T77" s="304">
        <f>IF(Q77="PS",H77,0)</f>
        <v>0</v>
      </c>
      <c r="U77" s="304">
        <f>IF(Q77="PS",I77-P77,0)</f>
        <v>0</v>
      </c>
      <c r="V77" s="304">
        <f>IF(Q77="MP",H77,0)</f>
        <v>0</v>
      </c>
      <c r="W77" s="304">
        <f>IF(Q77="MP",I77-P77,0)</f>
        <v>0</v>
      </c>
      <c r="X77" s="304">
        <f>IF(Q77="OM",H77,0)</f>
        <v>0</v>
      </c>
      <c r="Y77" s="299"/>
      <c r="AI77" s="304">
        <f>SUM(Z78:Z79)</f>
        <v>0</v>
      </c>
      <c r="AJ77" s="304">
        <f>SUM(AA78:AA79)</f>
        <v>0</v>
      </c>
      <c r="AK77" s="304">
        <f>SUM(AB78:AB79)</f>
        <v>0</v>
      </c>
    </row>
    <row r="78" spans="1:43" ht="12.75">
      <c r="A78" s="305" t="s">
        <v>707</v>
      </c>
      <c r="B78" s="305"/>
      <c r="C78" s="305" t="s">
        <v>708</v>
      </c>
      <c r="D78" s="305" t="s">
        <v>709</v>
      </c>
      <c r="E78" s="305" t="s">
        <v>19</v>
      </c>
      <c r="F78" s="306">
        <v>65.82</v>
      </c>
      <c r="G78" s="306"/>
      <c r="H78" s="306">
        <f>ROUND(F78*AE78,2)</f>
        <v>0</v>
      </c>
      <c r="I78" s="306">
        <f>J78-H78</f>
        <v>0</v>
      </c>
      <c r="J78" s="306">
        <f>ROUND(F78*G78,2)</f>
        <v>0</v>
      </c>
      <c r="K78" s="306">
        <v>0.02</v>
      </c>
      <c r="L78" s="306">
        <f>F78*K78</f>
        <v>1.3163999999999998</v>
      </c>
      <c r="M78" s="307" t="s">
        <v>606</v>
      </c>
      <c r="N78" s="307" t="s">
        <v>603</v>
      </c>
      <c r="O78" s="306">
        <f>IF(N78="5",I78,0)</f>
        <v>0</v>
      </c>
      <c r="Z78" s="306">
        <f>IF(AD78=0,J78,0)</f>
        <v>0</v>
      </c>
      <c r="AA78" s="306">
        <f>IF(AD78=15,J78,0)</f>
        <v>0</v>
      </c>
      <c r="AB78" s="306">
        <f>IF(AD78=21,J78,0)</f>
        <v>0</v>
      </c>
      <c r="AD78" s="308">
        <v>15</v>
      </c>
      <c r="AE78" s="308">
        <f>G78*0</f>
        <v>0</v>
      </c>
      <c r="AF78" s="308">
        <f>G78*(1-0)</f>
        <v>0</v>
      </c>
      <c r="AM78" s="308">
        <f>F78*AE78</f>
        <v>0</v>
      </c>
      <c r="AN78" s="308">
        <f>F78*AF78</f>
        <v>0</v>
      </c>
      <c r="AO78" s="309" t="s">
        <v>710</v>
      </c>
      <c r="AP78" s="309" t="s">
        <v>704</v>
      </c>
      <c r="AQ78" s="299" t="s">
        <v>609</v>
      </c>
    </row>
    <row r="79" spans="1:43" ht="12.75">
      <c r="A79" s="305" t="s">
        <v>711</v>
      </c>
      <c r="B79" s="305"/>
      <c r="C79" s="305" t="s">
        <v>712</v>
      </c>
      <c r="D79" s="305" t="s">
        <v>713</v>
      </c>
      <c r="E79" s="305" t="s">
        <v>19</v>
      </c>
      <c r="F79" s="306">
        <v>9.65</v>
      </c>
      <c r="G79" s="306"/>
      <c r="H79" s="306">
        <f>ROUND(F79*AE79,2)</f>
        <v>0</v>
      </c>
      <c r="I79" s="306">
        <f>J79-H79</f>
        <v>0</v>
      </c>
      <c r="J79" s="306">
        <f>ROUND(F79*G79,2)</f>
        <v>0</v>
      </c>
      <c r="K79" s="306">
        <v>0.01</v>
      </c>
      <c r="L79" s="306">
        <f>F79*K79</f>
        <v>0.0965</v>
      </c>
      <c r="M79" s="307" t="s">
        <v>606</v>
      </c>
      <c r="N79" s="307" t="s">
        <v>603</v>
      </c>
      <c r="O79" s="306">
        <f>IF(N79="5",I79,0)</f>
        <v>0</v>
      </c>
      <c r="Z79" s="306">
        <f>IF(AD79=0,J79,0)</f>
        <v>0</v>
      </c>
      <c r="AA79" s="306">
        <f>IF(AD79=15,J79,0)</f>
        <v>0</v>
      </c>
      <c r="AB79" s="306">
        <f>IF(AD79=21,J79,0)</f>
        <v>0</v>
      </c>
      <c r="AD79" s="308">
        <v>15</v>
      </c>
      <c r="AE79" s="308">
        <f>G79*0</f>
        <v>0</v>
      </c>
      <c r="AF79" s="308">
        <f>G79*(1-0)</f>
        <v>0</v>
      </c>
      <c r="AM79" s="308">
        <f>F79*AE79</f>
        <v>0</v>
      </c>
      <c r="AN79" s="308">
        <f>F79*AF79</f>
        <v>0</v>
      </c>
      <c r="AO79" s="309" t="s">
        <v>710</v>
      </c>
      <c r="AP79" s="309" t="s">
        <v>704</v>
      </c>
      <c r="AQ79" s="299" t="s">
        <v>609</v>
      </c>
    </row>
    <row r="80" spans="1:37" ht="12.75">
      <c r="A80" s="310"/>
      <c r="B80" s="311"/>
      <c r="C80" s="311" t="s">
        <v>714</v>
      </c>
      <c r="D80" s="375" t="s">
        <v>96</v>
      </c>
      <c r="E80" s="376"/>
      <c r="F80" s="376"/>
      <c r="G80" s="376"/>
      <c r="H80" s="304">
        <f>SUM(H81:H81)</f>
        <v>0</v>
      </c>
      <c r="I80" s="304">
        <f>SUM(I81:I81)</f>
        <v>0</v>
      </c>
      <c r="J80" s="304">
        <f>H80+I80</f>
        <v>0</v>
      </c>
      <c r="K80" s="299"/>
      <c r="L80" s="304">
        <f>SUM(L81:L81)</f>
        <v>0</v>
      </c>
      <c r="M80" s="299"/>
      <c r="P80" s="304">
        <f>IF(Q80="PR",J80,SUM(O81:O81))</f>
        <v>0</v>
      </c>
      <c r="Q80" s="299" t="s">
        <v>602</v>
      </c>
      <c r="R80" s="304">
        <f>IF(Q80="HS",H80,0)</f>
        <v>0</v>
      </c>
      <c r="S80" s="304">
        <f>IF(Q80="HS",I80-P80,0)</f>
        <v>0</v>
      </c>
      <c r="T80" s="304">
        <f>IF(Q80="PS",H80,0)</f>
        <v>0</v>
      </c>
      <c r="U80" s="304">
        <f>IF(Q80="PS",I80-P80,0)</f>
        <v>0</v>
      </c>
      <c r="V80" s="304">
        <f>IF(Q80="MP",H80,0)</f>
        <v>0</v>
      </c>
      <c r="W80" s="304">
        <f>IF(Q80="MP",I80-P80,0)</f>
        <v>0</v>
      </c>
      <c r="X80" s="304">
        <f>IF(Q80="OM",H80,0)</f>
        <v>0</v>
      </c>
      <c r="Y80" s="299"/>
      <c r="AI80" s="304">
        <f>SUM(Z81:Z81)</f>
        <v>0</v>
      </c>
      <c r="AJ80" s="304">
        <f>SUM(AA81:AA81)</f>
        <v>0</v>
      </c>
      <c r="AK80" s="304">
        <f>SUM(AB81:AB81)</f>
        <v>0</v>
      </c>
    </row>
    <row r="81" spans="1:43" ht="12.75">
      <c r="A81" s="305" t="s">
        <v>715</v>
      </c>
      <c r="B81" s="305"/>
      <c r="C81" s="305" t="s">
        <v>255</v>
      </c>
      <c r="D81" s="305" t="s">
        <v>101</v>
      </c>
      <c r="E81" s="305" t="s">
        <v>87</v>
      </c>
      <c r="F81" s="306">
        <v>0.07</v>
      </c>
      <c r="G81" s="306"/>
      <c r="H81" s="306">
        <f>ROUND(F81*AE81,2)</f>
        <v>0</v>
      </c>
      <c r="I81" s="306">
        <f>J81-H81</f>
        <v>0</v>
      </c>
      <c r="J81" s="306">
        <f>ROUND(F81*G81,2)</f>
        <v>0</v>
      </c>
      <c r="K81" s="306">
        <v>0</v>
      </c>
      <c r="L81" s="306">
        <f>F81*K81</f>
        <v>0</v>
      </c>
      <c r="M81" s="307" t="s">
        <v>606</v>
      </c>
      <c r="N81" s="307" t="s">
        <v>621</v>
      </c>
      <c r="O81" s="306">
        <f>IF(N81="5",I81,0)</f>
        <v>0</v>
      </c>
      <c r="Z81" s="306">
        <f>IF(AD81=0,J81,0)</f>
        <v>0</v>
      </c>
      <c r="AA81" s="306">
        <f>IF(AD81=15,J81,0)</f>
        <v>0</v>
      </c>
      <c r="AB81" s="306">
        <f>IF(AD81=21,J81,0)</f>
        <v>0</v>
      </c>
      <c r="AD81" s="308">
        <v>15</v>
      </c>
      <c r="AE81" s="308">
        <f>G81*0</f>
        <v>0</v>
      </c>
      <c r="AF81" s="308">
        <f>G81*(1-0)</f>
        <v>0</v>
      </c>
      <c r="AM81" s="308">
        <f>F81*AE81</f>
        <v>0</v>
      </c>
      <c r="AN81" s="308">
        <f>F81*AF81</f>
        <v>0</v>
      </c>
      <c r="AO81" s="309" t="s">
        <v>716</v>
      </c>
      <c r="AP81" s="309" t="s">
        <v>704</v>
      </c>
      <c r="AQ81" s="299" t="s">
        <v>609</v>
      </c>
    </row>
    <row r="82" spans="1:37" ht="12.75">
      <c r="A82" s="310"/>
      <c r="B82" s="311"/>
      <c r="C82" s="311" t="s">
        <v>717</v>
      </c>
      <c r="D82" s="375"/>
      <c r="E82" s="376"/>
      <c r="F82" s="376"/>
      <c r="G82" s="376"/>
      <c r="H82" s="304">
        <f>SUM(H83:H83)</f>
        <v>0</v>
      </c>
      <c r="I82" s="304">
        <f>SUM(I83:I83)</f>
        <v>0</v>
      </c>
      <c r="J82" s="304">
        <f>H82+I82</f>
        <v>0</v>
      </c>
      <c r="K82" s="299"/>
      <c r="L82" s="304">
        <f>SUM(L83:L83)</f>
        <v>0</v>
      </c>
      <c r="M82" s="299"/>
      <c r="P82" s="304">
        <f>IF(Q82="PR",J82,SUM(O83:O83))</f>
        <v>0</v>
      </c>
      <c r="Q82" s="299" t="s">
        <v>602</v>
      </c>
      <c r="R82" s="304">
        <f>IF(Q82="HS",H82,0)</f>
        <v>0</v>
      </c>
      <c r="S82" s="304">
        <f>IF(Q82="HS",I82-P82,0)</f>
        <v>0</v>
      </c>
      <c r="T82" s="304">
        <f>IF(Q82="PS",H82,0)</f>
        <v>0</v>
      </c>
      <c r="U82" s="304">
        <f>IF(Q82="PS",I82-P82,0)</f>
        <v>0</v>
      </c>
      <c r="V82" s="304">
        <f>IF(Q82="MP",H82,0)</f>
        <v>0</v>
      </c>
      <c r="W82" s="304">
        <f>IF(Q82="MP",I82-P82,0)</f>
        <v>0</v>
      </c>
      <c r="X82" s="304">
        <f>IF(Q82="OM",H82,0)</f>
        <v>0</v>
      </c>
      <c r="Y82" s="299"/>
      <c r="AI82" s="304">
        <f>SUM(Z83:Z83)</f>
        <v>0</v>
      </c>
      <c r="AJ82" s="304">
        <f>SUM(AA83:AA83)</f>
        <v>0</v>
      </c>
      <c r="AK82" s="304">
        <f>SUM(AB83:AB83)</f>
        <v>0</v>
      </c>
    </row>
    <row r="83" spans="1:43" ht="12.75">
      <c r="A83" s="305" t="s">
        <v>718</v>
      </c>
      <c r="B83" s="305"/>
      <c r="C83" s="305" t="s">
        <v>272</v>
      </c>
      <c r="D83" s="305" t="s">
        <v>120</v>
      </c>
      <c r="E83" s="305" t="s">
        <v>87</v>
      </c>
      <c r="F83" s="306">
        <v>0.01</v>
      </c>
      <c r="G83" s="306"/>
      <c r="H83" s="306">
        <f>ROUND(F83*AE83,2)</f>
        <v>0</v>
      </c>
      <c r="I83" s="306">
        <f>J83-H83</f>
        <v>0</v>
      </c>
      <c r="J83" s="306">
        <f>ROUND(F83*G83,2)</f>
        <v>0</v>
      </c>
      <c r="K83" s="306">
        <v>0</v>
      </c>
      <c r="L83" s="306">
        <f>F83*K83</f>
        <v>0</v>
      </c>
      <c r="M83" s="307" t="s">
        <v>606</v>
      </c>
      <c r="N83" s="307" t="s">
        <v>621</v>
      </c>
      <c r="O83" s="306">
        <f>IF(N83="5",I83,0)</f>
        <v>0</v>
      </c>
      <c r="Z83" s="306">
        <f>IF(AD83=0,J83,0)</f>
        <v>0</v>
      </c>
      <c r="AA83" s="306">
        <f>IF(AD83=15,J83,0)</f>
        <v>0</v>
      </c>
      <c r="AB83" s="306">
        <f>IF(AD83=21,J83,0)</f>
        <v>0</v>
      </c>
      <c r="AD83" s="308">
        <v>15</v>
      </c>
      <c r="AE83" s="308">
        <f>G83*0</f>
        <v>0</v>
      </c>
      <c r="AF83" s="308">
        <f>G83*(1-0)</f>
        <v>0</v>
      </c>
      <c r="AM83" s="308">
        <f>F83*AE83</f>
        <v>0</v>
      </c>
      <c r="AN83" s="308">
        <f>F83*AF83</f>
        <v>0</v>
      </c>
      <c r="AO83" s="309" t="s">
        <v>719</v>
      </c>
      <c r="AP83" s="309" t="s">
        <v>704</v>
      </c>
      <c r="AQ83" s="299" t="s">
        <v>609</v>
      </c>
    </row>
    <row r="84" spans="1:37" ht="12.75">
      <c r="A84" s="310"/>
      <c r="B84" s="311"/>
      <c r="C84" s="311" t="s">
        <v>720</v>
      </c>
      <c r="D84" s="375" t="s">
        <v>122</v>
      </c>
      <c r="E84" s="376"/>
      <c r="F84" s="376"/>
      <c r="G84" s="376"/>
      <c r="H84" s="304">
        <f>SUM(H85:H85)</f>
        <v>0</v>
      </c>
      <c r="I84" s="304">
        <f>SUM(I85:I85)</f>
        <v>0</v>
      </c>
      <c r="J84" s="304">
        <f>H84+I84</f>
        <v>0</v>
      </c>
      <c r="K84" s="299"/>
      <c r="L84" s="304">
        <f>SUM(L85:L85)</f>
        <v>0</v>
      </c>
      <c r="M84" s="299"/>
      <c r="P84" s="304">
        <f>IF(Q84="PR",J84,SUM(O85:O85))</f>
        <v>0</v>
      </c>
      <c r="Q84" s="299" t="s">
        <v>602</v>
      </c>
      <c r="R84" s="304">
        <f>IF(Q84="HS",H84,0)</f>
        <v>0</v>
      </c>
      <c r="S84" s="304">
        <f>IF(Q84="HS",I84-P84,0)</f>
        <v>0</v>
      </c>
      <c r="T84" s="304">
        <f>IF(Q84="PS",H84,0)</f>
        <v>0</v>
      </c>
      <c r="U84" s="304">
        <f>IF(Q84="PS",I84-P84,0)</f>
        <v>0</v>
      </c>
      <c r="V84" s="304">
        <f>IF(Q84="MP",H84,0)</f>
        <v>0</v>
      </c>
      <c r="W84" s="304">
        <f>IF(Q84="MP",I84-P84,0)</f>
        <v>0</v>
      </c>
      <c r="X84" s="304">
        <f>IF(Q84="OM",H84,0)</f>
        <v>0</v>
      </c>
      <c r="Y84" s="299"/>
      <c r="AI84" s="304">
        <f>SUM(Z85:Z85)</f>
        <v>0</v>
      </c>
      <c r="AJ84" s="304">
        <f>SUM(AA85:AA85)</f>
        <v>0</v>
      </c>
      <c r="AK84" s="304">
        <f>SUM(AB85:AB85)</f>
        <v>0</v>
      </c>
    </row>
    <row r="85" spans="1:43" ht="12.75">
      <c r="A85" s="305" t="s">
        <v>721</v>
      </c>
      <c r="B85" s="305"/>
      <c r="C85" s="305" t="s">
        <v>283</v>
      </c>
      <c r="D85" s="305" t="s">
        <v>133</v>
      </c>
      <c r="E85" s="305" t="s">
        <v>87</v>
      </c>
      <c r="F85" s="306">
        <v>0.1</v>
      </c>
      <c r="G85" s="306"/>
      <c r="H85" s="306">
        <f>ROUND(F85*AE85,2)</f>
        <v>0</v>
      </c>
      <c r="I85" s="306">
        <f>J85-H85</f>
        <v>0</v>
      </c>
      <c r="J85" s="306">
        <f>ROUND(F85*G85,2)</f>
        <v>0</v>
      </c>
      <c r="K85" s="306">
        <v>0</v>
      </c>
      <c r="L85" s="306">
        <f>F85*K85</f>
        <v>0</v>
      </c>
      <c r="M85" s="307" t="s">
        <v>606</v>
      </c>
      <c r="N85" s="307" t="s">
        <v>621</v>
      </c>
      <c r="O85" s="306">
        <f>IF(N85="5",I85,0)</f>
        <v>0</v>
      </c>
      <c r="Z85" s="306">
        <f>IF(AD85=0,J85,0)</f>
        <v>0</v>
      </c>
      <c r="AA85" s="306">
        <f>IF(AD85=15,J85,0)</f>
        <v>0</v>
      </c>
      <c r="AB85" s="306">
        <f>IF(AD85=21,J85,0)</f>
        <v>0</v>
      </c>
      <c r="AD85" s="308">
        <v>15</v>
      </c>
      <c r="AE85" s="308">
        <f>G85*0</f>
        <v>0</v>
      </c>
      <c r="AF85" s="308">
        <f>G85*(1-0)</f>
        <v>0</v>
      </c>
      <c r="AM85" s="308">
        <f>F85*AE85</f>
        <v>0</v>
      </c>
      <c r="AN85" s="308">
        <f>F85*AF85</f>
        <v>0</v>
      </c>
      <c r="AO85" s="309" t="s">
        <v>722</v>
      </c>
      <c r="AP85" s="309" t="s">
        <v>704</v>
      </c>
      <c r="AQ85" s="299" t="s">
        <v>609</v>
      </c>
    </row>
    <row r="86" spans="1:37" ht="12.75">
      <c r="A86" s="310"/>
      <c r="B86" s="311"/>
      <c r="C86" s="311" t="s">
        <v>723</v>
      </c>
      <c r="D86" s="375" t="s">
        <v>135</v>
      </c>
      <c r="E86" s="376"/>
      <c r="F86" s="376"/>
      <c r="G86" s="376"/>
      <c r="H86" s="304">
        <f>SUM(H87:H87)</f>
        <v>0</v>
      </c>
      <c r="I86" s="304">
        <f>SUM(I87:I87)</f>
        <v>0</v>
      </c>
      <c r="J86" s="304">
        <f>H86+I86</f>
        <v>0</v>
      </c>
      <c r="K86" s="299"/>
      <c r="L86" s="304">
        <f>SUM(L87:L87)</f>
        <v>0</v>
      </c>
      <c r="M86" s="299"/>
      <c r="P86" s="304">
        <f>IF(Q86="PR",J86,SUM(O87:O87))</f>
        <v>0</v>
      </c>
      <c r="Q86" s="299" t="s">
        <v>602</v>
      </c>
      <c r="R86" s="304">
        <f>IF(Q86="HS",H86,0)</f>
        <v>0</v>
      </c>
      <c r="S86" s="304">
        <f>IF(Q86="HS",I86-P86,0)</f>
        <v>0</v>
      </c>
      <c r="T86" s="304">
        <f>IF(Q86="PS",H86,0)</f>
        <v>0</v>
      </c>
      <c r="U86" s="304">
        <f>IF(Q86="PS",I86-P86,0)</f>
        <v>0</v>
      </c>
      <c r="V86" s="304">
        <f>IF(Q86="MP",H86,0)</f>
        <v>0</v>
      </c>
      <c r="W86" s="304">
        <f>IF(Q86="MP",I86-P86,0)</f>
        <v>0</v>
      </c>
      <c r="X86" s="304">
        <f>IF(Q86="OM",H86,0)</f>
        <v>0</v>
      </c>
      <c r="Y86" s="299"/>
      <c r="AI86" s="304">
        <f>SUM(Z87:Z87)</f>
        <v>0</v>
      </c>
      <c r="AJ86" s="304">
        <f>SUM(AA87:AA87)</f>
        <v>0</v>
      </c>
      <c r="AK86" s="304">
        <f>SUM(AB87:AB87)</f>
        <v>0</v>
      </c>
    </row>
    <row r="87" spans="1:43" ht="12.75">
      <c r="A87" s="305" t="s">
        <v>724</v>
      </c>
      <c r="B87" s="305"/>
      <c r="C87" s="305" t="s">
        <v>294</v>
      </c>
      <c r="D87" s="305" t="s">
        <v>154</v>
      </c>
      <c r="E87" s="305" t="s">
        <v>87</v>
      </c>
      <c r="F87" s="306">
        <v>0.21</v>
      </c>
      <c r="G87" s="306"/>
      <c r="H87" s="306">
        <f>ROUND(F87*AE87,2)</f>
        <v>0</v>
      </c>
      <c r="I87" s="306">
        <f>J87-H87</f>
        <v>0</v>
      </c>
      <c r="J87" s="306">
        <f>ROUND(F87*G87,2)</f>
        <v>0</v>
      </c>
      <c r="K87" s="306">
        <v>0</v>
      </c>
      <c r="L87" s="306">
        <f>F87*K87</f>
        <v>0</v>
      </c>
      <c r="M87" s="307" t="s">
        <v>606</v>
      </c>
      <c r="N87" s="307" t="s">
        <v>621</v>
      </c>
      <c r="O87" s="306">
        <f>IF(N87="5",I87,0)</f>
        <v>0</v>
      </c>
      <c r="Z87" s="306">
        <f>IF(AD87=0,J87,0)</f>
        <v>0</v>
      </c>
      <c r="AA87" s="306">
        <f>IF(AD87=15,J87,0)</f>
        <v>0</v>
      </c>
      <c r="AB87" s="306">
        <f>IF(AD87=21,J87,0)</f>
        <v>0</v>
      </c>
      <c r="AD87" s="308">
        <v>15</v>
      </c>
      <c r="AE87" s="308">
        <f>G87*0</f>
        <v>0</v>
      </c>
      <c r="AF87" s="308">
        <f>G87*(1-0)</f>
        <v>0</v>
      </c>
      <c r="AM87" s="308">
        <f>F87*AE87</f>
        <v>0</v>
      </c>
      <c r="AN87" s="308">
        <f>F87*AF87</f>
        <v>0</v>
      </c>
      <c r="AO87" s="309" t="s">
        <v>725</v>
      </c>
      <c r="AP87" s="309" t="s">
        <v>704</v>
      </c>
      <c r="AQ87" s="299" t="s">
        <v>609</v>
      </c>
    </row>
    <row r="88" spans="1:37" ht="12.75">
      <c r="A88" s="310"/>
      <c r="B88" s="311"/>
      <c r="C88" s="311" t="s">
        <v>726</v>
      </c>
      <c r="D88" s="375" t="s">
        <v>673</v>
      </c>
      <c r="E88" s="376"/>
      <c r="F88" s="376"/>
      <c r="G88" s="376"/>
      <c r="H88" s="304">
        <f>SUM(H89:H89)</f>
        <v>0</v>
      </c>
      <c r="I88" s="304">
        <f>SUM(I89:I89)</f>
        <v>0</v>
      </c>
      <c r="J88" s="304">
        <f>H88+I88</f>
        <v>0</v>
      </c>
      <c r="K88" s="299"/>
      <c r="L88" s="304">
        <f>SUM(L89:L89)</f>
        <v>0</v>
      </c>
      <c r="M88" s="299"/>
      <c r="P88" s="304">
        <f>IF(Q88="PR",J88,SUM(O89:O89))</f>
        <v>0</v>
      </c>
      <c r="Q88" s="299" t="s">
        <v>602</v>
      </c>
      <c r="R88" s="304">
        <f>IF(Q88="HS",H88,0)</f>
        <v>0</v>
      </c>
      <c r="S88" s="304">
        <f>IF(Q88="HS",I88-P88,0)</f>
        <v>0</v>
      </c>
      <c r="T88" s="304">
        <f>IF(Q88="PS",H88,0)</f>
        <v>0</v>
      </c>
      <c r="U88" s="304">
        <f>IF(Q88="PS",I88-P88,0)</f>
        <v>0</v>
      </c>
      <c r="V88" s="304">
        <f>IF(Q88="MP",H88,0)</f>
        <v>0</v>
      </c>
      <c r="W88" s="304">
        <f>IF(Q88="MP",I88-P88,0)</f>
        <v>0</v>
      </c>
      <c r="X88" s="304">
        <f>IF(Q88="OM",H88,0)</f>
        <v>0</v>
      </c>
      <c r="Y88" s="299"/>
      <c r="AI88" s="304">
        <f>SUM(Z89:Z89)</f>
        <v>0</v>
      </c>
      <c r="AJ88" s="304">
        <f>SUM(AA89:AA89)</f>
        <v>0</v>
      </c>
      <c r="AK88" s="304">
        <f>SUM(AB89:AB89)</f>
        <v>0</v>
      </c>
    </row>
    <row r="89" spans="1:43" ht="12.75">
      <c r="A89" s="305" t="s">
        <v>727</v>
      </c>
      <c r="B89" s="305"/>
      <c r="C89" s="305" t="s">
        <v>309</v>
      </c>
      <c r="D89" s="305" t="s">
        <v>171</v>
      </c>
      <c r="E89" s="305" t="s">
        <v>87</v>
      </c>
      <c r="F89" s="306">
        <v>0.28</v>
      </c>
      <c r="G89" s="306"/>
      <c r="H89" s="306">
        <f>ROUND(F89*AE89,2)</f>
        <v>0</v>
      </c>
      <c r="I89" s="306">
        <f>J89-H89</f>
        <v>0</v>
      </c>
      <c r="J89" s="306">
        <f>ROUND(F89*G89,2)</f>
        <v>0</v>
      </c>
      <c r="K89" s="306">
        <v>0</v>
      </c>
      <c r="L89" s="306">
        <f>F89*K89</f>
        <v>0</v>
      </c>
      <c r="M89" s="307" t="s">
        <v>606</v>
      </c>
      <c r="N89" s="307" t="s">
        <v>621</v>
      </c>
      <c r="O89" s="306">
        <f>IF(N89="5",I89,0)</f>
        <v>0</v>
      </c>
      <c r="Z89" s="306">
        <f>IF(AD89=0,J89,0)</f>
        <v>0</v>
      </c>
      <c r="AA89" s="306">
        <f>IF(AD89=15,J89,0)</f>
        <v>0</v>
      </c>
      <c r="AB89" s="306">
        <f>IF(AD89=21,J89,0)</f>
        <v>0</v>
      </c>
      <c r="AD89" s="308">
        <v>15</v>
      </c>
      <c r="AE89" s="308">
        <f>G89*0</f>
        <v>0</v>
      </c>
      <c r="AF89" s="308">
        <f>G89*(1-0)</f>
        <v>0</v>
      </c>
      <c r="AM89" s="308">
        <f>F89*AE89</f>
        <v>0</v>
      </c>
      <c r="AN89" s="308">
        <f>F89*AF89</f>
        <v>0</v>
      </c>
      <c r="AO89" s="309" t="s">
        <v>728</v>
      </c>
      <c r="AP89" s="309" t="s">
        <v>704</v>
      </c>
      <c r="AQ89" s="299" t="s">
        <v>609</v>
      </c>
    </row>
    <row r="90" spans="1:37" ht="12.75">
      <c r="A90" s="310"/>
      <c r="B90" s="311"/>
      <c r="C90" s="311" t="s">
        <v>729</v>
      </c>
      <c r="D90" s="375" t="s">
        <v>686</v>
      </c>
      <c r="E90" s="376"/>
      <c r="F90" s="376"/>
      <c r="G90" s="376"/>
      <c r="H90" s="304">
        <f>SUM(H91:H91)</f>
        <v>0</v>
      </c>
      <c r="I90" s="304">
        <f>SUM(I91:I91)</f>
        <v>0</v>
      </c>
      <c r="J90" s="304">
        <f>H90+I90</f>
        <v>0</v>
      </c>
      <c r="K90" s="299"/>
      <c r="L90" s="304">
        <f>SUM(L91:L91)</f>
        <v>0</v>
      </c>
      <c r="M90" s="299"/>
      <c r="P90" s="304">
        <f>IF(Q90="PR",J90,SUM(O91:O91))</f>
        <v>0</v>
      </c>
      <c r="Q90" s="299" t="s">
        <v>602</v>
      </c>
      <c r="R90" s="304">
        <f>IF(Q90="HS",H90,0)</f>
        <v>0</v>
      </c>
      <c r="S90" s="304">
        <f>IF(Q90="HS",I90-P90,0)</f>
        <v>0</v>
      </c>
      <c r="T90" s="304">
        <f>IF(Q90="PS",H90,0)</f>
        <v>0</v>
      </c>
      <c r="U90" s="304">
        <f>IF(Q90="PS",I90-P90,0)</f>
        <v>0</v>
      </c>
      <c r="V90" s="304">
        <f>IF(Q90="MP",H90,0)</f>
        <v>0</v>
      </c>
      <c r="W90" s="304">
        <f>IF(Q90="MP",I90-P90,0)</f>
        <v>0</v>
      </c>
      <c r="X90" s="304">
        <f>IF(Q90="OM",H90,0)</f>
        <v>0</v>
      </c>
      <c r="Y90" s="299"/>
      <c r="AI90" s="304">
        <f>SUM(Z91:Z91)</f>
        <v>0</v>
      </c>
      <c r="AJ90" s="304">
        <f>SUM(AA91:AA91)</f>
        <v>0</v>
      </c>
      <c r="AK90" s="304">
        <f>SUM(AB91:AB91)</f>
        <v>0</v>
      </c>
    </row>
    <row r="91" spans="1:43" ht="12.75">
      <c r="A91" s="305" t="s">
        <v>31</v>
      </c>
      <c r="B91" s="305"/>
      <c r="C91" s="305" t="s">
        <v>324</v>
      </c>
      <c r="D91" s="305" t="s">
        <v>188</v>
      </c>
      <c r="E91" s="305" t="s">
        <v>87</v>
      </c>
      <c r="F91" s="306">
        <v>2.29</v>
      </c>
      <c r="G91" s="306"/>
      <c r="H91" s="306">
        <f>ROUND(F91*AE91,2)</f>
        <v>0</v>
      </c>
      <c r="I91" s="306">
        <f>J91-H91</f>
        <v>0</v>
      </c>
      <c r="J91" s="306">
        <f>ROUND(F91*G91,2)</f>
        <v>0</v>
      </c>
      <c r="K91" s="306">
        <v>0</v>
      </c>
      <c r="L91" s="306">
        <f>F91*K91</f>
        <v>0</v>
      </c>
      <c r="M91" s="307" t="s">
        <v>606</v>
      </c>
      <c r="N91" s="307" t="s">
        <v>621</v>
      </c>
      <c r="O91" s="306">
        <f>IF(N91="5",I91,0)</f>
        <v>0</v>
      </c>
      <c r="Z91" s="306">
        <f>IF(AD91=0,J91,0)</f>
        <v>0</v>
      </c>
      <c r="AA91" s="306">
        <f>IF(AD91=15,J91,0)</f>
        <v>0</v>
      </c>
      <c r="AB91" s="306">
        <f>IF(AD91=21,J91,0)</f>
        <v>0</v>
      </c>
      <c r="AD91" s="308">
        <v>15</v>
      </c>
      <c r="AE91" s="308">
        <f>G91*0</f>
        <v>0</v>
      </c>
      <c r="AF91" s="308">
        <f>G91*(1-0)</f>
        <v>0</v>
      </c>
      <c r="AM91" s="308">
        <f>F91*AE91</f>
        <v>0</v>
      </c>
      <c r="AN91" s="308">
        <f>F91*AF91</f>
        <v>0</v>
      </c>
      <c r="AO91" s="309" t="s">
        <v>730</v>
      </c>
      <c r="AP91" s="309" t="s">
        <v>704</v>
      </c>
      <c r="AQ91" s="299" t="s">
        <v>609</v>
      </c>
    </row>
    <row r="92" spans="1:37" ht="12.75">
      <c r="A92" s="310"/>
      <c r="B92" s="311"/>
      <c r="C92" s="311" t="s">
        <v>461</v>
      </c>
      <c r="D92" s="375" t="s">
        <v>462</v>
      </c>
      <c r="E92" s="376"/>
      <c r="F92" s="376"/>
      <c r="G92" s="376"/>
      <c r="H92" s="304">
        <f>SUM(H93:H96)</f>
        <v>0</v>
      </c>
      <c r="I92" s="304">
        <f>SUM(I93:I96)</f>
        <v>0</v>
      </c>
      <c r="J92" s="304">
        <f>H92+I92</f>
        <v>0</v>
      </c>
      <c r="K92" s="299"/>
      <c r="L92" s="304">
        <f>SUM(L93:L96)</f>
        <v>0.00084</v>
      </c>
      <c r="M92" s="299"/>
      <c r="P92" s="304">
        <f>IF(Q92="PR",J92,SUM(O93:O96))</f>
        <v>0</v>
      </c>
      <c r="Q92" s="299" t="s">
        <v>731</v>
      </c>
      <c r="R92" s="304">
        <f>IF(Q92="HS",H92,0)</f>
        <v>0</v>
      </c>
      <c r="S92" s="304">
        <f>IF(Q92="HS",I92-P92,0)</f>
        <v>0</v>
      </c>
      <c r="T92" s="304">
        <f>IF(Q92="PS",H92,0)</f>
        <v>0</v>
      </c>
      <c r="U92" s="304">
        <f>IF(Q92="PS",I92-P92,0)</f>
        <v>0</v>
      </c>
      <c r="V92" s="304">
        <f>IF(Q92="MP",H92,0)</f>
        <v>0</v>
      </c>
      <c r="W92" s="304">
        <f>IF(Q92="MP",I92-P92,0)</f>
        <v>0</v>
      </c>
      <c r="X92" s="304">
        <f>IF(Q92="OM",H92,0)</f>
        <v>0</v>
      </c>
      <c r="Y92" s="299"/>
      <c r="AI92" s="304">
        <f>SUM(Z93:Z96)</f>
        <v>0</v>
      </c>
      <c r="AJ92" s="304">
        <f>SUM(AA93:AA96)</f>
        <v>0</v>
      </c>
      <c r="AK92" s="304">
        <f>SUM(AB93:AB96)</f>
        <v>0</v>
      </c>
    </row>
    <row r="93" spans="1:43" ht="12.75">
      <c r="A93" s="305" t="s">
        <v>612</v>
      </c>
      <c r="B93" s="305"/>
      <c r="C93" s="305" t="s">
        <v>81</v>
      </c>
      <c r="D93" s="305" t="s">
        <v>732</v>
      </c>
      <c r="E93" s="305" t="s">
        <v>83</v>
      </c>
      <c r="F93" s="306">
        <v>3</v>
      </c>
      <c r="G93" s="306"/>
      <c r="H93" s="306">
        <f>ROUND(F93*AE93,2)</f>
        <v>0</v>
      </c>
      <c r="I93" s="306">
        <f>J93-H93</f>
        <v>0</v>
      </c>
      <c r="J93" s="306">
        <f>ROUND(F93*G93,2)</f>
        <v>0</v>
      </c>
      <c r="K93" s="306">
        <v>0</v>
      </c>
      <c r="L93" s="306">
        <f>F93*K93</f>
        <v>0</v>
      </c>
      <c r="M93" s="307" t="s">
        <v>606</v>
      </c>
      <c r="N93" s="307" t="s">
        <v>369</v>
      </c>
      <c r="O93" s="306">
        <f>IF(N93="5",I93,0)</f>
        <v>0</v>
      </c>
      <c r="Z93" s="306">
        <f>IF(AD93=0,J93,0)</f>
        <v>0</v>
      </c>
      <c r="AA93" s="306">
        <f>IF(AD93=15,J93,0)</f>
        <v>0</v>
      </c>
      <c r="AB93" s="306">
        <f>IF(AD93=21,J93,0)</f>
        <v>0</v>
      </c>
      <c r="AD93" s="308">
        <v>15</v>
      </c>
      <c r="AE93" s="308">
        <f>G93*0</f>
        <v>0</v>
      </c>
      <c r="AF93" s="308">
        <f>G93*(1-0)</f>
        <v>0</v>
      </c>
      <c r="AM93" s="308">
        <f>F93*AE93</f>
        <v>0</v>
      </c>
      <c r="AN93" s="308">
        <f>F93*AF93</f>
        <v>0</v>
      </c>
      <c r="AO93" s="309" t="s">
        <v>733</v>
      </c>
      <c r="AP93" s="309" t="s">
        <v>704</v>
      </c>
      <c r="AQ93" s="299" t="s">
        <v>609</v>
      </c>
    </row>
    <row r="94" spans="1:43" ht="12.75">
      <c r="A94" s="305" t="s">
        <v>616</v>
      </c>
      <c r="B94" s="305"/>
      <c r="C94" s="305" t="s">
        <v>734</v>
      </c>
      <c r="D94" s="305" t="s">
        <v>735</v>
      </c>
      <c r="E94" s="305" t="s">
        <v>24</v>
      </c>
      <c r="F94" s="306">
        <v>7</v>
      </c>
      <c r="G94" s="306"/>
      <c r="H94" s="306">
        <f>ROUND(F94*AE94,2)</f>
        <v>0</v>
      </c>
      <c r="I94" s="306">
        <f>J94-H94</f>
        <v>0</v>
      </c>
      <c r="J94" s="306">
        <f>ROUND(F94*G94,2)</f>
        <v>0</v>
      </c>
      <c r="K94" s="306">
        <v>0.00012</v>
      </c>
      <c r="L94" s="306">
        <f>F94*K94</f>
        <v>0.00084</v>
      </c>
      <c r="M94" s="307" t="s">
        <v>606</v>
      </c>
      <c r="N94" s="307" t="s">
        <v>369</v>
      </c>
      <c r="O94" s="306">
        <f>IF(N94="5",I94,0)</f>
        <v>0</v>
      </c>
      <c r="Z94" s="306">
        <f>IF(AD94=0,J94,0)</f>
        <v>0</v>
      </c>
      <c r="AA94" s="306">
        <f>IF(AD94=15,J94,0)</f>
        <v>0</v>
      </c>
      <c r="AB94" s="306">
        <f>IF(AD94=21,J94,0)</f>
        <v>0</v>
      </c>
      <c r="AD94" s="308">
        <v>15</v>
      </c>
      <c r="AE94" s="308">
        <f>G94*0.662227087514444</f>
        <v>0</v>
      </c>
      <c r="AF94" s="308">
        <f>G94*(1-0.662227087514444)</f>
        <v>0</v>
      </c>
      <c r="AM94" s="308">
        <f>F94*AE94</f>
        <v>0</v>
      </c>
      <c r="AN94" s="308">
        <f>F94*AF94</f>
        <v>0</v>
      </c>
      <c r="AO94" s="309" t="s">
        <v>733</v>
      </c>
      <c r="AP94" s="309" t="s">
        <v>704</v>
      </c>
      <c r="AQ94" s="299" t="s">
        <v>609</v>
      </c>
    </row>
    <row r="95" spans="1:43" ht="12.75">
      <c r="A95" s="305" t="s">
        <v>40</v>
      </c>
      <c r="B95" s="305"/>
      <c r="C95" s="305" t="s">
        <v>736</v>
      </c>
      <c r="D95" s="305" t="s">
        <v>470</v>
      </c>
      <c r="E95" s="305" t="s">
        <v>24</v>
      </c>
      <c r="F95" s="306">
        <v>7</v>
      </c>
      <c r="G95" s="306"/>
      <c r="H95" s="306">
        <f>ROUND(F95*AE95,2)</f>
        <v>0</v>
      </c>
      <c r="I95" s="306">
        <f>J95-H95</f>
        <v>0</v>
      </c>
      <c r="J95" s="306">
        <f>ROUND(F95*G95,2)</f>
        <v>0</v>
      </c>
      <c r="K95" s="306">
        <v>0</v>
      </c>
      <c r="L95" s="306">
        <f>F95*K95</f>
        <v>0</v>
      </c>
      <c r="M95" s="307" t="s">
        <v>606</v>
      </c>
      <c r="N95" s="307" t="s">
        <v>369</v>
      </c>
      <c r="O95" s="306">
        <f>IF(N95="5",I95,0)</f>
        <v>0</v>
      </c>
      <c r="Z95" s="306">
        <f>IF(AD95=0,J95,0)</f>
        <v>0</v>
      </c>
      <c r="AA95" s="306">
        <f>IF(AD95=15,J95,0)</f>
        <v>0</v>
      </c>
      <c r="AB95" s="306">
        <f>IF(AD95=21,J95,0)</f>
        <v>0</v>
      </c>
      <c r="AD95" s="308">
        <v>15</v>
      </c>
      <c r="AE95" s="308">
        <f>G95*0</f>
        <v>0</v>
      </c>
      <c r="AF95" s="308">
        <f>G95*(1-0)</f>
        <v>0</v>
      </c>
      <c r="AM95" s="308">
        <f>F95*AE95</f>
        <v>0</v>
      </c>
      <c r="AN95" s="308">
        <f>F95*AF95</f>
        <v>0</v>
      </c>
      <c r="AO95" s="309" t="s">
        <v>733</v>
      </c>
      <c r="AP95" s="309" t="s">
        <v>704</v>
      </c>
      <c r="AQ95" s="299" t="s">
        <v>609</v>
      </c>
    </row>
    <row r="96" spans="1:43" ht="12.75">
      <c r="A96" s="305" t="s">
        <v>737</v>
      </c>
      <c r="B96" s="305"/>
      <c r="C96" s="305" t="s">
        <v>738</v>
      </c>
      <c r="D96" s="305" t="s">
        <v>739</v>
      </c>
      <c r="E96" s="305" t="s">
        <v>24</v>
      </c>
      <c r="F96" s="306">
        <v>7</v>
      </c>
      <c r="G96" s="306"/>
      <c r="H96" s="306">
        <f>ROUND(F96*AE96,2)</f>
        <v>0</v>
      </c>
      <c r="I96" s="306">
        <f>J96-H96</f>
        <v>0</v>
      </c>
      <c r="J96" s="306">
        <f>ROUND(F96*G96,2)</f>
        <v>0</v>
      </c>
      <c r="K96" s="306">
        <v>0</v>
      </c>
      <c r="L96" s="306">
        <f>F96*K96</f>
        <v>0</v>
      </c>
      <c r="M96" s="307" t="s">
        <v>606</v>
      </c>
      <c r="N96" s="307" t="s">
        <v>369</v>
      </c>
      <c r="O96" s="306">
        <f>IF(N96="5",I96,0)</f>
        <v>0</v>
      </c>
      <c r="Z96" s="306">
        <f>IF(AD96=0,J96,0)</f>
        <v>0</v>
      </c>
      <c r="AA96" s="306">
        <f>IF(AD96=15,J96,0)</f>
        <v>0</v>
      </c>
      <c r="AB96" s="306">
        <f>IF(AD96=21,J96,0)</f>
        <v>0</v>
      </c>
      <c r="AD96" s="308">
        <v>15</v>
      </c>
      <c r="AE96" s="308">
        <f>G96*0</f>
        <v>0</v>
      </c>
      <c r="AF96" s="308">
        <f>G96*(1-0)</f>
        <v>0</v>
      </c>
      <c r="AM96" s="308">
        <f>F96*AE96</f>
        <v>0</v>
      </c>
      <c r="AN96" s="308">
        <f>F96*AF96</f>
        <v>0</v>
      </c>
      <c r="AO96" s="309" t="s">
        <v>733</v>
      </c>
      <c r="AP96" s="309" t="s">
        <v>704</v>
      </c>
      <c r="AQ96" s="299" t="s">
        <v>609</v>
      </c>
    </row>
    <row r="97" spans="1:37" ht="12.75">
      <c r="A97" s="310"/>
      <c r="B97" s="311"/>
      <c r="C97" s="311" t="s">
        <v>740</v>
      </c>
      <c r="D97" s="375" t="s">
        <v>741</v>
      </c>
      <c r="E97" s="376"/>
      <c r="F97" s="376"/>
      <c r="G97" s="376"/>
      <c r="H97" s="304">
        <f>SUM(H98:H103)</f>
        <v>0</v>
      </c>
      <c r="I97" s="304">
        <f>SUM(I98:I103)</f>
        <v>0</v>
      </c>
      <c r="J97" s="304">
        <f>H97+I97</f>
        <v>0</v>
      </c>
      <c r="K97" s="299"/>
      <c r="L97" s="304">
        <f>SUM(L98:L103)</f>
        <v>0</v>
      </c>
      <c r="M97" s="299"/>
      <c r="P97" s="304">
        <f>IF(Q97="PR",J97,SUM(O98:O103))</f>
        <v>0</v>
      </c>
      <c r="Q97" s="299" t="s">
        <v>602</v>
      </c>
      <c r="R97" s="304">
        <f>IF(Q97="HS",H97,0)</f>
        <v>0</v>
      </c>
      <c r="S97" s="304">
        <f>IF(Q97="HS",I97-P97,0)</f>
        <v>0</v>
      </c>
      <c r="T97" s="304">
        <f>IF(Q97="PS",H97,0)</f>
        <v>0</v>
      </c>
      <c r="U97" s="304">
        <f>IF(Q97="PS",I97-P97,0)</f>
        <v>0</v>
      </c>
      <c r="V97" s="304">
        <f>IF(Q97="MP",H97,0)</f>
        <v>0</v>
      </c>
      <c r="W97" s="304">
        <f>IF(Q97="MP",I97-P97,0)</f>
        <v>0</v>
      </c>
      <c r="X97" s="304">
        <f>IF(Q97="OM",H97,0)</f>
        <v>0</v>
      </c>
      <c r="Y97" s="299"/>
      <c r="AI97" s="304">
        <f>SUM(Z98:Z103)</f>
        <v>0</v>
      </c>
      <c r="AJ97" s="304">
        <f>SUM(AA98:AA103)</f>
        <v>0</v>
      </c>
      <c r="AK97" s="304">
        <f>SUM(AB98:AB103)</f>
        <v>0</v>
      </c>
    </row>
    <row r="98" spans="1:43" ht="12.75">
      <c r="A98" s="305" t="s">
        <v>742</v>
      </c>
      <c r="B98" s="305"/>
      <c r="C98" s="305" t="s">
        <v>245</v>
      </c>
      <c r="D98" s="305" t="s">
        <v>86</v>
      </c>
      <c r="E98" s="305" t="s">
        <v>87</v>
      </c>
      <c r="F98" s="306">
        <v>5.15</v>
      </c>
      <c r="G98" s="306"/>
      <c r="H98" s="306">
        <f aca="true" t="shared" si="40" ref="H98:H103">ROUND(F98*AE98,2)</f>
        <v>0</v>
      </c>
      <c r="I98" s="306">
        <f aca="true" t="shared" si="41" ref="I98:I103">J98-H98</f>
        <v>0</v>
      </c>
      <c r="J98" s="306">
        <f aca="true" t="shared" si="42" ref="J98:J103">ROUND(F98*G98,2)</f>
        <v>0</v>
      </c>
      <c r="K98" s="306">
        <v>0</v>
      </c>
      <c r="L98" s="306">
        <f aca="true" t="shared" si="43" ref="L98:L103">F98*K98</f>
        <v>0</v>
      </c>
      <c r="M98" s="307" t="s">
        <v>606</v>
      </c>
      <c r="N98" s="307" t="s">
        <v>621</v>
      </c>
      <c r="O98" s="306">
        <f aca="true" t="shared" si="44" ref="O98:O103">IF(N98="5",I98,0)</f>
        <v>0</v>
      </c>
      <c r="Z98" s="306">
        <f aca="true" t="shared" si="45" ref="Z98:Z103">IF(AD98=0,J98,0)</f>
        <v>0</v>
      </c>
      <c r="AA98" s="306">
        <f aca="true" t="shared" si="46" ref="AA98:AA103">IF(AD98=15,J98,0)</f>
        <v>0</v>
      </c>
      <c r="AB98" s="306">
        <f aca="true" t="shared" si="47" ref="AB98:AB103">IF(AD98=21,J98,0)</f>
        <v>0</v>
      </c>
      <c r="AD98" s="308">
        <v>15</v>
      </c>
      <c r="AE98" s="308">
        <f aca="true" t="shared" si="48" ref="AE98:AE103">G98*0</f>
        <v>0</v>
      </c>
      <c r="AF98" s="308">
        <f aca="true" t="shared" si="49" ref="AF98:AF103">G98*(1-0)</f>
        <v>0</v>
      </c>
      <c r="AM98" s="308">
        <f aca="true" t="shared" si="50" ref="AM98:AM103">F98*AE98</f>
        <v>0</v>
      </c>
      <c r="AN98" s="308">
        <f aca="true" t="shared" si="51" ref="AN98:AN103">F98*AF98</f>
        <v>0</v>
      </c>
      <c r="AO98" s="309" t="s">
        <v>743</v>
      </c>
      <c r="AP98" s="309" t="s">
        <v>704</v>
      </c>
      <c r="AQ98" s="299" t="s">
        <v>609</v>
      </c>
    </row>
    <row r="99" spans="1:43" ht="12.75">
      <c r="A99" s="305" t="s">
        <v>744</v>
      </c>
      <c r="B99" s="305"/>
      <c r="C99" s="305" t="s">
        <v>330</v>
      </c>
      <c r="D99" s="305" t="s">
        <v>331</v>
      </c>
      <c r="E99" s="305" t="s">
        <v>87</v>
      </c>
      <c r="F99" s="306">
        <v>15.45</v>
      </c>
      <c r="G99" s="306"/>
      <c r="H99" s="306">
        <f t="shared" si="40"/>
        <v>0</v>
      </c>
      <c r="I99" s="306">
        <f t="shared" si="41"/>
        <v>0</v>
      </c>
      <c r="J99" s="306">
        <f t="shared" si="42"/>
        <v>0</v>
      </c>
      <c r="K99" s="306">
        <v>0</v>
      </c>
      <c r="L99" s="306">
        <f t="shared" si="43"/>
        <v>0</v>
      </c>
      <c r="M99" s="307" t="s">
        <v>606</v>
      </c>
      <c r="N99" s="307" t="s">
        <v>621</v>
      </c>
      <c r="O99" s="306">
        <f t="shared" si="44"/>
        <v>0</v>
      </c>
      <c r="Z99" s="306">
        <f t="shared" si="45"/>
        <v>0</v>
      </c>
      <c r="AA99" s="306">
        <f t="shared" si="46"/>
        <v>0</v>
      </c>
      <c r="AB99" s="306">
        <f t="shared" si="47"/>
        <v>0</v>
      </c>
      <c r="AD99" s="308">
        <v>15</v>
      </c>
      <c r="AE99" s="308">
        <f t="shared" si="48"/>
        <v>0</v>
      </c>
      <c r="AF99" s="308">
        <f t="shared" si="49"/>
        <v>0</v>
      </c>
      <c r="AM99" s="308">
        <f t="shared" si="50"/>
        <v>0</v>
      </c>
      <c r="AN99" s="308">
        <f t="shared" si="51"/>
        <v>0</v>
      </c>
      <c r="AO99" s="309" t="s">
        <v>743</v>
      </c>
      <c r="AP99" s="309" t="s">
        <v>704</v>
      </c>
      <c r="AQ99" s="299" t="s">
        <v>609</v>
      </c>
    </row>
    <row r="100" spans="1:43" ht="12.75">
      <c r="A100" s="305" t="s">
        <v>745</v>
      </c>
      <c r="B100" s="305"/>
      <c r="C100" s="305" t="s">
        <v>246</v>
      </c>
      <c r="D100" s="305" t="s">
        <v>88</v>
      </c>
      <c r="E100" s="305" t="s">
        <v>87</v>
      </c>
      <c r="F100" s="306">
        <v>5.15</v>
      </c>
      <c r="G100" s="306"/>
      <c r="H100" s="306">
        <f t="shared" si="40"/>
        <v>0</v>
      </c>
      <c r="I100" s="306">
        <f t="shared" si="41"/>
        <v>0</v>
      </c>
      <c r="J100" s="306">
        <f t="shared" si="42"/>
        <v>0</v>
      </c>
      <c r="K100" s="306">
        <v>0</v>
      </c>
      <c r="L100" s="306">
        <f t="shared" si="43"/>
        <v>0</v>
      </c>
      <c r="M100" s="307" t="s">
        <v>606</v>
      </c>
      <c r="N100" s="307" t="s">
        <v>621</v>
      </c>
      <c r="O100" s="306">
        <f t="shared" si="44"/>
        <v>0</v>
      </c>
      <c r="Z100" s="306">
        <f t="shared" si="45"/>
        <v>0</v>
      </c>
      <c r="AA100" s="306">
        <f t="shared" si="46"/>
        <v>0</v>
      </c>
      <c r="AB100" s="306">
        <f t="shared" si="47"/>
        <v>0</v>
      </c>
      <c r="AD100" s="308">
        <v>15</v>
      </c>
      <c r="AE100" s="308">
        <f t="shared" si="48"/>
        <v>0</v>
      </c>
      <c r="AF100" s="308">
        <f t="shared" si="49"/>
        <v>0</v>
      </c>
      <c r="AM100" s="308">
        <f t="shared" si="50"/>
        <v>0</v>
      </c>
      <c r="AN100" s="308">
        <f t="shared" si="51"/>
        <v>0</v>
      </c>
      <c r="AO100" s="309" t="s">
        <v>743</v>
      </c>
      <c r="AP100" s="309" t="s">
        <v>704</v>
      </c>
      <c r="AQ100" s="299" t="s">
        <v>609</v>
      </c>
    </row>
    <row r="101" spans="1:43" ht="12.75">
      <c r="A101" s="305" t="s">
        <v>746</v>
      </c>
      <c r="B101" s="305"/>
      <c r="C101" s="305" t="s">
        <v>247</v>
      </c>
      <c r="D101" s="305" t="s">
        <v>89</v>
      </c>
      <c r="E101" s="305" t="s">
        <v>87</v>
      </c>
      <c r="F101" s="306">
        <v>20.6</v>
      </c>
      <c r="G101" s="306"/>
      <c r="H101" s="306">
        <f t="shared" si="40"/>
        <v>0</v>
      </c>
      <c r="I101" s="306">
        <f t="shared" si="41"/>
        <v>0</v>
      </c>
      <c r="J101" s="306">
        <f t="shared" si="42"/>
        <v>0</v>
      </c>
      <c r="K101" s="306">
        <v>0</v>
      </c>
      <c r="L101" s="306">
        <f t="shared" si="43"/>
        <v>0</v>
      </c>
      <c r="M101" s="307" t="s">
        <v>606</v>
      </c>
      <c r="N101" s="307" t="s">
        <v>621</v>
      </c>
      <c r="O101" s="306">
        <f t="shared" si="44"/>
        <v>0</v>
      </c>
      <c r="Z101" s="306">
        <f t="shared" si="45"/>
        <v>0</v>
      </c>
      <c r="AA101" s="306">
        <f t="shared" si="46"/>
        <v>0</v>
      </c>
      <c r="AB101" s="306">
        <f t="shared" si="47"/>
        <v>0</v>
      </c>
      <c r="AD101" s="308">
        <v>15</v>
      </c>
      <c r="AE101" s="308">
        <f t="shared" si="48"/>
        <v>0</v>
      </c>
      <c r="AF101" s="308">
        <f t="shared" si="49"/>
        <v>0</v>
      </c>
      <c r="AM101" s="308">
        <f t="shared" si="50"/>
        <v>0</v>
      </c>
      <c r="AN101" s="308">
        <f t="shared" si="51"/>
        <v>0</v>
      </c>
      <c r="AO101" s="309" t="s">
        <v>743</v>
      </c>
      <c r="AP101" s="309" t="s">
        <v>704</v>
      </c>
      <c r="AQ101" s="299" t="s">
        <v>609</v>
      </c>
    </row>
    <row r="102" spans="1:43" ht="12.75">
      <c r="A102" s="305" t="s">
        <v>747</v>
      </c>
      <c r="B102" s="305"/>
      <c r="C102" s="305" t="s">
        <v>248</v>
      </c>
      <c r="D102" s="305" t="s">
        <v>90</v>
      </c>
      <c r="E102" s="305" t="s">
        <v>87</v>
      </c>
      <c r="F102" s="306">
        <v>5.15</v>
      </c>
      <c r="G102" s="306"/>
      <c r="H102" s="306">
        <f t="shared" si="40"/>
        <v>0</v>
      </c>
      <c r="I102" s="306">
        <f t="shared" si="41"/>
        <v>0</v>
      </c>
      <c r="J102" s="306">
        <f t="shared" si="42"/>
        <v>0</v>
      </c>
      <c r="K102" s="306">
        <v>0</v>
      </c>
      <c r="L102" s="306">
        <f t="shared" si="43"/>
        <v>0</v>
      </c>
      <c r="M102" s="307" t="s">
        <v>606</v>
      </c>
      <c r="N102" s="307" t="s">
        <v>621</v>
      </c>
      <c r="O102" s="306">
        <f t="shared" si="44"/>
        <v>0</v>
      </c>
      <c r="Z102" s="306">
        <f t="shared" si="45"/>
        <v>0</v>
      </c>
      <c r="AA102" s="306">
        <f t="shared" si="46"/>
        <v>0</v>
      </c>
      <c r="AB102" s="306">
        <f t="shared" si="47"/>
        <v>0</v>
      </c>
      <c r="AD102" s="308">
        <v>15</v>
      </c>
      <c r="AE102" s="308">
        <f t="shared" si="48"/>
        <v>0</v>
      </c>
      <c r="AF102" s="308">
        <f t="shared" si="49"/>
        <v>0</v>
      </c>
      <c r="AM102" s="308">
        <f t="shared" si="50"/>
        <v>0</v>
      </c>
      <c r="AN102" s="308">
        <f t="shared" si="51"/>
        <v>0</v>
      </c>
      <c r="AO102" s="309" t="s">
        <v>743</v>
      </c>
      <c r="AP102" s="309" t="s">
        <v>704</v>
      </c>
      <c r="AQ102" s="299" t="s">
        <v>609</v>
      </c>
    </row>
    <row r="103" spans="1:43" ht="12.75">
      <c r="A103" s="305" t="s">
        <v>748</v>
      </c>
      <c r="B103" s="305"/>
      <c r="C103" s="305" t="s">
        <v>249</v>
      </c>
      <c r="D103" s="305" t="s">
        <v>91</v>
      </c>
      <c r="E103" s="305" t="s">
        <v>87</v>
      </c>
      <c r="F103" s="306">
        <v>5.15</v>
      </c>
      <c r="G103" s="306"/>
      <c r="H103" s="306">
        <f t="shared" si="40"/>
        <v>0</v>
      </c>
      <c r="I103" s="306">
        <f t="shared" si="41"/>
        <v>0</v>
      </c>
      <c r="J103" s="306">
        <f t="shared" si="42"/>
        <v>0</v>
      </c>
      <c r="K103" s="306">
        <v>0</v>
      </c>
      <c r="L103" s="306">
        <f t="shared" si="43"/>
        <v>0</v>
      </c>
      <c r="M103" s="307" t="s">
        <v>606</v>
      </c>
      <c r="N103" s="307" t="s">
        <v>621</v>
      </c>
      <c r="O103" s="306">
        <f t="shared" si="44"/>
        <v>0</v>
      </c>
      <c r="Z103" s="306">
        <f t="shared" si="45"/>
        <v>0</v>
      </c>
      <c r="AA103" s="306">
        <f t="shared" si="46"/>
        <v>0</v>
      </c>
      <c r="AB103" s="306">
        <f t="shared" si="47"/>
        <v>0</v>
      </c>
      <c r="AD103" s="308">
        <v>15</v>
      </c>
      <c r="AE103" s="308">
        <f t="shared" si="48"/>
        <v>0</v>
      </c>
      <c r="AF103" s="308">
        <f t="shared" si="49"/>
        <v>0</v>
      </c>
      <c r="AM103" s="308">
        <f t="shared" si="50"/>
        <v>0</v>
      </c>
      <c r="AN103" s="308">
        <f t="shared" si="51"/>
        <v>0</v>
      </c>
      <c r="AO103" s="309" t="s">
        <v>743</v>
      </c>
      <c r="AP103" s="309" t="s">
        <v>704</v>
      </c>
      <c r="AQ103" s="299" t="s">
        <v>609</v>
      </c>
    </row>
    <row r="104" spans="1:37" ht="12.75">
      <c r="A104" s="310"/>
      <c r="B104" s="311"/>
      <c r="C104" s="311"/>
      <c r="D104" s="375" t="s">
        <v>749</v>
      </c>
      <c r="E104" s="376"/>
      <c r="F104" s="376"/>
      <c r="G104" s="376"/>
      <c r="H104" s="304">
        <f>SUM(H105:H120)</f>
        <v>0</v>
      </c>
      <c r="I104" s="304">
        <f>SUM(I105:I120)</f>
        <v>0</v>
      </c>
      <c r="J104" s="304">
        <f>H104+I104</f>
        <v>0</v>
      </c>
      <c r="K104" s="299"/>
      <c r="L104" s="304">
        <f>SUM(L105:L120)</f>
        <v>0.7988599999999999</v>
      </c>
      <c r="M104" s="299"/>
      <c r="P104" s="304">
        <f>IF(Q104="PR",J104,SUM(O105:O120))</f>
        <v>0</v>
      </c>
      <c r="Q104" s="299" t="s">
        <v>750</v>
      </c>
      <c r="R104" s="304">
        <f>IF(Q104="HS",H104,0)</f>
        <v>0</v>
      </c>
      <c r="S104" s="304">
        <f>IF(Q104="HS",I104-P104,0)</f>
        <v>0</v>
      </c>
      <c r="T104" s="304">
        <f>IF(Q104="PS",H104,0)</f>
        <v>0</v>
      </c>
      <c r="U104" s="304">
        <f>IF(Q104="PS",I104-P104,0)</f>
        <v>0</v>
      </c>
      <c r="V104" s="304">
        <f>IF(Q104="MP",H104,0)</f>
        <v>0</v>
      </c>
      <c r="W104" s="304">
        <f>IF(Q104="MP",I104-P104,0)</f>
        <v>0</v>
      </c>
      <c r="X104" s="304">
        <f>IF(Q104="OM",H104,0)</f>
        <v>0</v>
      </c>
      <c r="Y104" s="299"/>
      <c r="AI104" s="304">
        <f>SUM(Z105:Z120)</f>
        <v>0</v>
      </c>
      <c r="AJ104" s="304">
        <f>SUM(AA105:AA120)</f>
        <v>0</v>
      </c>
      <c r="AK104" s="304">
        <f>SUM(AB105:AB120)</f>
        <v>0</v>
      </c>
    </row>
    <row r="105" spans="1:43" ht="12.75">
      <c r="A105" s="312" t="s">
        <v>751</v>
      </c>
      <c r="B105" s="312"/>
      <c r="C105" s="312" t="s">
        <v>752</v>
      </c>
      <c r="D105" s="312" t="s">
        <v>753</v>
      </c>
      <c r="E105" s="312" t="s">
        <v>24</v>
      </c>
      <c r="F105" s="313">
        <v>3</v>
      </c>
      <c r="G105" s="313"/>
      <c r="H105" s="313">
        <f aca="true" t="shared" si="52" ref="H105:H120">ROUND(F105*AE105,2)</f>
        <v>0</v>
      </c>
      <c r="I105" s="313">
        <f aca="true" t="shared" si="53" ref="I105:I120">J105-H105</f>
        <v>0</v>
      </c>
      <c r="J105" s="313">
        <f aca="true" t="shared" si="54" ref="J105:J120">ROUND(F105*G105,2)</f>
        <v>0</v>
      </c>
      <c r="K105" s="313">
        <v>5E-05</v>
      </c>
      <c r="L105" s="313">
        <f aca="true" t="shared" si="55" ref="L105:L120">F105*K105</f>
        <v>0.00015000000000000001</v>
      </c>
      <c r="M105" s="314" t="s">
        <v>606</v>
      </c>
      <c r="N105" s="314" t="s">
        <v>754</v>
      </c>
      <c r="O105" s="313">
        <f aca="true" t="shared" si="56" ref="O105:O120">IF(N105="5",I105,0)</f>
        <v>0</v>
      </c>
      <c r="Z105" s="313">
        <f aca="true" t="shared" si="57" ref="Z105:Z120">IF(AD105=0,J105,0)</f>
        <v>0</v>
      </c>
      <c r="AA105" s="313">
        <f aca="true" t="shared" si="58" ref="AA105:AA120">IF(AD105=15,J105,0)</f>
        <v>0</v>
      </c>
      <c r="AB105" s="313">
        <f aca="true" t="shared" si="59" ref="AB105:AB120">IF(AD105=21,J105,0)</f>
        <v>0</v>
      </c>
      <c r="AD105" s="308">
        <v>15</v>
      </c>
      <c r="AE105" s="308">
        <f aca="true" t="shared" si="60" ref="AE105:AE120">G105*1</f>
        <v>0</v>
      </c>
      <c r="AF105" s="308">
        <f aca="true" t="shared" si="61" ref="AF105:AF120">G105*(1-1)</f>
        <v>0</v>
      </c>
      <c r="AM105" s="308">
        <f aca="true" t="shared" si="62" ref="AM105:AM120">F105*AE105</f>
        <v>0</v>
      </c>
      <c r="AN105" s="308">
        <f aca="true" t="shared" si="63" ref="AN105:AN120">F105*AF105</f>
        <v>0</v>
      </c>
      <c r="AO105" s="309" t="s">
        <v>755</v>
      </c>
      <c r="AP105" s="309" t="s">
        <v>756</v>
      </c>
      <c r="AQ105" s="299" t="s">
        <v>609</v>
      </c>
    </row>
    <row r="106" spans="1:43" ht="12.75">
      <c r="A106" s="312" t="s">
        <v>757</v>
      </c>
      <c r="B106" s="312"/>
      <c r="C106" s="312" t="s">
        <v>758</v>
      </c>
      <c r="D106" s="312" t="s">
        <v>106</v>
      </c>
      <c r="E106" s="312" t="s">
        <v>24</v>
      </c>
      <c r="F106" s="313">
        <v>2</v>
      </c>
      <c r="G106" s="313"/>
      <c r="H106" s="313">
        <f t="shared" si="52"/>
        <v>0</v>
      </c>
      <c r="I106" s="313">
        <f t="shared" si="53"/>
        <v>0</v>
      </c>
      <c r="J106" s="313">
        <f t="shared" si="54"/>
        <v>0</v>
      </c>
      <c r="K106" s="313">
        <v>6E-05</v>
      </c>
      <c r="L106" s="313">
        <f t="shared" si="55"/>
        <v>0.00012</v>
      </c>
      <c r="M106" s="314" t="s">
        <v>606</v>
      </c>
      <c r="N106" s="314" t="s">
        <v>754</v>
      </c>
      <c r="O106" s="313">
        <f t="shared" si="56"/>
        <v>0</v>
      </c>
      <c r="Z106" s="313">
        <f t="shared" si="57"/>
        <v>0</v>
      </c>
      <c r="AA106" s="313">
        <f t="shared" si="58"/>
        <v>0</v>
      </c>
      <c r="AB106" s="313">
        <f t="shared" si="59"/>
        <v>0</v>
      </c>
      <c r="AD106" s="308">
        <v>15</v>
      </c>
      <c r="AE106" s="308">
        <f t="shared" si="60"/>
        <v>0</v>
      </c>
      <c r="AF106" s="308">
        <f t="shared" si="61"/>
        <v>0</v>
      </c>
      <c r="AM106" s="308">
        <f t="shared" si="62"/>
        <v>0</v>
      </c>
      <c r="AN106" s="308">
        <f t="shared" si="63"/>
        <v>0</v>
      </c>
      <c r="AO106" s="309" t="s">
        <v>755</v>
      </c>
      <c r="AP106" s="309" t="s">
        <v>756</v>
      </c>
      <c r="AQ106" s="299" t="s">
        <v>609</v>
      </c>
    </row>
    <row r="107" spans="1:43" ht="12.75">
      <c r="A107" s="312" t="s">
        <v>759</v>
      </c>
      <c r="B107" s="312"/>
      <c r="C107" s="312" t="s">
        <v>760</v>
      </c>
      <c r="D107" s="312" t="s">
        <v>110</v>
      </c>
      <c r="E107" s="312" t="s">
        <v>24</v>
      </c>
      <c r="F107" s="313">
        <v>1</v>
      </c>
      <c r="G107" s="313"/>
      <c r="H107" s="313">
        <f t="shared" si="52"/>
        <v>0</v>
      </c>
      <c r="I107" s="313">
        <f t="shared" si="53"/>
        <v>0</v>
      </c>
      <c r="J107" s="313">
        <f t="shared" si="54"/>
        <v>0</v>
      </c>
      <c r="K107" s="313">
        <v>6E-05</v>
      </c>
      <c r="L107" s="313">
        <f t="shared" si="55"/>
        <v>6E-05</v>
      </c>
      <c r="M107" s="314" t="s">
        <v>606</v>
      </c>
      <c r="N107" s="314" t="s">
        <v>754</v>
      </c>
      <c r="O107" s="313">
        <f t="shared" si="56"/>
        <v>0</v>
      </c>
      <c r="Z107" s="313">
        <f t="shared" si="57"/>
        <v>0</v>
      </c>
      <c r="AA107" s="313">
        <f t="shared" si="58"/>
        <v>0</v>
      </c>
      <c r="AB107" s="313">
        <f t="shared" si="59"/>
        <v>0</v>
      </c>
      <c r="AD107" s="308">
        <v>15</v>
      </c>
      <c r="AE107" s="308">
        <f t="shared" si="60"/>
        <v>0</v>
      </c>
      <c r="AF107" s="308">
        <f t="shared" si="61"/>
        <v>0</v>
      </c>
      <c r="AM107" s="308">
        <f t="shared" si="62"/>
        <v>0</v>
      </c>
      <c r="AN107" s="308">
        <f t="shared" si="63"/>
        <v>0</v>
      </c>
      <c r="AO107" s="309" t="s">
        <v>755</v>
      </c>
      <c r="AP107" s="309" t="s">
        <v>756</v>
      </c>
      <c r="AQ107" s="299" t="s">
        <v>609</v>
      </c>
    </row>
    <row r="108" spans="1:43" ht="12.75">
      <c r="A108" s="312" t="s">
        <v>761</v>
      </c>
      <c r="B108" s="312"/>
      <c r="C108" s="312" t="s">
        <v>762</v>
      </c>
      <c r="D108" s="312" t="s">
        <v>763</v>
      </c>
      <c r="E108" s="312" t="s">
        <v>24</v>
      </c>
      <c r="F108" s="313">
        <v>1</v>
      </c>
      <c r="G108" s="313"/>
      <c r="H108" s="313">
        <f t="shared" si="52"/>
        <v>0</v>
      </c>
      <c r="I108" s="313">
        <f t="shared" si="53"/>
        <v>0</v>
      </c>
      <c r="J108" s="313">
        <f t="shared" si="54"/>
        <v>0</v>
      </c>
      <c r="K108" s="313">
        <v>5E-05</v>
      </c>
      <c r="L108" s="313">
        <f t="shared" si="55"/>
        <v>5E-05</v>
      </c>
      <c r="M108" s="314" t="s">
        <v>606</v>
      </c>
      <c r="N108" s="314" t="s">
        <v>754</v>
      </c>
      <c r="O108" s="313">
        <f t="shared" si="56"/>
        <v>0</v>
      </c>
      <c r="Z108" s="313">
        <f t="shared" si="57"/>
        <v>0</v>
      </c>
      <c r="AA108" s="313">
        <f t="shared" si="58"/>
        <v>0</v>
      </c>
      <c r="AB108" s="313">
        <f t="shared" si="59"/>
        <v>0</v>
      </c>
      <c r="AD108" s="308">
        <v>15</v>
      </c>
      <c r="AE108" s="308">
        <f t="shared" si="60"/>
        <v>0</v>
      </c>
      <c r="AF108" s="308">
        <f t="shared" si="61"/>
        <v>0</v>
      </c>
      <c r="AM108" s="308">
        <f t="shared" si="62"/>
        <v>0</v>
      </c>
      <c r="AN108" s="308">
        <f t="shared" si="63"/>
        <v>0</v>
      </c>
      <c r="AO108" s="309" t="s">
        <v>755</v>
      </c>
      <c r="AP108" s="309" t="s">
        <v>756</v>
      </c>
      <c r="AQ108" s="299" t="s">
        <v>609</v>
      </c>
    </row>
    <row r="109" spans="1:43" ht="12.75">
      <c r="A109" s="312" t="s">
        <v>764</v>
      </c>
      <c r="B109" s="312"/>
      <c r="C109" s="312" t="s">
        <v>765</v>
      </c>
      <c r="D109" s="312" t="s">
        <v>766</v>
      </c>
      <c r="E109" s="312" t="s">
        <v>24</v>
      </c>
      <c r="F109" s="313">
        <v>4</v>
      </c>
      <c r="G109" s="313"/>
      <c r="H109" s="313">
        <f t="shared" si="52"/>
        <v>0</v>
      </c>
      <c r="I109" s="313">
        <f t="shared" si="53"/>
        <v>0</v>
      </c>
      <c r="J109" s="313">
        <f t="shared" si="54"/>
        <v>0</v>
      </c>
      <c r="K109" s="313">
        <v>7E-05</v>
      </c>
      <c r="L109" s="313">
        <f t="shared" si="55"/>
        <v>0.00028</v>
      </c>
      <c r="M109" s="314" t="s">
        <v>606</v>
      </c>
      <c r="N109" s="314" t="s">
        <v>754</v>
      </c>
      <c r="O109" s="313">
        <f t="shared" si="56"/>
        <v>0</v>
      </c>
      <c r="Z109" s="313">
        <f t="shared" si="57"/>
        <v>0</v>
      </c>
      <c r="AA109" s="313">
        <f t="shared" si="58"/>
        <v>0</v>
      </c>
      <c r="AB109" s="313">
        <f t="shared" si="59"/>
        <v>0</v>
      </c>
      <c r="AD109" s="308">
        <v>15</v>
      </c>
      <c r="AE109" s="308">
        <f t="shared" si="60"/>
        <v>0</v>
      </c>
      <c r="AF109" s="308">
        <f t="shared" si="61"/>
        <v>0</v>
      </c>
      <c r="AM109" s="308">
        <f t="shared" si="62"/>
        <v>0</v>
      </c>
      <c r="AN109" s="308">
        <f t="shared" si="63"/>
        <v>0</v>
      </c>
      <c r="AO109" s="309" t="s">
        <v>755</v>
      </c>
      <c r="AP109" s="309" t="s">
        <v>756</v>
      </c>
      <c r="AQ109" s="299" t="s">
        <v>609</v>
      </c>
    </row>
    <row r="110" spans="1:43" ht="12.75">
      <c r="A110" s="312" t="s">
        <v>767</v>
      </c>
      <c r="B110" s="312"/>
      <c r="C110" s="312" t="s">
        <v>760</v>
      </c>
      <c r="D110" s="312" t="s">
        <v>110</v>
      </c>
      <c r="E110" s="312" t="s">
        <v>24</v>
      </c>
      <c r="F110" s="313">
        <v>2</v>
      </c>
      <c r="G110" s="313"/>
      <c r="H110" s="313">
        <f t="shared" si="52"/>
        <v>0</v>
      </c>
      <c r="I110" s="313">
        <f t="shared" si="53"/>
        <v>0</v>
      </c>
      <c r="J110" s="313">
        <f t="shared" si="54"/>
        <v>0</v>
      </c>
      <c r="K110" s="313">
        <v>6E-05</v>
      </c>
      <c r="L110" s="313">
        <f t="shared" si="55"/>
        <v>0.00012</v>
      </c>
      <c r="M110" s="314" t="s">
        <v>606</v>
      </c>
      <c r="N110" s="314" t="s">
        <v>754</v>
      </c>
      <c r="O110" s="313">
        <f t="shared" si="56"/>
        <v>0</v>
      </c>
      <c r="Z110" s="313">
        <f t="shared" si="57"/>
        <v>0</v>
      </c>
      <c r="AA110" s="313">
        <f t="shared" si="58"/>
        <v>0</v>
      </c>
      <c r="AB110" s="313">
        <f t="shared" si="59"/>
        <v>0</v>
      </c>
      <c r="AD110" s="308">
        <v>15</v>
      </c>
      <c r="AE110" s="308">
        <f t="shared" si="60"/>
        <v>0</v>
      </c>
      <c r="AF110" s="308">
        <f t="shared" si="61"/>
        <v>0</v>
      </c>
      <c r="AM110" s="308">
        <f t="shared" si="62"/>
        <v>0</v>
      </c>
      <c r="AN110" s="308">
        <f t="shared" si="63"/>
        <v>0</v>
      </c>
      <c r="AO110" s="309" t="s">
        <v>755</v>
      </c>
      <c r="AP110" s="309" t="s">
        <v>756</v>
      </c>
      <c r="AQ110" s="299" t="s">
        <v>609</v>
      </c>
    </row>
    <row r="111" spans="1:43" ht="12.75">
      <c r="A111" s="312" t="s">
        <v>768</v>
      </c>
      <c r="B111" s="312"/>
      <c r="C111" s="312" t="s">
        <v>769</v>
      </c>
      <c r="D111" s="312" t="s">
        <v>770</v>
      </c>
      <c r="E111" s="312" t="s">
        <v>24</v>
      </c>
      <c r="F111" s="313">
        <v>4</v>
      </c>
      <c r="G111" s="313"/>
      <c r="H111" s="313">
        <f t="shared" si="52"/>
        <v>0</v>
      </c>
      <c r="I111" s="313">
        <f t="shared" si="53"/>
        <v>0</v>
      </c>
      <c r="J111" s="313">
        <f t="shared" si="54"/>
        <v>0</v>
      </c>
      <c r="K111" s="313">
        <v>0.00023</v>
      </c>
      <c r="L111" s="313">
        <f t="shared" si="55"/>
        <v>0.00092</v>
      </c>
      <c r="M111" s="314" t="s">
        <v>606</v>
      </c>
      <c r="N111" s="314" t="s">
        <v>754</v>
      </c>
      <c r="O111" s="313">
        <f t="shared" si="56"/>
        <v>0</v>
      </c>
      <c r="Z111" s="313">
        <f t="shared" si="57"/>
        <v>0</v>
      </c>
      <c r="AA111" s="313">
        <f t="shared" si="58"/>
        <v>0</v>
      </c>
      <c r="AB111" s="313">
        <f t="shared" si="59"/>
        <v>0</v>
      </c>
      <c r="AD111" s="308">
        <v>15</v>
      </c>
      <c r="AE111" s="308">
        <f t="shared" si="60"/>
        <v>0</v>
      </c>
      <c r="AF111" s="308">
        <f t="shared" si="61"/>
        <v>0</v>
      </c>
      <c r="AM111" s="308">
        <f t="shared" si="62"/>
        <v>0</v>
      </c>
      <c r="AN111" s="308">
        <f t="shared" si="63"/>
        <v>0</v>
      </c>
      <c r="AO111" s="309" t="s">
        <v>755</v>
      </c>
      <c r="AP111" s="309" t="s">
        <v>756</v>
      </c>
      <c r="AQ111" s="299" t="s">
        <v>609</v>
      </c>
    </row>
    <row r="112" spans="1:43" ht="12.75">
      <c r="A112" s="312" t="s">
        <v>771</v>
      </c>
      <c r="B112" s="312"/>
      <c r="C112" s="312" t="s">
        <v>772</v>
      </c>
      <c r="D112" s="312" t="s">
        <v>113</v>
      </c>
      <c r="E112" s="312" t="s">
        <v>24</v>
      </c>
      <c r="F112" s="313">
        <v>2</v>
      </c>
      <c r="G112" s="313"/>
      <c r="H112" s="313">
        <f t="shared" si="52"/>
        <v>0</v>
      </c>
      <c r="I112" s="313">
        <f t="shared" si="53"/>
        <v>0</v>
      </c>
      <c r="J112" s="313">
        <f t="shared" si="54"/>
        <v>0</v>
      </c>
      <c r="K112" s="313">
        <v>0.00011</v>
      </c>
      <c r="L112" s="313">
        <f t="shared" si="55"/>
        <v>0.00022</v>
      </c>
      <c r="M112" s="314" t="s">
        <v>606</v>
      </c>
      <c r="N112" s="314" t="s">
        <v>754</v>
      </c>
      <c r="O112" s="313">
        <f t="shared" si="56"/>
        <v>0</v>
      </c>
      <c r="Z112" s="313">
        <f t="shared" si="57"/>
        <v>0</v>
      </c>
      <c r="AA112" s="313">
        <f t="shared" si="58"/>
        <v>0</v>
      </c>
      <c r="AB112" s="313">
        <f t="shared" si="59"/>
        <v>0</v>
      </c>
      <c r="AD112" s="308">
        <v>15</v>
      </c>
      <c r="AE112" s="308">
        <f t="shared" si="60"/>
        <v>0</v>
      </c>
      <c r="AF112" s="308">
        <f t="shared" si="61"/>
        <v>0</v>
      </c>
      <c r="AM112" s="308">
        <f t="shared" si="62"/>
        <v>0</v>
      </c>
      <c r="AN112" s="308">
        <f t="shared" si="63"/>
        <v>0</v>
      </c>
      <c r="AO112" s="309" t="s">
        <v>755</v>
      </c>
      <c r="AP112" s="309" t="s">
        <v>756</v>
      </c>
      <c r="AQ112" s="299" t="s">
        <v>609</v>
      </c>
    </row>
    <row r="113" spans="1:43" ht="12.75">
      <c r="A113" s="312" t="s">
        <v>773</v>
      </c>
      <c r="B113" s="312"/>
      <c r="C113" s="312" t="s">
        <v>774</v>
      </c>
      <c r="D113" s="312" t="s">
        <v>775</v>
      </c>
      <c r="E113" s="312" t="s">
        <v>24</v>
      </c>
      <c r="F113" s="313">
        <v>6</v>
      </c>
      <c r="G113" s="313"/>
      <c r="H113" s="313">
        <f t="shared" si="52"/>
        <v>0</v>
      </c>
      <c r="I113" s="313">
        <f t="shared" si="53"/>
        <v>0</v>
      </c>
      <c r="J113" s="313">
        <f t="shared" si="54"/>
        <v>0</v>
      </c>
      <c r="K113" s="313">
        <v>0.0002</v>
      </c>
      <c r="L113" s="313">
        <f t="shared" si="55"/>
        <v>0.0012000000000000001</v>
      </c>
      <c r="M113" s="314" t="s">
        <v>606</v>
      </c>
      <c r="N113" s="314" t="s">
        <v>754</v>
      </c>
      <c r="O113" s="313">
        <f t="shared" si="56"/>
        <v>0</v>
      </c>
      <c r="Z113" s="313">
        <f t="shared" si="57"/>
        <v>0</v>
      </c>
      <c r="AA113" s="313">
        <f t="shared" si="58"/>
        <v>0</v>
      </c>
      <c r="AB113" s="313">
        <f t="shared" si="59"/>
        <v>0</v>
      </c>
      <c r="AD113" s="308">
        <v>15</v>
      </c>
      <c r="AE113" s="308">
        <f t="shared" si="60"/>
        <v>0</v>
      </c>
      <c r="AF113" s="308">
        <f t="shared" si="61"/>
        <v>0</v>
      </c>
      <c r="AM113" s="308">
        <f t="shared" si="62"/>
        <v>0</v>
      </c>
      <c r="AN113" s="308">
        <f t="shared" si="63"/>
        <v>0</v>
      </c>
      <c r="AO113" s="309" t="s">
        <v>755</v>
      </c>
      <c r="AP113" s="309" t="s">
        <v>756</v>
      </c>
      <c r="AQ113" s="299" t="s">
        <v>609</v>
      </c>
    </row>
    <row r="114" spans="1:43" ht="12.75">
      <c r="A114" s="312" t="s">
        <v>776</v>
      </c>
      <c r="B114" s="312"/>
      <c r="C114" s="312" t="s">
        <v>777</v>
      </c>
      <c r="D114" s="312" t="s">
        <v>778</v>
      </c>
      <c r="E114" s="312" t="s">
        <v>24</v>
      </c>
      <c r="F114" s="313">
        <v>2</v>
      </c>
      <c r="G114" s="313"/>
      <c r="H114" s="313">
        <f t="shared" si="52"/>
        <v>0</v>
      </c>
      <c r="I114" s="313">
        <f t="shared" si="53"/>
        <v>0</v>
      </c>
      <c r="J114" s="313">
        <f t="shared" si="54"/>
        <v>0</v>
      </c>
      <c r="K114" s="313">
        <v>0.0143</v>
      </c>
      <c r="L114" s="313">
        <f t="shared" si="55"/>
        <v>0.0286</v>
      </c>
      <c r="M114" s="314" t="s">
        <v>606</v>
      </c>
      <c r="N114" s="314" t="s">
        <v>754</v>
      </c>
      <c r="O114" s="313">
        <f t="shared" si="56"/>
        <v>0</v>
      </c>
      <c r="Z114" s="313">
        <f t="shared" si="57"/>
        <v>0</v>
      </c>
      <c r="AA114" s="313">
        <f t="shared" si="58"/>
        <v>0</v>
      </c>
      <c r="AB114" s="313">
        <f t="shared" si="59"/>
        <v>0</v>
      </c>
      <c r="AD114" s="308">
        <v>15</v>
      </c>
      <c r="AE114" s="308">
        <f t="shared" si="60"/>
        <v>0</v>
      </c>
      <c r="AF114" s="308">
        <f t="shared" si="61"/>
        <v>0</v>
      </c>
      <c r="AM114" s="308">
        <f t="shared" si="62"/>
        <v>0</v>
      </c>
      <c r="AN114" s="308">
        <f t="shared" si="63"/>
        <v>0</v>
      </c>
      <c r="AO114" s="309" t="s">
        <v>755</v>
      </c>
      <c r="AP114" s="309" t="s">
        <v>756</v>
      </c>
      <c r="AQ114" s="299" t="s">
        <v>609</v>
      </c>
    </row>
    <row r="115" spans="1:43" ht="12.75">
      <c r="A115" s="312" t="s">
        <v>779</v>
      </c>
      <c r="B115" s="312"/>
      <c r="C115" s="312" t="s">
        <v>780</v>
      </c>
      <c r="D115" s="312" t="s">
        <v>139</v>
      </c>
      <c r="E115" s="312" t="s">
        <v>24</v>
      </c>
      <c r="F115" s="313">
        <v>2</v>
      </c>
      <c r="G115" s="313"/>
      <c r="H115" s="313">
        <f t="shared" si="52"/>
        <v>0</v>
      </c>
      <c r="I115" s="313">
        <f t="shared" si="53"/>
        <v>0</v>
      </c>
      <c r="J115" s="313">
        <f t="shared" si="54"/>
        <v>0</v>
      </c>
      <c r="K115" s="313">
        <v>0.0012</v>
      </c>
      <c r="L115" s="313">
        <f t="shared" si="55"/>
        <v>0.0024</v>
      </c>
      <c r="M115" s="314" t="s">
        <v>606</v>
      </c>
      <c r="N115" s="314" t="s">
        <v>754</v>
      </c>
      <c r="O115" s="313">
        <f t="shared" si="56"/>
        <v>0</v>
      </c>
      <c r="Z115" s="313">
        <f t="shared" si="57"/>
        <v>0</v>
      </c>
      <c r="AA115" s="313">
        <f t="shared" si="58"/>
        <v>0</v>
      </c>
      <c r="AB115" s="313">
        <f t="shared" si="59"/>
        <v>0</v>
      </c>
      <c r="AD115" s="308">
        <v>15</v>
      </c>
      <c r="AE115" s="308">
        <f t="shared" si="60"/>
        <v>0</v>
      </c>
      <c r="AF115" s="308">
        <f t="shared" si="61"/>
        <v>0</v>
      </c>
      <c r="AM115" s="308">
        <f t="shared" si="62"/>
        <v>0</v>
      </c>
      <c r="AN115" s="308">
        <f t="shared" si="63"/>
        <v>0</v>
      </c>
      <c r="AO115" s="309" t="s">
        <v>755</v>
      </c>
      <c r="AP115" s="309" t="s">
        <v>756</v>
      </c>
      <c r="AQ115" s="299" t="s">
        <v>609</v>
      </c>
    </row>
    <row r="116" spans="1:43" ht="12.75">
      <c r="A116" s="312" t="s">
        <v>781</v>
      </c>
      <c r="B116" s="312"/>
      <c r="C116" s="312" t="s">
        <v>782</v>
      </c>
      <c r="D116" s="312" t="s">
        <v>141</v>
      </c>
      <c r="E116" s="312" t="s">
        <v>24</v>
      </c>
      <c r="F116" s="313">
        <v>2</v>
      </c>
      <c r="G116" s="313"/>
      <c r="H116" s="313">
        <f t="shared" si="52"/>
        <v>0</v>
      </c>
      <c r="I116" s="313">
        <f t="shared" si="53"/>
        <v>0</v>
      </c>
      <c r="J116" s="313">
        <f t="shared" si="54"/>
        <v>0</v>
      </c>
      <c r="K116" s="313">
        <v>0</v>
      </c>
      <c r="L116" s="313">
        <f t="shared" si="55"/>
        <v>0</v>
      </c>
      <c r="M116" s="314" t="s">
        <v>606</v>
      </c>
      <c r="N116" s="314" t="s">
        <v>754</v>
      </c>
      <c r="O116" s="313">
        <f t="shared" si="56"/>
        <v>0</v>
      </c>
      <c r="Z116" s="313">
        <f t="shared" si="57"/>
        <v>0</v>
      </c>
      <c r="AA116" s="313">
        <f t="shared" si="58"/>
        <v>0</v>
      </c>
      <c r="AB116" s="313">
        <f t="shared" si="59"/>
        <v>0</v>
      </c>
      <c r="AD116" s="308">
        <v>15</v>
      </c>
      <c r="AE116" s="308">
        <f t="shared" si="60"/>
        <v>0</v>
      </c>
      <c r="AF116" s="308">
        <f t="shared" si="61"/>
        <v>0</v>
      </c>
      <c r="AM116" s="308">
        <f t="shared" si="62"/>
        <v>0</v>
      </c>
      <c r="AN116" s="308">
        <f t="shared" si="63"/>
        <v>0</v>
      </c>
      <c r="AO116" s="309" t="s">
        <v>755</v>
      </c>
      <c r="AP116" s="309" t="s">
        <v>756</v>
      </c>
      <c r="AQ116" s="299" t="s">
        <v>609</v>
      </c>
    </row>
    <row r="117" spans="1:43" ht="12.75">
      <c r="A117" s="312" t="s">
        <v>783</v>
      </c>
      <c r="B117" s="312"/>
      <c r="C117" s="312" t="s">
        <v>784</v>
      </c>
      <c r="D117" s="312" t="s">
        <v>785</v>
      </c>
      <c r="E117" s="312" t="s">
        <v>24</v>
      </c>
      <c r="F117" s="313">
        <v>2</v>
      </c>
      <c r="G117" s="313"/>
      <c r="H117" s="313">
        <f t="shared" si="52"/>
        <v>0</v>
      </c>
      <c r="I117" s="313">
        <f t="shared" si="53"/>
        <v>0</v>
      </c>
      <c r="J117" s="313">
        <f t="shared" si="54"/>
        <v>0</v>
      </c>
      <c r="K117" s="313">
        <v>0.0002</v>
      </c>
      <c r="L117" s="313">
        <f t="shared" si="55"/>
        <v>0.0004</v>
      </c>
      <c r="M117" s="314" t="s">
        <v>606</v>
      </c>
      <c r="N117" s="314" t="s">
        <v>754</v>
      </c>
      <c r="O117" s="313">
        <f t="shared" si="56"/>
        <v>0</v>
      </c>
      <c r="Z117" s="313">
        <f t="shared" si="57"/>
        <v>0</v>
      </c>
      <c r="AA117" s="313">
        <f t="shared" si="58"/>
        <v>0</v>
      </c>
      <c r="AB117" s="313">
        <f t="shared" si="59"/>
        <v>0</v>
      </c>
      <c r="AD117" s="308">
        <v>15</v>
      </c>
      <c r="AE117" s="308">
        <f t="shared" si="60"/>
        <v>0</v>
      </c>
      <c r="AF117" s="308">
        <f t="shared" si="61"/>
        <v>0</v>
      </c>
      <c r="AM117" s="308">
        <f t="shared" si="62"/>
        <v>0</v>
      </c>
      <c r="AN117" s="308">
        <f t="shared" si="63"/>
        <v>0</v>
      </c>
      <c r="AO117" s="309" t="s">
        <v>755</v>
      </c>
      <c r="AP117" s="309" t="s">
        <v>756</v>
      </c>
      <c r="AQ117" s="299" t="s">
        <v>609</v>
      </c>
    </row>
    <row r="118" spans="1:43" ht="12.75">
      <c r="A118" s="312" t="s">
        <v>786</v>
      </c>
      <c r="B118" s="312"/>
      <c r="C118" s="312" t="s">
        <v>787</v>
      </c>
      <c r="D118" s="312" t="s">
        <v>788</v>
      </c>
      <c r="E118" s="312" t="s">
        <v>19</v>
      </c>
      <c r="F118" s="313">
        <v>41.15</v>
      </c>
      <c r="G118" s="313"/>
      <c r="H118" s="313">
        <f t="shared" si="52"/>
        <v>0</v>
      </c>
      <c r="I118" s="313">
        <f t="shared" si="53"/>
        <v>0</v>
      </c>
      <c r="J118" s="313">
        <f t="shared" si="54"/>
        <v>0</v>
      </c>
      <c r="K118" s="313">
        <v>0.0136</v>
      </c>
      <c r="L118" s="313">
        <f t="shared" si="55"/>
        <v>0.5596399999999999</v>
      </c>
      <c r="M118" s="314" t="s">
        <v>606</v>
      </c>
      <c r="N118" s="314" t="s">
        <v>754</v>
      </c>
      <c r="O118" s="313">
        <f t="shared" si="56"/>
        <v>0</v>
      </c>
      <c r="Z118" s="313">
        <f t="shared" si="57"/>
        <v>0</v>
      </c>
      <c r="AA118" s="313">
        <f t="shared" si="58"/>
        <v>0</v>
      </c>
      <c r="AB118" s="313">
        <f t="shared" si="59"/>
        <v>0</v>
      </c>
      <c r="AD118" s="308">
        <v>15</v>
      </c>
      <c r="AE118" s="308">
        <f t="shared" si="60"/>
        <v>0</v>
      </c>
      <c r="AF118" s="308">
        <f t="shared" si="61"/>
        <v>0</v>
      </c>
      <c r="AM118" s="308">
        <f t="shared" si="62"/>
        <v>0</v>
      </c>
      <c r="AN118" s="308">
        <f t="shared" si="63"/>
        <v>0</v>
      </c>
      <c r="AO118" s="309" t="s">
        <v>755</v>
      </c>
      <c r="AP118" s="309" t="s">
        <v>756</v>
      </c>
      <c r="AQ118" s="299" t="s">
        <v>609</v>
      </c>
    </row>
    <row r="119" spans="1:43" ht="12.75">
      <c r="A119" s="312" t="s">
        <v>789</v>
      </c>
      <c r="B119" s="312"/>
      <c r="C119" s="312" t="s">
        <v>790</v>
      </c>
      <c r="D119" s="312" t="s">
        <v>791</v>
      </c>
      <c r="E119" s="312" t="s">
        <v>19</v>
      </c>
      <c r="F119" s="313">
        <v>10.75</v>
      </c>
      <c r="G119" s="313"/>
      <c r="H119" s="313">
        <f t="shared" si="52"/>
        <v>0</v>
      </c>
      <c r="I119" s="313">
        <f t="shared" si="53"/>
        <v>0</v>
      </c>
      <c r="J119" s="313">
        <f t="shared" si="54"/>
        <v>0</v>
      </c>
      <c r="K119" s="313">
        <v>0.018</v>
      </c>
      <c r="L119" s="313">
        <f t="shared" si="55"/>
        <v>0.19349999999999998</v>
      </c>
      <c r="M119" s="314" t="s">
        <v>606</v>
      </c>
      <c r="N119" s="314" t="s">
        <v>754</v>
      </c>
      <c r="O119" s="313">
        <f t="shared" si="56"/>
        <v>0</v>
      </c>
      <c r="Z119" s="313">
        <f t="shared" si="57"/>
        <v>0</v>
      </c>
      <c r="AA119" s="313">
        <f t="shared" si="58"/>
        <v>0</v>
      </c>
      <c r="AB119" s="313">
        <f t="shared" si="59"/>
        <v>0</v>
      </c>
      <c r="AD119" s="308">
        <v>15</v>
      </c>
      <c r="AE119" s="308">
        <f t="shared" si="60"/>
        <v>0</v>
      </c>
      <c r="AF119" s="308">
        <f t="shared" si="61"/>
        <v>0</v>
      </c>
      <c r="AM119" s="308">
        <f t="shared" si="62"/>
        <v>0</v>
      </c>
      <c r="AN119" s="308">
        <f t="shared" si="63"/>
        <v>0</v>
      </c>
      <c r="AO119" s="309" t="s">
        <v>755</v>
      </c>
      <c r="AP119" s="309" t="s">
        <v>756</v>
      </c>
      <c r="AQ119" s="299" t="s">
        <v>609</v>
      </c>
    </row>
    <row r="120" spans="1:43" ht="12.75">
      <c r="A120" s="315" t="s">
        <v>792</v>
      </c>
      <c r="B120" s="315"/>
      <c r="C120" s="315" t="s">
        <v>793</v>
      </c>
      <c r="D120" s="315" t="s">
        <v>794</v>
      </c>
      <c r="E120" s="315" t="s">
        <v>24</v>
      </c>
      <c r="F120" s="316">
        <v>7</v>
      </c>
      <c r="G120" s="316"/>
      <c r="H120" s="316">
        <f t="shared" si="52"/>
        <v>0</v>
      </c>
      <c r="I120" s="316">
        <f t="shared" si="53"/>
        <v>0</v>
      </c>
      <c r="J120" s="316">
        <f t="shared" si="54"/>
        <v>0</v>
      </c>
      <c r="K120" s="316">
        <v>0.0016</v>
      </c>
      <c r="L120" s="316">
        <f t="shared" si="55"/>
        <v>0.0112</v>
      </c>
      <c r="M120" s="317" t="s">
        <v>606</v>
      </c>
      <c r="N120" s="314" t="s">
        <v>754</v>
      </c>
      <c r="O120" s="313">
        <f t="shared" si="56"/>
        <v>0</v>
      </c>
      <c r="Z120" s="313">
        <f t="shared" si="57"/>
        <v>0</v>
      </c>
      <c r="AA120" s="313">
        <f t="shared" si="58"/>
        <v>0</v>
      </c>
      <c r="AB120" s="313">
        <f t="shared" si="59"/>
        <v>0</v>
      </c>
      <c r="AD120" s="308">
        <v>15</v>
      </c>
      <c r="AE120" s="308">
        <f t="shared" si="60"/>
        <v>0</v>
      </c>
      <c r="AF120" s="308">
        <f t="shared" si="61"/>
        <v>0</v>
      </c>
      <c r="AM120" s="308">
        <f t="shared" si="62"/>
        <v>0</v>
      </c>
      <c r="AN120" s="308">
        <f t="shared" si="63"/>
        <v>0</v>
      </c>
      <c r="AO120" s="309" t="s">
        <v>755</v>
      </c>
      <c r="AP120" s="309" t="s">
        <v>756</v>
      </c>
      <c r="AQ120" s="299" t="s">
        <v>609</v>
      </c>
    </row>
    <row r="121" spans="1:28" ht="12.75">
      <c r="A121" s="318"/>
      <c r="B121" s="318"/>
      <c r="C121" s="318"/>
      <c r="D121" s="318"/>
      <c r="E121" s="318"/>
      <c r="F121" s="318"/>
      <c r="G121" s="318"/>
      <c r="H121" s="385" t="s">
        <v>795</v>
      </c>
      <c r="I121" s="386"/>
      <c r="J121" s="319">
        <f>J12+J15+J17+J19+J24+J34+J45+J57+J64+J69+J71+J74+J77+J80+J82+J84+J86+J88+J90+J92+J97+J104</f>
        <v>0</v>
      </c>
      <c r="K121" s="318"/>
      <c r="L121" s="318"/>
      <c r="M121" s="318"/>
      <c r="Z121" s="320">
        <f>SUM(Z13:Z120)</f>
        <v>0</v>
      </c>
      <c r="AA121" s="320">
        <f>SUM(AA13:AA120)</f>
        <v>0</v>
      </c>
      <c r="AB121" s="320">
        <f>SUM(AB13:AB120)</f>
        <v>0</v>
      </c>
    </row>
    <row r="122" ht="11.25" customHeight="1">
      <c r="A122" s="321" t="s">
        <v>796</v>
      </c>
    </row>
    <row r="123" spans="1:13" ht="409.6" customHeight="1" hidden="1">
      <c r="A123" s="359"/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</row>
  </sheetData>
  <mergeCells count="51">
    <mergeCell ref="H121:I121"/>
    <mergeCell ref="A123:M123"/>
    <mergeCell ref="D86:G86"/>
    <mergeCell ref="D88:G88"/>
    <mergeCell ref="D90:G90"/>
    <mergeCell ref="D92:G92"/>
    <mergeCell ref="D97:G97"/>
    <mergeCell ref="D104:G104"/>
    <mergeCell ref="D84:G84"/>
    <mergeCell ref="D24:G24"/>
    <mergeCell ref="D34:G34"/>
    <mergeCell ref="D45:G45"/>
    <mergeCell ref="D57:G57"/>
    <mergeCell ref="D64:G64"/>
    <mergeCell ref="D69:G69"/>
    <mergeCell ref="D71:G71"/>
    <mergeCell ref="D74:G74"/>
    <mergeCell ref="D77:G77"/>
    <mergeCell ref="D80:G80"/>
    <mergeCell ref="D82:G82"/>
    <mergeCell ref="I6:I7"/>
    <mergeCell ref="D19:G19"/>
    <mergeCell ref="A8:C9"/>
    <mergeCell ref="D8:D9"/>
    <mergeCell ref="E8:F9"/>
    <mergeCell ref="G8:H9"/>
    <mergeCell ref="H10:J10"/>
    <mergeCell ref="I8:I9"/>
    <mergeCell ref="J8:M9"/>
    <mergeCell ref="K10:L10"/>
    <mergeCell ref="D12:G12"/>
    <mergeCell ref="D15:G15"/>
    <mergeCell ref="D17:G17"/>
    <mergeCell ref="J6:M7"/>
    <mergeCell ref="A6:C7"/>
    <mergeCell ref="D6:D7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E6:F7"/>
    <mergeCell ref="G6:H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Poul</cp:lastModifiedBy>
  <cp:lastPrinted>2017-04-04T12:15:38Z</cp:lastPrinted>
  <dcterms:created xsi:type="dcterms:W3CDTF">2015-09-10T13:00:30Z</dcterms:created>
  <dcterms:modified xsi:type="dcterms:W3CDTF">2017-04-04T12:19:54Z</dcterms:modified>
  <cp:category/>
  <cp:version/>
  <cp:contentType/>
  <cp:contentStatus/>
</cp:coreProperties>
</file>